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y\Desktop\GET SA\Лизинговые договоры\"/>
    </mc:Choice>
  </mc:AlternateContent>
  <bookViews>
    <workbookView xWindow="0" yWindow="0" windowWidth="20490" windowHeight="7155" activeTab="2"/>
  </bookViews>
  <sheets>
    <sheet name="Аннуитеты60" sheetId="9" r:id="rId1"/>
    <sheet name="Формула" sheetId="6" r:id="rId2"/>
    <sheet name="Возвратный лизинг" sheetId="4" r:id="rId3"/>
  </sheets>
  <definedNames>
    <definedName name="НИ">Аннуитеты60!$A$142:$A$143</definedName>
  </definedNames>
  <calcPr calcId="171027"/>
</workbook>
</file>

<file path=xl/calcChain.xml><?xml version="1.0" encoding="utf-8"?>
<calcChain xmlns="http://schemas.openxmlformats.org/spreadsheetml/2006/main">
  <c r="G5" i="9" l="1"/>
  <c r="G38" i="9" l="1"/>
  <c r="G30" i="9" l="1"/>
  <c r="G29" i="9"/>
  <c r="G49" i="9" s="1"/>
  <c r="C132" i="9"/>
  <c r="G51" i="9" l="1"/>
  <c r="G48" i="9"/>
  <c r="G50" i="9"/>
  <c r="G39" i="9"/>
  <c r="C6" i="6"/>
  <c r="C7" i="6"/>
  <c r="C8" i="6"/>
  <c r="C9" i="6"/>
  <c r="C10" i="6"/>
  <c r="C11" i="6"/>
  <c r="C12" i="6"/>
  <c r="C13" i="6"/>
  <c r="C14" i="6"/>
  <c r="C15" i="6"/>
  <c r="C16" i="6"/>
  <c r="I121" i="9" l="1"/>
  <c r="C121" i="9" l="1"/>
  <c r="D121" i="9" s="1"/>
  <c r="G33" i="9"/>
  <c r="G36" i="9" s="1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D98" i="9" s="1"/>
  <c r="C99" i="9"/>
  <c r="D99" i="9" s="1"/>
  <c r="C100" i="9"/>
  <c r="D100" i="9" s="1"/>
  <c r="C101" i="9"/>
  <c r="D101" i="9" s="1"/>
  <c r="C102" i="9"/>
  <c r="D102" i="9" s="1"/>
  <c r="C103" i="9"/>
  <c r="D103" i="9" s="1"/>
  <c r="C104" i="9"/>
  <c r="D104" i="9" s="1"/>
  <c r="C105" i="9"/>
  <c r="D105" i="9" s="1"/>
  <c r="C106" i="9"/>
  <c r="D106" i="9" s="1"/>
  <c r="C107" i="9"/>
  <c r="D107" i="9" s="1"/>
  <c r="C108" i="9"/>
  <c r="D108" i="9" s="1"/>
  <c r="C109" i="9"/>
  <c r="D109" i="9" s="1"/>
  <c r="C110" i="9"/>
  <c r="D110" i="9" s="1"/>
  <c r="C111" i="9"/>
  <c r="D111" i="9" s="1"/>
  <c r="C112" i="9"/>
  <c r="D112" i="9" s="1"/>
  <c r="C113" i="9"/>
  <c r="D113" i="9" s="1"/>
  <c r="C114" i="9"/>
  <c r="D114" i="9" s="1"/>
  <c r="C115" i="9"/>
  <c r="D115" i="9" s="1"/>
  <c r="C116" i="9"/>
  <c r="D116" i="9" s="1"/>
  <c r="C117" i="9"/>
  <c r="D117" i="9" s="1"/>
  <c r="C118" i="9"/>
  <c r="D118" i="9" s="1"/>
  <c r="C119" i="9"/>
  <c r="D119" i="9" s="1"/>
  <c r="C120" i="9"/>
  <c r="D120" i="9" s="1"/>
  <c r="C6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F119" i="9" l="1"/>
  <c r="F115" i="9"/>
  <c r="F111" i="9"/>
  <c r="F107" i="9"/>
  <c r="F103" i="9"/>
  <c r="F99" i="9"/>
  <c r="F118" i="9"/>
  <c r="F114" i="9"/>
  <c r="F110" i="9"/>
  <c r="F106" i="9"/>
  <c r="F102" i="9"/>
  <c r="F98" i="9"/>
  <c r="F117" i="9"/>
  <c r="F113" i="9"/>
  <c r="F109" i="9"/>
  <c r="F105" i="9"/>
  <c r="F101" i="9"/>
  <c r="F121" i="9"/>
  <c r="F120" i="9"/>
  <c r="F116" i="9"/>
  <c r="F112" i="9"/>
  <c r="F108" i="9"/>
  <c r="F104" i="9"/>
  <c r="F100" i="9"/>
  <c r="G32" i="9"/>
  <c r="G26" i="9"/>
  <c r="G27" i="9" s="1"/>
  <c r="G8" i="9"/>
  <c r="B135" i="9" s="1"/>
  <c r="G9" i="9"/>
  <c r="C135" i="9" l="1"/>
  <c r="B136" i="9" s="1"/>
  <c r="G35" i="9"/>
  <c r="G16" i="9"/>
  <c r="G28" i="9" s="1"/>
  <c r="G47" i="9" s="1"/>
  <c r="D97" i="9"/>
  <c r="B97" i="9"/>
  <c r="D96" i="9"/>
  <c r="B96" i="9"/>
  <c r="D95" i="9"/>
  <c r="B95" i="9"/>
  <c r="D94" i="9"/>
  <c r="B94" i="9"/>
  <c r="D93" i="9"/>
  <c r="B93" i="9"/>
  <c r="D92" i="9"/>
  <c r="B92" i="9"/>
  <c r="D91" i="9"/>
  <c r="B91" i="9"/>
  <c r="D90" i="9"/>
  <c r="B90" i="9"/>
  <c r="D89" i="9"/>
  <c r="B89" i="9"/>
  <c r="D88" i="9"/>
  <c r="B88" i="9"/>
  <c r="D87" i="9"/>
  <c r="B87" i="9"/>
  <c r="D86" i="9"/>
  <c r="B86" i="9"/>
  <c r="D85" i="9"/>
  <c r="B85" i="9"/>
  <c r="D84" i="9"/>
  <c r="B84" i="9"/>
  <c r="D83" i="9"/>
  <c r="B83" i="9"/>
  <c r="D82" i="9"/>
  <c r="B82" i="9"/>
  <c r="D81" i="9"/>
  <c r="B81" i="9"/>
  <c r="D80" i="9"/>
  <c r="B80" i="9"/>
  <c r="D79" i="9"/>
  <c r="B79" i="9"/>
  <c r="D78" i="9"/>
  <c r="B78" i="9"/>
  <c r="D77" i="9"/>
  <c r="B77" i="9"/>
  <c r="D76" i="9"/>
  <c r="B76" i="9"/>
  <c r="D75" i="9"/>
  <c r="B75" i="9"/>
  <c r="D74" i="9"/>
  <c r="B74" i="9"/>
  <c r="D73" i="9"/>
  <c r="B73" i="9"/>
  <c r="D72" i="9"/>
  <c r="B72" i="9"/>
  <c r="D71" i="9"/>
  <c r="B71" i="9"/>
  <c r="D70" i="9"/>
  <c r="B70" i="9"/>
  <c r="D69" i="9"/>
  <c r="B69" i="9"/>
  <c r="D68" i="9"/>
  <c r="B68" i="9"/>
  <c r="D67" i="9"/>
  <c r="B67" i="9"/>
  <c r="D66" i="9"/>
  <c r="B66" i="9"/>
  <c r="D65" i="9"/>
  <c r="B65" i="9"/>
  <c r="D64" i="9"/>
  <c r="B64" i="9"/>
  <c r="D63" i="9"/>
  <c r="B63" i="9"/>
  <c r="D62" i="9"/>
  <c r="B62" i="9"/>
  <c r="K61" i="9"/>
  <c r="B61" i="9"/>
  <c r="G13" i="9"/>
  <c r="F63" i="9" l="1"/>
  <c r="F65" i="9"/>
  <c r="F67" i="9"/>
  <c r="F69" i="9"/>
  <c r="F71" i="9"/>
  <c r="F73" i="9"/>
  <c r="F75" i="9"/>
  <c r="F79" i="9"/>
  <c r="F83" i="9"/>
  <c r="F87" i="9"/>
  <c r="F91" i="9"/>
  <c r="F77" i="9"/>
  <c r="F81" i="9"/>
  <c r="F85" i="9"/>
  <c r="F89" i="9"/>
  <c r="F93" i="9"/>
  <c r="F95" i="9"/>
  <c r="F97" i="9"/>
  <c r="F62" i="9"/>
  <c r="F64" i="9"/>
  <c r="F66" i="9"/>
  <c r="F68" i="9"/>
  <c r="F70" i="9"/>
  <c r="F72" i="9"/>
  <c r="F74" i="9"/>
  <c r="F76" i="9"/>
  <c r="F78" i="9"/>
  <c r="F80" i="9"/>
  <c r="F82" i="9"/>
  <c r="F84" i="9"/>
  <c r="F86" i="9"/>
  <c r="F88" i="9"/>
  <c r="F90" i="9"/>
  <c r="F92" i="9"/>
  <c r="F94" i="9"/>
  <c r="F96" i="9"/>
  <c r="C136" i="9"/>
  <c r="B137" i="9" s="1"/>
  <c r="D135" i="9"/>
  <c r="E135" i="9" s="1"/>
  <c r="F135" i="9" s="1"/>
  <c r="G41" i="9" s="1"/>
  <c r="G53" i="9" s="1"/>
  <c r="G18" i="9"/>
  <c r="G19" i="9" s="1"/>
  <c r="G22" i="9" s="1"/>
  <c r="G25" i="9"/>
  <c r="C61" i="9"/>
  <c r="G31" i="9"/>
  <c r="D21" i="6"/>
  <c r="D20" i="6"/>
  <c r="G70" i="4"/>
  <c r="D136" i="9" l="1"/>
  <c r="E136" i="9" s="1"/>
  <c r="F136" i="9" s="1"/>
  <c r="G42" i="9" s="1"/>
  <c r="G54" i="9" s="1"/>
  <c r="E81" i="9" s="1"/>
  <c r="E63" i="9"/>
  <c r="E69" i="9"/>
  <c r="E72" i="9"/>
  <c r="E62" i="9"/>
  <c r="E68" i="9"/>
  <c r="E65" i="9"/>
  <c r="E70" i="9"/>
  <c r="E64" i="9"/>
  <c r="E66" i="9"/>
  <c r="E71" i="9"/>
  <c r="E67" i="9"/>
  <c r="E75" i="9"/>
  <c r="E79" i="9"/>
  <c r="E77" i="9"/>
  <c r="C137" i="9"/>
  <c r="B138" i="9" s="1"/>
  <c r="D61" i="9"/>
  <c r="G34" i="9"/>
  <c r="G37" i="9" s="1"/>
  <c r="C123" i="9"/>
  <c r="G20" i="9"/>
  <c r="G23" i="9" s="1"/>
  <c r="E83" i="9" l="1"/>
  <c r="E84" i="9"/>
  <c r="E82" i="9"/>
  <c r="E74" i="9"/>
  <c r="E78" i="9"/>
  <c r="E73" i="9"/>
  <c r="E80" i="9"/>
  <c r="E76" i="9"/>
  <c r="F61" i="9"/>
  <c r="G61" i="9" s="1"/>
  <c r="H61" i="9" s="1"/>
  <c r="C138" i="9"/>
  <c r="B139" i="9" s="1"/>
  <c r="D137" i="9"/>
  <c r="E137" i="9" s="1"/>
  <c r="F137" i="9" s="1"/>
  <c r="G43" i="9" s="1"/>
  <c r="G55" i="9" s="1"/>
  <c r="D123" i="9"/>
  <c r="G11" i="9"/>
  <c r="F125" i="9" s="1"/>
  <c r="G21" i="9"/>
  <c r="G24" i="9" s="1"/>
  <c r="D138" i="9" l="1"/>
  <c r="E138" i="9" s="1"/>
  <c r="F138" i="9" s="1"/>
  <c r="G44" i="9" s="1"/>
  <c r="G56" i="9" s="1"/>
  <c r="E99" i="9" s="1"/>
  <c r="E89" i="9"/>
  <c r="E96" i="9"/>
  <c r="E94" i="9"/>
  <c r="E86" i="9"/>
  <c r="E87" i="9"/>
  <c r="E90" i="9"/>
  <c r="E85" i="9"/>
  <c r="E95" i="9"/>
  <c r="E91" i="9"/>
  <c r="E88" i="9"/>
  <c r="E93" i="9"/>
  <c r="E92" i="9"/>
  <c r="E100" i="9"/>
  <c r="E102" i="9"/>
  <c r="C139" i="9"/>
  <c r="D139" i="9" s="1"/>
  <c r="E139" i="9" s="1"/>
  <c r="F139" i="9" s="1"/>
  <c r="G45" i="9" s="1"/>
  <c r="G57" i="9" s="1"/>
  <c r="E106" i="9" l="1"/>
  <c r="E97" i="9"/>
  <c r="E98" i="9"/>
  <c r="E105" i="9"/>
  <c r="E101" i="9"/>
  <c r="E108" i="9"/>
  <c r="E104" i="9"/>
  <c r="E107" i="9"/>
  <c r="E103" i="9"/>
  <c r="E111" i="9"/>
  <c r="E121" i="9"/>
  <c r="E120" i="9"/>
  <c r="E118" i="9"/>
  <c r="E110" i="9"/>
  <c r="E115" i="9"/>
  <c r="E114" i="9"/>
  <c r="E109" i="9"/>
  <c r="E113" i="9"/>
  <c r="E119" i="9"/>
  <c r="E112" i="9"/>
  <c r="E117" i="9"/>
  <c r="E116" i="9"/>
  <c r="D5" i="6"/>
  <c r="G5" i="6"/>
  <c r="E16" i="6"/>
  <c r="D16" i="6"/>
  <c r="E15" i="6" s="1"/>
  <c r="D6" i="6"/>
  <c r="E5" i="6" s="1"/>
  <c r="D7" i="6" s="1"/>
  <c r="E6" i="6" s="1"/>
  <c r="D8" i="6" s="1"/>
  <c r="E7" i="6" s="1"/>
  <c r="D9" i="6" s="1"/>
  <c r="E8" i="6" s="1"/>
  <c r="D10" i="6" s="1"/>
  <c r="E9" i="6" s="1"/>
  <c r="D11" i="6" s="1"/>
  <c r="E10" i="6" s="1"/>
  <c r="D12" i="6" s="1"/>
  <c r="E11" i="6" s="1"/>
  <c r="D13" i="6" s="1"/>
  <c r="E12" i="6" s="1"/>
  <c r="D14" i="6" s="1"/>
  <c r="E13" i="6" s="1"/>
  <c r="D15" i="6" s="1"/>
  <c r="E14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G66" i="9" l="1"/>
  <c r="H66" i="9" s="1"/>
  <c r="I65" i="9" s="1"/>
  <c r="G74" i="9"/>
  <c r="H74" i="9" s="1"/>
  <c r="I73" i="9" s="1"/>
  <c r="G78" i="9"/>
  <c r="H78" i="9" s="1"/>
  <c r="I77" i="9" s="1"/>
  <c r="G82" i="9"/>
  <c r="H82" i="9" s="1"/>
  <c r="I81" i="9" s="1"/>
  <c r="G90" i="9"/>
  <c r="H90" i="9" s="1"/>
  <c r="I89" i="9" s="1"/>
  <c r="G94" i="9"/>
  <c r="H94" i="9" s="1"/>
  <c r="I93" i="9" s="1"/>
  <c r="G98" i="9"/>
  <c r="H98" i="9" s="1"/>
  <c r="I97" i="9" s="1"/>
  <c r="G106" i="9"/>
  <c r="H106" i="9" s="1"/>
  <c r="I105" i="9" s="1"/>
  <c r="G110" i="9"/>
  <c r="H110" i="9" s="1"/>
  <c r="I109" i="9" s="1"/>
  <c r="G114" i="9"/>
  <c r="H114" i="9" s="1"/>
  <c r="I113" i="9" s="1"/>
  <c r="G63" i="9"/>
  <c r="H63" i="9" s="1"/>
  <c r="I62" i="9" s="1"/>
  <c r="G67" i="9"/>
  <c r="H67" i="9" s="1"/>
  <c r="I66" i="9" s="1"/>
  <c r="G71" i="9"/>
  <c r="H71" i="9" s="1"/>
  <c r="I70" i="9" s="1"/>
  <c r="G79" i="9"/>
  <c r="H79" i="9" s="1"/>
  <c r="I78" i="9" s="1"/>
  <c r="G83" i="9"/>
  <c r="H83" i="9" s="1"/>
  <c r="I82" i="9" s="1"/>
  <c r="G87" i="9"/>
  <c r="H87" i="9" s="1"/>
  <c r="I86" i="9" s="1"/>
  <c r="G95" i="9"/>
  <c r="H95" i="9" s="1"/>
  <c r="I94" i="9" s="1"/>
  <c r="G99" i="9"/>
  <c r="H99" i="9" s="1"/>
  <c r="I98" i="9" s="1"/>
  <c r="G103" i="9"/>
  <c r="H103" i="9" s="1"/>
  <c r="I102" i="9" s="1"/>
  <c r="G111" i="9"/>
  <c r="H111" i="9" s="1"/>
  <c r="I110" i="9" s="1"/>
  <c r="G115" i="9"/>
  <c r="H115" i="9" s="1"/>
  <c r="I114" i="9" s="1"/>
  <c r="G119" i="9"/>
  <c r="H119" i="9" s="1"/>
  <c r="I118" i="9" s="1"/>
  <c r="G68" i="9"/>
  <c r="H68" i="9" s="1"/>
  <c r="I67" i="9" s="1"/>
  <c r="G72" i="9"/>
  <c r="H72" i="9" s="1"/>
  <c r="I71" i="9" s="1"/>
  <c r="G76" i="9"/>
  <c r="H76" i="9" s="1"/>
  <c r="I75" i="9" s="1"/>
  <c r="G92" i="9"/>
  <c r="H92" i="9" s="1"/>
  <c r="I91" i="9" s="1"/>
  <c r="G100" i="9"/>
  <c r="H100" i="9" s="1"/>
  <c r="I99" i="9" s="1"/>
  <c r="G104" i="9"/>
  <c r="H104" i="9" s="1"/>
  <c r="I103" i="9" s="1"/>
  <c r="G108" i="9"/>
  <c r="H108" i="9" s="1"/>
  <c r="I107" i="9" s="1"/>
  <c r="G116" i="9"/>
  <c r="H116" i="9" s="1"/>
  <c r="I115" i="9" s="1"/>
  <c r="G120" i="9"/>
  <c r="H120" i="9" s="1"/>
  <c r="I119" i="9" s="1"/>
  <c r="G65" i="9"/>
  <c r="H65" i="9" s="1"/>
  <c r="I64" i="9" s="1"/>
  <c r="G69" i="9"/>
  <c r="H69" i="9" s="1"/>
  <c r="I68" i="9" s="1"/>
  <c r="G73" i="9"/>
  <c r="H73" i="9" s="1"/>
  <c r="I72" i="9" s="1"/>
  <c r="G77" i="9"/>
  <c r="H77" i="9" s="1"/>
  <c r="I76" i="9" s="1"/>
  <c r="G81" i="9"/>
  <c r="H81" i="9" s="1"/>
  <c r="I80" i="9" s="1"/>
  <c r="G85" i="9"/>
  <c r="H85" i="9" s="1"/>
  <c r="I84" i="9" s="1"/>
  <c r="G89" i="9"/>
  <c r="H89" i="9" s="1"/>
  <c r="I88" i="9" s="1"/>
  <c r="G93" i="9"/>
  <c r="H93" i="9" s="1"/>
  <c r="I92" i="9" s="1"/>
  <c r="G97" i="9"/>
  <c r="H97" i="9" s="1"/>
  <c r="I96" i="9" s="1"/>
  <c r="G101" i="9"/>
  <c r="H101" i="9" s="1"/>
  <c r="I100" i="9" s="1"/>
  <c r="G105" i="9"/>
  <c r="H105" i="9" s="1"/>
  <c r="I104" i="9" s="1"/>
  <c r="G109" i="9"/>
  <c r="H109" i="9" s="1"/>
  <c r="I108" i="9" s="1"/>
  <c r="G113" i="9"/>
  <c r="H113" i="9" s="1"/>
  <c r="I112" i="9" s="1"/>
  <c r="G117" i="9"/>
  <c r="H117" i="9" s="1"/>
  <c r="I116" i="9" s="1"/>
  <c r="G121" i="9"/>
  <c r="H121" i="9" s="1"/>
  <c r="I120" i="9" s="1"/>
  <c r="G70" i="9"/>
  <c r="H70" i="9" s="1"/>
  <c r="I69" i="9" s="1"/>
  <c r="G86" i="9"/>
  <c r="H86" i="9" s="1"/>
  <c r="I85" i="9" s="1"/>
  <c r="G102" i="9"/>
  <c r="H102" i="9" s="1"/>
  <c r="I101" i="9" s="1"/>
  <c r="G118" i="9"/>
  <c r="H118" i="9" s="1"/>
  <c r="I117" i="9" s="1"/>
  <c r="G75" i="9"/>
  <c r="H75" i="9" s="1"/>
  <c r="I74" i="9" s="1"/>
  <c r="G91" i="9"/>
  <c r="H91" i="9" s="1"/>
  <c r="I90" i="9" s="1"/>
  <c r="G107" i="9"/>
  <c r="H107" i="9" s="1"/>
  <c r="I106" i="9" s="1"/>
  <c r="G64" i="9"/>
  <c r="H64" i="9" s="1"/>
  <c r="I63" i="9" s="1"/>
  <c r="G80" i="9"/>
  <c r="H80" i="9" s="1"/>
  <c r="I79" i="9" s="1"/>
  <c r="G96" i="9"/>
  <c r="H96" i="9" s="1"/>
  <c r="I95" i="9" s="1"/>
  <c r="G112" i="9"/>
  <c r="H112" i="9" s="1"/>
  <c r="I111" i="9" s="1"/>
  <c r="G88" i="9"/>
  <c r="H88" i="9" s="1"/>
  <c r="I87" i="9" s="1"/>
  <c r="G84" i="9"/>
  <c r="H84" i="9" s="1"/>
  <c r="I83" i="9" s="1"/>
  <c r="E123" i="9"/>
  <c r="F123" i="9" l="1"/>
  <c r="G62" i="9"/>
  <c r="H62" i="9" l="1"/>
  <c r="I61" i="9" s="1"/>
  <c r="G123" i="9"/>
  <c r="J17" i="4"/>
  <c r="J16" i="4"/>
  <c r="J15" i="4"/>
  <c r="H8" i="4"/>
  <c r="H5" i="4"/>
  <c r="G59" i="4"/>
  <c r="E18" i="4"/>
  <c r="F18" i="4" s="1"/>
  <c r="H7" i="4"/>
  <c r="F17" i="4"/>
  <c r="F16" i="4"/>
  <c r="F13" i="4"/>
  <c r="J62" i="9" l="1"/>
  <c r="J18" i="4"/>
  <c r="H9" i="4"/>
  <c r="G72" i="4" s="1"/>
  <c r="E19" i="4"/>
  <c r="J19" i="4" s="1"/>
  <c r="J63" i="9" l="1"/>
  <c r="K62" i="9"/>
  <c r="E20" i="4"/>
  <c r="J20" i="4" s="1"/>
  <c r="F19" i="4"/>
  <c r="K63" i="9" l="1"/>
  <c r="J64" i="9"/>
  <c r="E21" i="4"/>
  <c r="J21" i="4" s="1"/>
  <c r="F20" i="4"/>
  <c r="J65" i="9" l="1"/>
  <c r="K64" i="9"/>
  <c r="F21" i="4"/>
  <c r="E22" i="4"/>
  <c r="J22" i="4" s="1"/>
  <c r="J66" i="9" l="1"/>
  <c r="K65" i="9"/>
  <c r="E23" i="4"/>
  <c r="J23" i="4" s="1"/>
  <c r="F22" i="4"/>
  <c r="J67" i="9" l="1"/>
  <c r="K66" i="9"/>
  <c r="E24" i="4"/>
  <c r="J24" i="4" s="1"/>
  <c r="F23" i="4"/>
  <c r="K67" i="9" l="1"/>
  <c r="J68" i="9"/>
  <c r="E25" i="4"/>
  <c r="J25" i="4" s="1"/>
  <c r="F24" i="4"/>
  <c r="J69" i="9" l="1"/>
  <c r="K68" i="9"/>
  <c r="E26" i="4"/>
  <c r="J26" i="4" s="1"/>
  <c r="F25" i="4"/>
  <c r="K69" i="9" l="1"/>
  <c r="J70" i="9"/>
  <c r="E27" i="4"/>
  <c r="J27" i="4" s="1"/>
  <c r="F26" i="4"/>
  <c r="J71" i="9" l="1"/>
  <c r="K70" i="9"/>
  <c r="E28" i="4"/>
  <c r="J28" i="4" s="1"/>
  <c r="F27" i="4"/>
  <c r="J72" i="9" l="1"/>
  <c r="K71" i="9"/>
  <c r="F28" i="4"/>
  <c r="E29" i="4"/>
  <c r="J29" i="4" s="1"/>
  <c r="K72" i="9" l="1"/>
  <c r="J73" i="9"/>
  <c r="E30" i="4"/>
  <c r="J30" i="4" s="1"/>
  <c r="F29" i="4"/>
  <c r="J74" i="9" l="1"/>
  <c r="K73" i="9"/>
  <c r="F30" i="4"/>
  <c r="E31" i="4"/>
  <c r="J31" i="4" s="1"/>
  <c r="J75" i="9" l="1"/>
  <c r="K74" i="9"/>
  <c r="F31" i="4"/>
  <c r="E32" i="4"/>
  <c r="J32" i="4" s="1"/>
  <c r="J76" i="9" l="1"/>
  <c r="K75" i="9"/>
  <c r="F32" i="4"/>
  <c r="E33" i="4"/>
  <c r="J33" i="4" s="1"/>
  <c r="J77" i="9" l="1"/>
  <c r="K76" i="9"/>
  <c r="E34" i="4"/>
  <c r="J34" i="4" s="1"/>
  <c r="F33" i="4"/>
  <c r="J78" i="9" l="1"/>
  <c r="K77" i="9"/>
  <c r="F34" i="4"/>
  <c r="E35" i="4"/>
  <c r="J35" i="4" s="1"/>
  <c r="J79" i="9" l="1"/>
  <c r="K78" i="9"/>
  <c r="F35" i="4"/>
  <c r="E36" i="4"/>
  <c r="J36" i="4" s="1"/>
  <c r="J80" i="9" l="1"/>
  <c r="K79" i="9"/>
  <c r="E37" i="4"/>
  <c r="J37" i="4" s="1"/>
  <c r="F36" i="4"/>
  <c r="J81" i="9" l="1"/>
  <c r="K80" i="9"/>
  <c r="E38" i="4"/>
  <c r="J38" i="4" s="1"/>
  <c r="F37" i="4"/>
  <c r="J82" i="9" l="1"/>
  <c r="K81" i="9"/>
  <c r="F38" i="4"/>
  <c r="E39" i="4"/>
  <c r="J39" i="4" s="1"/>
  <c r="J83" i="9" l="1"/>
  <c r="K82" i="9"/>
  <c r="F39" i="4"/>
  <c r="E40" i="4"/>
  <c r="J40" i="4" s="1"/>
  <c r="J84" i="9" l="1"/>
  <c r="K83" i="9"/>
  <c r="E41" i="4"/>
  <c r="J41" i="4" s="1"/>
  <c r="F40" i="4"/>
  <c r="K84" i="9" l="1"/>
  <c r="J85" i="9"/>
  <c r="F41" i="4"/>
  <c r="E42" i="4"/>
  <c r="J42" i="4" s="1"/>
  <c r="K85" i="9" l="1"/>
  <c r="J86" i="9"/>
  <c r="F42" i="4"/>
  <c r="E43" i="4"/>
  <c r="J43" i="4" s="1"/>
  <c r="J87" i="9" l="1"/>
  <c r="K86" i="9"/>
  <c r="E44" i="4"/>
  <c r="J44" i="4" s="1"/>
  <c r="F43" i="4"/>
  <c r="J88" i="9" l="1"/>
  <c r="K87" i="9"/>
  <c r="E45" i="4"/>
  <c r="J45" i="4" s="1"/>
  <c r="F44" i="4"/>
  <c r="K88" i="9" l="1"/>
  <c r="J89" i="9"/>
  <c r="F45" i="4"/>
  <c r="E46" i="4"/>
  <c r="J46" i="4" s="1"/>
  <c r="K89" i="9" l="1"/>
  <c r="J90" i="9"/>
  <c r="E47" i="4"/>
  <c r="J47" i="4" s="1"/>
  <c r="F46" i="4"/>
  <c r="J91" i="9" l="1"/>
  <c r="K90" i="9"/>
  <c r="F47" i="4"/>
  <c r="E48" i="4"/>
  <c r="J48" i="4" s="1"/>
  <c r="K91" i="9" l="1"/>
  <c r="J92" i="9"/>
  <c r="F48" i="4"/>
  <c r="E49" i="4"/>
  <c r="J49" i="4" s="1"/>
  <c r="J93" i="9" l="1"/>
  <c r="K92" i="9"/>
  <c r="F49" i="4"/>
  <c r="E50" i="4"/>
  <c r="J50" i="4" s="1"/>
  <c r="K93" i="9" l="1"/>
  <c r="J94" i="9"/>
  <c r="E51" i="4"/>
  <c r="J51" i="4" s="1"/>
  <c r="F50" i="4"/>
  <c r="J95" i="9" l="1"/>
  <c r="K94" i="9"/>
  <c r="J52" i="4"/>
  <c r="J53" i="4"/>
  <c r="G74" i="4" s="1"/>
  <c r="E53" i="4"/>
  <c r="G60" i="4" s="1"/>
  <c r="G61" i="4" s="1"/>
  <c r="F51" i="4"/>
  <c r="F53" i="4" s="1"/>
  <c r="K95" i="9" l="1"/>
  <c r="J96" i="9"/>
  <c r="G64" i="4"/>
  <c r="G65" i="4" s="1"/>
  <c r="K96" i="9" l="1"/>
  <c r="J97" i="9"/>
  <c r="J98" i="9" s="1"/>
  <c r="G66" i="4"/>
  <c r="G62" i="4"/>
  <c r="K98" i="9" l="1"/>
  <c r="J99" i="9"/>
  <c r="K97" i="9"/>
  <c r="G67" i="4"/>
  <c r="G68" i="4" s="1"/>
  <c r="K99" i="9" l="1"/>
  <c r="J100" i="9"/>
  <c r="F6" i="6"/>
  <c r="K100" i="9" l="1"/>
  <c r="J101" i="9"/>
  <c r="F7" i="6"/>
  <c r="G6" i="6"/>
  <c r="K101" i="9" l="1"/>
  <c r="J102" i="9"/>
  <c r="F8" i="6"/>
  <c r="G7" i="6"/>
  <c r="K102" i="9" l="1"/>
  <c r="J103" i="9"/>
  <c r="F9" i="6"/>
  <c r="G8" i="6"/>
  <c r="K103" i="9" l="1"/>
  <c r="J104" i="9"/>
  <c r="F10" i="6"/>
  <c r="G9" i="6"/>
  <c r="K104" i="9" l="1"/>
  <c r="J105" i="9"/>
  <c r="F11" i="6"/>
  <c r="G10" i="6"/>
  <c r="J106" i="9" l="1"/>
  <c r="K105" i="9"/>
  <c r="G11" i="6"/>
  <c r="F12" i="6"/>
  <c r="K106" i="9" l="1"/>
  <c r="J107" i="9"/>
  <c r="G12" i="6"/>
  <c r="F13" i="6"/>
  <c r="K107" i="9" l="1"/>
  <c r="J108" i="9"/>
  <c r="G13" i="6"/>
  <c r="F14" i="6"/>
  <c r="K108" i="9" l="1"/>
  <c r="J109" i="9"/>
  <c r="G14" i="6"/>
  <c r="F15" i="6"/>
  <c r="J110" i="9" l="1"/>
  <c r="K109" i="9"/>
  <c r="G15" i="6"/>
  <c r="F16" i="6"/>
  <c r="G16" i="6" s="1"/>
  <c r="K110" i="9" l="1"/>
  <c r="J111" i="9"/>
  <c r="K111" i="9" l="1"/>
  <c r="J112" i="9"/>
  <c r="K112" i="9" l="1"/>
  <c r="J113" i="9"/>
  <c r="K113" i="9" l="1"/>
  <c r="J114" i="9"/>
  <c r="K114" i="9" l="1"/>
  <c r="J115" i="9"/>
  <c r="K115" i="9" l="1"/>
  <c r="J116" i="9"/>
  <c r="K116" i="9" l="1"/>
  <c r="J117" i="9"/>
  <c r="K117" i="9" l="1"/>
  <c r="J118" i="9"/>
  <c r="K118" i="9" l="1"/>
  <c r="J119" i="9"/>
  <c r="K119" i="9" l="1"/>
  <c r="J120" i="9"/>
  <c r="K120" i="9" l="1"/>
  <c r="J121" i="9"/>
  <c r="K121" i="9" s="1"/>
  <c r="K123" i="9" s="1"/>
  <c r="G128" i="9" s="1"/>
</calcChain>
</file>

<file path=xl/sharedStrings.xml><?xml version="1.0" encoding="utf-8"?>
<sst xmlns="http://schemas.openxmlformats.org/spreadsheetml/2006/main" count="177" uniqueCount="107">
  <si>
    <t>№</t>
  </si>
  <si>
    <t>Дата</t>
  </si>
  <si>
    <t>Валюта</t>
  </si>
  <si>
    <t>в т.ч. НДС</t>
  </si>
  <si>
    <t>Сумма</t>
  </si>
  <si>
    <t>руб.</t>
  </si>
  <si>
    <t xml:space="preserve">Аванс </t>
  </si>
  <si>
    <t>Эффективная процентная ставка по лизингу</t>
  </si>
  <si>
    <t>Сумма полученная</t>
  </si>
  <si>
    <t>Сумма удорожания</t>
  </si>
  <si>
    <t>Сумма полученная за вычетом уплаченного НДС</t>
  </si>
  <si>
    <t>Эффективная процентная ставка, % годовых</t>
  </si>
  <si>
    <t>Ставка удорожания номинальная, % годовых</t>
  </si>
  <si>
    <t>Ставка удорожания по коммерческому предложению</t>
  </si>
  <si>
    <t xml:space="preserve"> Оцениваются Лизинговой компанией по рыночной цене:</t>
  </si>
  <si>
    <t>Автомобили балансовой стоимостью:</t>
  </si>
  <si>
    <t>Мы платим НДС с продажи основных средств в размере:</t>
  </si>
  <si>
    <t>Сумма денежных средств, поступающих в компанию, с учетом уплаченных налогов:</t>
  </si>
  <si>
    <t>Мы платим налог на прибыль с продажи основных средств в размере (при 50%-ном износе):</t>
  </si>
  <si>
    <t>НДС и начисленный налог на прибыль компенсируются в процессе уплаты лизинговых платежей</t>
  </si>
  <si>
    <t>Всего к уплате:</t>
  </si>
  <si>
    <t xml:space="preserve">Она выкупает их по цене (и отдает в лизинг по той же цене): </t>
  </si>
  <si>
    <t>В случае, если нет уплаты дополнительных налогов (без учета аннуитетов, т.е. с уплатой тела кредита в конце срока)</t>
  </si>
  <si>
    <t>В случае уплаты НДС с продажи основного средства (без учета аннуитетов, т.е. с уплатой тела кредита в конце срока)</t>
  </si>
  <si>
    <t>С учетом аннуитетов, то есть с учетом ежемесячного погашения тела кредита, без уплаты НДС с приобретения основного средства</t>
  </si>
  <si>
    <t>С учетом аннуитетов, то есть с учетом ежемесячного погашения тела кредита, при уплате НДС с приобретения основного средства</t>
  </si>
  <si>
    <t>Потоки лизингодателя</t>
  </si>
  <si>
    <t>Доходность инвестиции с точки зрения Лизингодателя (по методу IRR)</t>
  </si>
  <si>
    <t>годовых</t>
  </si>
  <si>
    <t>Срок лизинга, месяцев</t>
  </si>
  <si>
    <t>Авансовый платеж, % от суммы приобретения</t>
  </si>
  <si>
    <t>Ставка удорожания номинальная, % в год</t>
  </si>
  <si>
    <t>f(x)</t>
  </si>
  <si>
    <t>f'(x)</t>
  </si>
  <si>
    <t>x(k)</t>
  </si>
  <si>
    <t>% ЭФФ</t>
  </si>
  <si>
    <t>Предложение лизинговой компании</t>
  </si>
  <si>
    <t>Ставка налога на добавленную стоимость</t>
  </si>
  <si>
    <t>Ставка налога на прибыль</t>
  </si>
  <si>
    <t>Месячная ставка дисконтирования</t>
  </si>
  <si>
    <t>Эффективная процентная ставка</t>
  </si>
  <si>
    <t>Функция последовательных платежей</t>
  </si>
  <si>
    <t>Производная функции последовательных платежей</t>
  </si>
  <si>
    <t>Номинальная процентная ставка</t>
  </si>
  <si>
    <t>Сумма кредита</t>
  </si>
  <si>
    <t>Эффективная ставка</t>
  </si>
  <si>
    <t>Количество периодов</t>
  </si>
  <si>
    <t>при одном платеже в год</t>
  </si>
  <si>
    <t>Регулярность платежей, платежей в год</t>
  </si>
  <si>
    <t>Выкупная стоимость (внесена в последний платеж по лизингу), RUR</t>
  </si>
  <si>
    <t>Сумма НДС в стоимости имущества, RUR</t>
  </si>
  <si>
    <t>Имущество балансовой стоимостью с учетом НДС, RUR</t>
  </si>
  <si>
    <t>Стоимость имущества без учета НДС, RUR</t>
  </si>
  <si>
    <t>Все выплаты с учетом НДС в первый год, RUR</t>
  </si>
  <si>
    <t>Все выплаты с учетом НДС в промежуточные годы (кроме первого и последнего), RUR</t>
  </si>
  <si>
    <t>Все выплаты с учетом НДС в последний год, RUR</t>
  </si>
  <si>
    <t>Сумма авансового платежа с учетом НДС, RUR</t>
  </si>
  <si>
    <t>Размер аннуитета с учетом НДС, RUR</t>
  </si>
  <si>
    <t>Сумма выплат за весь срок с учетом НДС, RUR</t>
  </si>
  <si>
    <t>Переплата (процентные платежи) в пересчете на 1 год с учетом НДС, RUR</t>
  </si>
  <si>
    <t>Переплата (процентные платежи) за весь срок с учетом НДС, RUR</t>
  </si>
  <si>
    <t>Переплата (процентные платежи) в пересчете на 1 месяц с учетом НДС, RUR</t>
  </si>
  <si>
    <t>Сумма НДС всего, первый платеж, RUR</t>
  </si>
  <si>
    <t>Сумма НДС всего, промежуточный платеж, RUR</t>
  </si>
  <si>
    <t>Сумма НДС всего, последний платеж, RUR</t>
  </si>
  <si>
    <t>Сумма НДС к уплате, RUR</t>
  </si>
  <si>
    <t>Сумма НДС в составе лизинговых платежей всего, RUR</t>
  </si>
  <si>
    <t>Сумма платежа</t>
  </si>
  <si>
    <t>Экономия налога на прибыль</t>
  </si>
  <si>
    <t>Сумма выплаты без учета НДС, первый платеж, RUR</t>
  </si>
  <si>
    <t>Сумма выплаты без учета НДС, промежуточные платежи, RUR</t>
  </si>
  <si>
    <t>Сумма выплаты без учета НДС, последний платеж, RUR</t>
  </si>
  <si>
    <t>Переплата (процентные платежи) за весь срок без учета НДС, RUR</t>
  </si>
  <si>
    <t>Переплата (процентные платежи) в пересчете на 1 год без учета НДС, RUR</t>
  </si>
  <si>
    <t>Переплата (процентные платежи) в пересчете на 1 месяц без учета НДС, RUR</t>
  </si>
  <si>
    <t>Cash Flow с учетом всех экономий</t>
  </si>
  <si>
    <t>Экономия в связи с задержкой уплаты НДС</t>
  </si>
  <si>
    <t>Эффективная процентная ставка по обычному лизингу, равная ставке банковского кредита с уплатой процентов в конце срока</t>
  </si>
  <si>
    <t>Расчет по формуле Excel</t>
  </si>
  <si>
    <t>при ежемесячных платежах</t>
  </si>
  <si>
    <t>Расчет эффективной процентной ставки по лизингу</t>
  </si>
  <si>
    <t>Сумма амортизационных отчислений в месяц, RUR</t>
  </si>
  <si>
    <t>Ставка налога на имущество</t>
  </si>
  <si>
    <t>Среднегодовая стоимость основных средств</t>
  </si>
  <si>
    <t>Год 1</t>
  </si>
  <si>
    <t>Год 2</t>
  </si>
  <si>
    <t>Год 3</t>
  </si>
  <si>
    <t>Год 4</t>
  </si>
  <si>
    <t>Год 5</t>
  </si>
  <si>
    <t>Норма амортизации в год</t>
  </si>
  <si>
    <t>На начало</t>
  </si>
  <si>
    <t>На конец</t>
  </si>
  <si>
    <t>Среднегодовая</t>
  </si>
  <si>
    <t>Амортизация</t>
  </si>
  <si>
    <t>Налог к уплате (в год)</t>
  </si>
  <si>
    <t>Налог к уплате (в месяц)</t>
  </si>
  <si>
    <t>Срок амортизации предмета лизинга при его прямом приобретении, лет</t>
  </si>
  <si>
    <t>Уменьшение налогооблагаемой базы при прямой покупке имущества, в месяц, RUR:</t>
  </si>
  <si>
    <t>Уменьшение налогооблагаемой базы при лизинге без учета процентных выплат, в месяц, RUR:</t>
  </si>
  <si>
    <t>Экономия по налогу на прибыль при лизинге без учета процентных выплат, в месяц, RUR:</t>
  </si>
  <si>
    <t>Сумма выплаты с учетом НДС, первый платеж, RUR</t>
  </si>
  <si>
    <t>Сумма выплаты с учетом НДС, промежуточные платежи, RUR</t>
  </si>
  <si>
    <t>Сумма выплаты с учетом НДС, последний платеж, RUR</t>
  </si>
  <si>
    <t>Тип объекта лизинга по критерию обложению налогом на имущество</t>
  </si>
  <si>
    <t>Подлежит уплате</t>
  </si>
  <si>
    <t>Не подлежит уплате</t>
  </si>
  <si>
    <t>Налог на имущество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</si>
</sst>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0.000%"/>
    <numFmt numFmtId="165" formatCode="_-* #,##0\ _₽_-;\-* #,##0\ _₽_-;_-* &quot;-&quot;??\ _₽_-;_-@_-"/>
    <numFmt numFmtId="166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4" fontId="0" fillId="0" borderId="1" xfId="0" applyNumberFormat="1" applyBorder="1"/>
    <xf numFmtId="4" fontId="0" fillId="0" borderId="0" xfId="0" applyNumberFormat="1"/>
    <xf numFmtId="0" fontId="3" fillId="0" borderId="0" xfId="0" applyFont="1"/>
    <xf numFmtId="10" fontId="0" fillId="0" borderId="0" xfId="0" applyNumberFormat="1"/>
    <xf numFmtId="0" fontId="5" fillId="0" borderId="0" xfId="0" applyFont="1"/>
    <xf numFmtId="10" fontId="4" fillId="2" borderId="2" xfId="1" applyNumberFormat="1" applyFont="1" applyFill="1" applyBorder="1"/>
    <xf numFmtId="10" fontId="1" fillId="0" borderId="2" xfId="1" applyNumberFormat="1" applyFont="1" applyBorder="1"/>
    <xf numFmtId="4" fontId="0" fillId="0" borderId="1" xfId="0" applyNumberFormat="1" applyBorder="1" applyAlignment="1">
      <alignment horizontal="center" vertical="center"/>
    </xf>
    <xf numFmtId="10" fontId="1" fillId="2" borderId="2" xfId="1" applyNumberFormat="1" applyFont="1" applyFill="1" applyBorder="1"/>
    <xf numFmtId="4" fontId="0" fillId="0" borderId="2" xfId="0" applyNumberFormat="1" applyBorder="1"/>
    <xf numFmtId="10" fontId="0" fillId="2" borderId="2" xfId="0" applyNumberFormat="1" applyFill="1" applyBorder="1"/>
    <xf numFmtId="10" fontId="3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vertical="center"/>
    </xf>
    <xf numFmtId="10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4" fillId="0" borderId="0" xfId="0" applyFont="1" applyAlignment="1">
      <alignment vertical="center"/>
    </xf>
    <xf numFmtId="10" fontId="1" fillId="0" borderId="2" xfId="0" applyNumberFormat="1" applyFont="1" applyBorder="1" applyAlignment="1">
      <alignment horizontal="center" vertical="center"/>
    </xf>
    <xf numFmtId="165" fontId="1" fillId="0" borderId="2" xfId="2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9" fontId="0" fillId="0" borderId="1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" fontId="0" fillId="3" borderId="1" xfId="0" applyNumberForma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4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10" fontId="4" fillId="2" borderId="2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0" fontId="1" fillId="2" borderId="2" xfId="1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1" fillId="2" borderId="2" xfId="0" applyNumberFormat="1" applyFont="1" applyFill="1" applyBorder="1" applyAlignment="1">
      <alignment vertical="center"/>
    </xf>
    <xf numFmtId="9" fontId="1" fillId="2" borderId="2" xfId="1" applyFont="1" applyFill="1" applyBorder="1" applyAlignment="1">
      <alignment vertical="center"/>
    </xf>
    <xf numFmtId="0" fontId="0" fillId="4" borderId="2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0" fontId="1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166" fontId="0" fillId="2" borderId="1" xfId="0" applyNumberFormat="1" applyFill="1" applyBorder="1" applyAlignment="1">
      <alignment vertical="center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workbookViewId="0">
      <selection activeCell="H60" sqref="H60:K123"/>
    </sheetView>
  </sheetViews>
  <sheetFormatPr defaultRowHeight="15" x14ac:dyDescent="0.25"/>
  <cols>
    <col min="1" max="1" width="9.28515625" style="20" customWidth="1"/>
    <col min="2" max="6" width="15.7109375" style="20" customWidth="1"/>
    <col min="7" max="7" width="17.42578125" style="20" customWidth="1"/>
    <col min="8" max="12" width="15.7109375" style="20" customWidth="1"/>
    <col min="13" max="15" width="12.7109375" style="20" customWidth="1"/>
    <col min="16" max="16384" width="9.140625" style="20"/>
  </cols>
  <sheetData>
    <row r="1" spans="1:7" ht="18.75" x14ac:dyDescent="0.25">
      <c r="A1" s="28" t="s">
        <v>80</v>
      </c>
    </row>
    <row r="2" spans="1:7" ht="12" customHeight="1" x14ac:dyDescent="0.25">
      <c r="D2" s="28"/>
      <c r="E2" s="28"/>
      <c r="F2" s="28"/>
      <c r="G2" s="28"/>
    </row>
    <row r="3" spans="1:7" ht="18.75" x14ac:dyDescent="0.25">
      <c r="B3" s="20" t="s">
        <v>37</v>
      </c>
      <c r="C3" s="28"/>
      <c r="D3" s="28"/>
      <c r="E3" s="28"/>
      <c r="F3" s="28"/>
      <c r="G3" s="33">
        <v>0.18</v>
      </c>
    </row>
    <row r="4" spans="1:7" x14ac:dyDescent="0.25">
      <c r="B4" s="20" t="s">
        <v>38</v>
      </c>
      <c r="G4" s="33">
        <v>0.2</v>
      </c>
    </row>
    <row r="5" spans="1:7" x14ac:dyDescent="0.25">
      <c r="B5" s="20" t="s">
        <v>82</v>
      </c>
      <c r="G5" s="69">
        <f>IF(G6="Подлежит уплате",2.2%,0)</f>
        <v>0</v>
      </c>
    </row>
    <row r="6" spans="1:7" x14ac:dyDescent="0.25">
      <c r="B6" s="20" t="s">
        <v>103</v>
      </c>
      <c r="G6" s="69" t="s">
        <v>105</v>
      </c>
    </row>
    <row r="7" spans="1:7" ht="15" customHeight="1" x14ac:dyDescent="0.25">
      <c r="A7" s="34" t="s">
        <v>51</v>
      </c>
      <c r="B7" s="35"/>
      <c r="C7" s="35"/>
      <c r="D7" s="35"/>
      <c r="E7" s="35"/>
      <c r="F7" s="36"/>
      <c r="G7" s="45">
        <v>1600000000</v>
      </c>
    </row>
    <row r="8" spans="1:7" x14ac:dyDescent="0.25">
      <c r="A8" s="38" t="s">
        <v>52</v>
      </c>
      <c r="B8" s="39"/>
      <c r="C8" s="39"/>
      <c r="D8" s="39"/>
      <c r="E8" s="39"/>
      <c r="F8" s="40"/>
      <c r="G8" s="41">
        <f>G7/(1+G3)</f>
        <v>1355932203.3898306</v>
      </c>
    </row>
    <row r="9" spans="1:7" x14ac:dyDescent="0.25">
      <c r="A9" s="38" t="s">
        <v>50</v>
      </c>
      <c r="B9" s="39"/>
      <c r="C9" s="39"/>
      <c r="D9" s="39"/>
      <c r="E9" s="39"/>
      <c r="F9" s="40"/>
      <c r="G9" s="41">
        <f>G7*(1-1/(1+G3))</f>
        <v>244067796.61016938</v>
      </c>
    </row>
    <row r="10" spans="1:7" x14ac:dyDescent="0.25">
      <c r="A10" s="38" t="s">
        <v>29</v>
      </c>
      <c r="B10" s="39"/>
      <c r="C10" s="39"/>
      <c r="D10" s="39"/>
      <c r="E10" s="39"/>
      <c r="F10" s="40"/>
      <c r="G10" s="57">
        <v>60</v>
      </c>
    </row>
    <row r="11" spans="1:7" ht="18.75" x14ac:dyDescent="0.25">
      <c r="A11" s="38" t="s">
        <v>31</v>
      </c>
      <c r="B11" s="39"/>
      <c r="C11" s="39"/>
      <c r="D11" s="39"/>
      <c r="E11" s="39"/>
      <c r="F11" s="40"/>
      <c r="G11" s="67">
        <f>G20/G7</f>
        <v>0.11005403</v>
      </c>
    </row>
    <row r="12" spans="1:7" x14ac:dyDescent="0.25">
      <c r="A12" s="38" t="s">
        <v>49</v>
      </c>
      <c r="B12" s="39"/>
      <c r="C12" s="39"/>
      <c r="D12" s="39"/>
      <c r="E12" s="39"/>
      <c r="F12" s="40"/>
      <c r="G12" s="45">
        <v>1180</v>
      </c>
    </row>
    <row r="13" spans="1:7" x14ac:dyDescent="0.25">
      <c r="A13" s="38" t="s">
        <v>65</v>
      </c>
      <c r="B13" s="39"/>
      <c r="C13" s="39"/>
      <c r="D13" s="39"/>
      <c r="E13" s="39"/>
      <c r="F13" s="40"/>
      <c r="G13" s="41">
        <f>G7*(1-1/(1+$G$3))</f>
        <v>244067796.61016938</v>
      </c>
    </row>
    <row r="14" spans="1:7" x14ac:dyDescent="0.25">
      <c r="A14" s="38" t="s">
        <v>48</v>
      </c>
      <c r="B14" s="39"/>
      <c r="C14" s="39"/>
      <c r="D14" s="39"/>
      <c r="E14" s="39"/>
      <c r="F14" s="40"/>
      <c r="G14" s="57">
        <v>12</v>
      </c>
    </row>
    <row r="15" spans="1:7" x14ac:dyDescent="0.25">
      <c r="A15" s="38" t="s">
        <v>30</v>
      </c>
      <c r="B15" s="39"/>
      <c r="C15" s="39"/>
      <c r="D15" s="39"/>
      <c r="E15" s="39"/>
      <c r="F15" s="40"/>
      <c r="G15" s="58">
        <v>0.1</v>
      </c>
    </row>
    <row r="16" spans="1:7" ht="15.75" x14ac:dyDescent="0.25">
      <c r="A16" s="38" t="s">
        <v>56</v>
      </c>
      <c r="B16" s="39"/>
      <c r="C16" s="39"/>
      <c r="D16" s="39"/>
      <c r="E16" s="39"/>
      <c r="F16" s="40"/>
      <c r="G16" s="68">
        <f>G7*G15</f>
        <v>160000000</v>
      </c>
    </row>
    <row r="17" spans="1:7" x14ac:dyDescent="0.25">
      <c r="A17" s="38" t="s">
        <v>57</v>
      </c>
      <c r="B17" s="39"/>
      <c r="C17" s="39"/>
      <c r="D17" s="39"/>
      <c r="E17" s="39"/>
      <c r="F17" s="40"/>
      <c r="G17" s="45">
        <v>38673851</v>
      </c>
    </row>
    <row r="18" spans="1:7" ht="15.75" x14ac:dyDescent="0.25">
      <c r="A18" s="38" t="s">
        <v>58</v>
      </c>
      <c r="B18" s="39"/>
      <c r="C18" s="39"/>
      <c r="D18" s="39"/>
      <c r="E18" s="39"/>
      <c r="F18" s="40"/>
      <c r="G18" s="68">
        <f>(G17*G10+G16+G12)</f>
        <v>2480432240</v>
      </c>
    </row>
    <row r="19" spans="1:7" x14ac:dyDescent="0.25">
      <c r="A19" s="38" t="s">
        <v>60</v>
      </c>
      <c r="B19" s="39"/>
      <c r="C19" s="39"/>
      <c r="D19" s="39"/>
      <c r="E19" s="39"/>
      <c r="F19" s="40"/>
      <c r="G19" s="41">
        <f>G18-G7</f>
        <v>880432240</v>
      </c>
    </row>
    <row r="20" spans="1:7" x14ac:dyDescent="0.25">
      <c r="A20" s="38" t="s">
        <v>59</v>
      </c>
      <c r="B20" s="39"/>
      <c r="C20" s="39"/>
      <c r="D20" s="39"/>
      <c r="E20" s="39"/>
      <c r="F20" s="40"/>
      <c r="G20" s="41">
        <f>G19/(G10/12)</f>
        <v>176086448</v>
      </c>
    </row>
    <row r="21" spans="1:7" x14ac:dyDescent="0.25">
      <c r="A21" s="38" t="s">
        <v>61</v>
      </c>
      <c r="B21" s="39"/>
      <c r="C21" s="39"/>
      <c r="D21" s="39"/>
      <c r="E21" s="39"/>
      <c r="F21" s="40"/>
      <c r="G21" s="41">
        <f>G20/G14</f>
        <v>14673870.666666666</v>
      </c>
    </row>
    <row r="22" spans="1:7" x14ac:dyDescent="0.25">
      <c r="A22" s="38" t="s">
        <v>72</v>
      </c>
      <c r="B22" s="39"/>
      <c r="C22" s="39"/>
      <c r="D22" s="39"/>
      <c r="E22" s="39"/>
      <c r="F22" s="40"/>
      <c r="G22" s="41">
        <f>G19/(1+$G$3)</f>
        <v>746129016.94915259</v>
      </c>
    </row>
    <row r="23" spans="1:7" x14ac:dyDescent="0.25">
      <c r="A23" s="38" t="s">
        <v>73</v>
      </c>
      <c r="B23" s="39"/>
      <c r="C23" s="39"/>
      <c r="D23" s="39"/>
      <c r="E23" s="39"/>
      <c r="F23" s="40"/>
      <c r="G23" s="41">
        <f>G20/(1+$G$3)</f>
        <v>149225803.38983053</v>
      </c>
    </row>
    <row r="24" spans="1:7" x14ac:dyDescent="0.25">
      <c r="A24" s="38" t="s">
        <v>74</v>
      </c>
      <c r="B24" s="39"/>
      <c r="C24" s="39"/>
      <c r="D24" s="39"/>
      <c r="E24" s="39"/>
      <c r="F24" s="40"/>
      <c r="G24" s="41">
        <f>G21/(1+$G$3)</f>
        <v>12435483.615819208</v>
      </c>
    </row>
    <row r="25" spans="1:7" x14ac:dyDescent="0.25">
      <c r="A25" s="38" t="s">
        <v>53</v>
      </c>
      <c r="B25" s="39"/>
      <c r="C25" s="39"/>
      <c r="D25" s="39"/>
      <c r="E25" s="39"/>
      <c r="F25" s="40"/>
      <c r="G25" s="41">
        <f>G16+G17*G14</f>
        <v>624086212</v>
      </c>
    </row>
    <row r="26" spans="1:7" x14ac:dyDescent="0.25">
      <c r="A26" s="38" t="s">
        <v>54</v>
      </c>
      <c r="B26" s="39"/>
      <c r="C26" s="39"/>
      <c r="D26" s="39"/>
      <c r="E26" s="39"/>
      <c r="F26" s="40"/>
      <c r="G26" s="41">
        <f>G17*G14</f>
        <v>464086212</v>
      </c>
    </row>
    <row r="27" spans="1:7" x14ac:dyDescent="0.25">
      <c r="A27" s="38" t="s">
        <v>55</v>
      </c>
      <c r="B27" s="39"/>
      <c r="C27" s="39"/>
      <c r="D27" s="39"/>
      <c r="E27" s="39"/>
      <c r="F27" s="40"/>
      <c r="G27" s="41">
        <f>G26+G12</f>
        <v>464087392</v>
      </c>
    </row>
    <row r="28" spans="1:7" x14ac:dyDescent="0.25">
      <c r="A28" s="38" t="s">
        <v>100</v>
      </c>
      <c r="B28" s="39"/>
      <c r="C28" s="39"/>
      <c r="D28" s="39"/>
      <c r="E28" s="39"/>
      <c r="F28" s="40"/>
      <c r="G28" s="41">
        <f>G16</f>
        <v>160000000</v>
      </c>
    </row>
    <row r="29" spans="1:7" x14ac:dyDescent="0.25">
      <c r="A29" s="38" t="s">
        <v>101</v>
      </c>
      <c r="B29" s="39"/>
      <c r="C29" s="39"/>
      <c r="D29" s="39"/>
      <c r="E29" s="39"/>
      <c r="F29" s="40"/>
      <c r="G29" s="41">
        <f>G17</f>
        <v>38673851</v>
      </c>
    </row>
    <row r="30" spans="1:7" x14ac:dyDescent="0.25">
      <c r="A30" s="38" t="s">
        <v>102</v>
      </c>
      <c r="B30" s="39"/>
      <c r="C30" s="39"/>
      <c r="D30" s="39"/>
      <c r="E30" s="39"/>
      <c r="F30" s="40"/>
      <c r="G30" s="41">
        <f>G17+G12</f>
        <v>38675031</v>
      </c>
    </row>
    <row r="31" spans="1:7" x14ac:dyDescent="0.25">
      <c r="A31" s="38" t="s">
        <v>69</v>
      </c>
      <c r="B31" s="39"/>
      <c r="C31" s="39"/>
      <c r="D31" s="39"/>
      <c r="E31" s="39"/>
      <c r="F31" s="40"/>
      <c r="G31" s="41">
        <f>G16/(1+$G$3)</f>
        <v>135593220.33898306</v>
      </c>
    </row>
    <row r="32" spans="1:7" ht="15" customHeight="1" x14ac:dyDescent="0.25">
      <c r="A32" s="38" t="s">
        <v>70</v>
      </c>
      <c r="B32" s="39"/>
      <c r="C32" s="39"/>
      <c r="D32" s="39"/>
      <c r="E32" s="39"/>
      <c r="F32" s="40"/>
      <c r="G32" s="41">
        <f>G17/(1+$G$3)</f>
        <v>32774450</v>
      </c>
    </row>
    <row r="33" spans="1:11" x14ac:dyDescent="0.25">
      <c r="A33" s="38" t="s">
        <v>71</v>
      </c>
      <c r="B33" s="39"/>
      <c r="C33" s="39"/>
      <c r="D33" s="39"/>
      <c r="E33" s="39"/>
      <c r="F33" s="40"/>
      <c r="G33" s="41">
        <f>(G17+G12)/(1+G3)</f>
        <v>32775450</v>
      </c>
    </row>
    <row r="34" spans="1:11" x14ac:dyDescent="0.25">
      <c r="A34" s="38" t="s">
        <v>62</v>
      </c>
      <c r="B34" s="39"/>
      <c r="C34" s="39"/>
      <c r="D34" s="39"/>
      <c r="E34" s="39"/>
      <c r="F34" s="40"/>
      <c r="G34" s="41">
        <f>G16-G31</f>
        <v>24406779.661016941</v>
      </c>
      <c r="H34" s="32"/>
      <c r="I34" s="32"/>
      <c r="J34" s="32"/>
      <c r="K34" s="32"/>
    </row>
    <row r="35" spans="1:11" x14ac:dyDescent="0.25">
      <c r="A35" s="38" t="s">
        <v>63</v>
      </c>
      <c r="B35" s="39"/>
      <c r="C35" s="39"/>
      <c r="D35" s="39"/>
      <c r="E35" s="39"/>
      <c r="F35" s="40"/>
      <c r="G35" s="41">
        <f>G17-G32</f>
        <v>5899401</v>
      </c>
      <c r="H35" s="32"/>
      <c r="I35" s="32"/>
      <c r="J35" s="32"/>
      <c r="K35" s="32"/>
    </row>
    <row r="36" spans="1:11" x14ac:dyDescent="0.25">
      <c r="A36" s="38" t="s">
        <v>64</v>
      </c>
      <c r="B36" s="39"/>
      <c r="C36" s="39"/>
      <c r="D36" s="39"/>
      <c r="E36" s="39"/>
      <c r="F36" s="40"/>
      <c r="G36" s="41">
        <f>G17+G12-G33</f>
        <v>5899581</v>
      </c>
      <c r="H36" s="32"/>
      <c r="I36" s="32"/>
      <c r="J36" s="32"/>
      <c r="K36" s="32"/>
    </row>
    <row r="37" spans="1:11" x14ac:dyDescent="0.25">
      <c r="A37" s="38" t="s">
        <v>66</v>
      </c>
      <c r="B37" s="39"/>
      <c r="C37" s="39"/>
      <c r="D37" s="39"/>
      <c r="E37" s="39"/>
      <c r="F37" s="40"/>
      <c r="G37" s="41">
        <f>G34+G35*(G10-1)+G36</f>
        <v>378371019.66101694</v>
      </c>
      <c r="H37" s="32"/>
      <c r="I37" s="32"/>
      <c r="J37" s="32"/>
      <c r="K37" s="32"/>
    </row>
    <row r="38" spans="1:11" ht="15" customHeight="1" x14ac:dyDescent="0.25">
      <c r="A38" s="64" t="s">
        <v>96</v>
      </c>
      <c r="B38" s="30"/>
      <c r="C38" s="30"/>
      <c r="D38" s="30"/>
      <c r="E38" s="30"/>
      <c r="F38" s="31"/>
      <c r="G38" s="74">
        <f>G10/12</f>
        <v>5</v>
      </c>
      <c r="H38" s="32"/>
      <c r="I38" s="32"/>
      <c r="J38" s="32"/>
      <c r="K38" s="32"/>
    </row>
    <row r="39" spans="1:11" ht="15" customHeight="1" x14ac:dyDescent="0.25">
      <c r="A39" s="64" t="s">
        <v>81</v>
      </c>
      <c r="B39" s="30"/>
      <c r="C39" s="30"/>
      <c r="D39" s="30"/>
      <c r="E39" s="30"/>
      <c r="F39" s="31"/>
      <c r="G39" s="41">
        <f>G7/(12*G38)</f>
        <v>26666666.666666668</v>
      </c>
      <c r="H39" s="32"/>
      <c r="I39" s="32"/>
      <c r="J39" s="32"/>
      <c r="K39" s="32"/>
    </row>
    <row r="40" spans="1:11" ht="15" customHeight="1" x14ac:dyDescent="0.25">
      <c r="A40" s="64" t="s">
        <v>97</v>
      </c>
      <c r="B40" s="30"/>
      <c r="C40" s="30"/>
      <c r="D40" s="30"/>
      <c r="E40" s="30"/>
      <c r="F40" s="31"/>
      <c r="G40" s="41"/>
      <c r="H40" s="32"/>
      <c r="I40" s="32"/>
      <c r="J40" s="32"/>
      <c r="K40" s="32"/>
    </row>
    <row r="41" spans="1:11" ht="15" customHeight="1" x14ac:dyDescent="0.25">
      <c r="A41" s="20" t="s">
        <v>84</v>
      </c>
      <c r="B41" s="30"/>
      <c r="C41" s="30"/>
      <c r="D41" s="30"/>
      <c r="E41" s="30"/>
      <c r="F41" s="31"/>
      <c r="G41" s="41">
        <f>$G$39+F135</f>
        <v>26666666.666666668</v>
      </c>
      <c r="H41" s="32"/>
      <c r="I41" s="32"/>
      <c r="J41" s="32"/>
      <c r="K41" s="32"/>
    </row>
    <row r="42" spans="1:11" ht="15" customHeight="1" x14ac:dyDescent="0.25">
      <c r="A42" s="20" t="s">
        <v>85</v>
      </c>
      <c r="B42" s="30"/>
      <c r="C42" s="30"/>
      <c r="D42" s="30"/>
      <c r="E42" s="30"/>
      <c r="F42" s="31"/>
      <c r="G42" s="41">
        <f>$G$39+F136</f>
        <v>26666666.666666668</v>
      </c>
      <c r="H42" s="32"/>
      <c r="I42" s="32"/>
      <c r="J42" s="32"/>
      <c r="K42" s="32"/>
    </row>
    <row r="43" spans="1:11" ht="15" customHeight="1" x14ac:dyDescent="0.25">
      <c r="A43" s="20" t="s">
        <v>86</v>
      </c>
      <c r="B43" s="30"/>
      <c r="C43" s="30"/>
      <c r="D43" s="30"/>
      <c r="E43" s="30"/>
      <c r="F43" s="31"/>
      <c r="G43" s="41">
        <f>$G$39+F137</f>
        <v>26666666.666666668</v>
      </c>
      <c r="H43" s="32"/>
      <c r="I43" s="32"/>
      <c r="J43" s="32"/>
      <c r="K43" s="32"/>
    </row>
    <row r="44" spans="1:11" ht="15" customHeight="1" x14ac:dyDescent="0.25">
      <c r="A44" s="20" t="s">
        <v>87</v>
      </c>
      <c r="B44" s="30"/>
      <c r="C44" s="30"/>
      <c r="D44" s="30"/>
      <c r="E44" s="30"/>
      <c r="F44" s="31"/>
      <c r="G44" s="41">
        <f>$G$39+F138</f>
        <v>26666666.666666668</v>
      </c>
      <c r="H44" s="32"/>
      <c r="I44" s="32"/>
      <c r="J44" s="32"/>
      <c r="K44" s="32"/>
    </row>
    <row r="45" spans="1:11" ht="15" customHeight="1" x14ac:dyDescent="0.25">
      <c r="A45" s="20" t="s">
        <v>88</v>
      </c>
      <c r="B45" s="30"/>
      <c r="C45" s="30"/>
      <c r="D45" s="30"/>
      <c r="E45" s="30"/>
      <c r="F45" s="31"/>
      <c r="G45" s="41">
        <f>$G$39+F139</f>
        <v>26666666.666666668</v>
      </c>
      <c r="H45" s="32"/>
      <c r="I45" s="32"/>
      <c r="J45" s="32"/>
      <c r="K45" s="32"/>
    </row>
    <row r="46" spans="1:11" ht="15" customHeight="1" x14ac:dyDescent="0.25">
      <c r="A46" s="64" t="s">
        <v>98</v>
      </c>
      <c r="B46" s="30"/>
      <c r="C46" s="30"/>
      <c r="D46" s="30"/>
      <c r="E46" s="30"/>
      <c r="F46" s="31"/>
      <c r="G46" s="41"/>
      <c r="H46" s="32"/>
      <c r="I46" s="32"/>
      <c r="J46" s="32"/>
      <c r="K46" s="32"/>
    </row>
    <row r="47" spans="1:11" ht="15" customHeight="1" x14ac:dyDescent="0.25">
      <c r="A47" s="20" t="s">
        <v>84</v>
      </c>
      <c r="B47" s="30"/>
      <c r="C47" s="30"/>
      <c r="D47" s="30"/>
      <c r="E47" s="30"/>
      <c r="F47" s="31"/>
      <c r="G47" s="41">
        <f>(G28+$G$29*($G$14-1))/$G$14</f>
        <v>48784363.416666664</v>
      </c>
      <c r="H47" s="32"/>
      <c r="I47" s="32"/>
      <c r="J47" s="32"/>
      <c r="K47" s="32"/>
    </row>
    <row r="48" spans="1:11" ht="15" customHeight="1" x14ac:dyDescent="0.25">
      <c r="A48" s="20" t="s">
        <v>85</v>
      </c>
      <c r="B48" s="30"/>
      <c r="C48" s="30"/>
      <c r="D48" s="30"/>
      <c r="E48" s="30"/>
      <c r="F48" s="31"/>
      <c r="G48" s="41">
        <f>$G$29</f>
        <v>38673851</v>
      </c>
      <c r="H48" s="32"/>
      <c r="I48" s="32"/>
      <c r="J48" s="32"/>
      <c r="K48" s="32"/>
    </row>
    <row r="49" spans="1:15" ht="15" customHeight="1" x14ac:dyDescent="0.25">
      <c r="A49" s="20" t="s">
        <v>86</v>
      </c>
      <c r="B49" s="30"/>
      <c r="C49" s="30"/>
      <c r="D49" s="30"/>
      <c r="E49" s="30"/>
      <c r="F49" s="31"/>
      <c r="G49" s="41">
        <f t="shared" ref="G49:G50" si="0">$G$29</f>
        <v>38673851</v>
      </c>
      <c r="H49" s="32"/>
      <c r="I49" s="32"/>
      <c r="J49" s="32"/>
      <c r="K49" s="32"/>
    </row>
    <row r="50" spans="1:15" ht="15" customHeight="1" x14ac:dyDescent="0.25">
      <c r="A50" s="20" t="s">
        <v>87</v>
      </c>
      <c r="B50" s="30"/>
      <c r="C50" s="30"/>
      <c r="D50" s="30"/>
      <c r="E50" s="30"/>
      <c r="F50" s="31"/>
      <c r="G50" s="41">
        <f t="shared" si="0"/>
        <v>38673851</v>
      </c>
      <c r="H50" s="32"/>
      <c r="I50" s="32"/>
      <c r="J50" s="32"/>
      <c r="K50" s="32"/>
    </row>
    <row r="51" spans="1:15" ht="15" customHeight="1" x14ac:dyDescent="0.25">
      <c r="A51" s="20" t="s">
        <v>88</v>
      </c>
      <c r="B51" s="30"/>
      <c r="C51" s="30"/>
      <c r="D51" s="30"/>
      <c r="E51" s="30"/>
      <c r="F51" s="31"/>
      <c r="G51" s="41">
        <f>(G30+G29*(G14-1))/G14</f>
        <v>38673949.333333336</v>
      </c>
      <c r="H51" s="32"/>
      <c r="I51" s="32"/>
      <c r="J51" s="32"/>
      <c r="K51" s="32"/>
    </row>
    <row r="52" spans="1:15" ht="15" customHeight="1" x14ac:dyDescent="0.25">
      <c r="A52" s="64" t="s">
        <v>99</v>
      </c>
      <c r="B52" s="30"/>
      <c r="C52" s="30"/>
      <c r="D52" s="30"/>
      <c r="E52" s="30"/>
      <c r="F52" s="31"/>
      <c r="G52" s="41"/>
      <c r="H52" s="32"/>
      <c r="I52" s="32"/>
      <c r="J52" s="32"/>
      <c r="K52" s="32"/>
    </row>
    <row r="53" spans="1:15" ht="15" customHeight="1" x14ac:dyDescent="0.25">
      <c r="A53" s="20" t="s">
        <v>84</v>
      </c>
      <c r="B53" s="30"/>
      <c r="C53" s="30"/>
      <c r="D53" s="30"/>
      <c r="E53" s="30"/>
      <c r="F53" s="31"/>
      <c r="G53" s="41">
        <f>(G47-G41)*$G$4</f>
        <v>4423539.3499999996</v>
      </c>
      <c r="H53" s="32"/>
      <c r="I53" s="32"/>
      <c r="J53" s="32"/>
      <c r="K53" s="32"/>
    </row>
    <row r="54" spans="1:15" ht="15" customHeight="1" x14ac:dyDescent="0.25">
      <c r="A54" s="20" t="s">
        <v>85</v>
      </c>
      <c r="B54" s="30"/>
      <c r="C54" s="30"/>
      <c r="D54" s="30"/>
      <c r="E54" s="30"/>
      <c r="F54" s="31"/>
      <c r="G54" s="41">
        <f t="shared" ref="G54:G57" si="1">(G48-G42)*$G$4</f>
        <v>2401436.8666666667</v>
      </c>
      <c r="H54" s="32"/>
      <c r="I54" s="32"/>
      <c r="J54" s="32"/>
      <c r="K54" s="32"/>
    </row>
    <row r="55" spans="1:15" ht="15" customHeight="1" x14ac:dyDescent="0.25">
      <c r="A55" s="20" t="s">
        <v>86</v>
      </c>
      <c r="B55" s="30"/>
      <c r="C55" s="30"/>
      <c r="D55" s="30"/>
      <c r="E55" s="30"/>
      <c r="F55" s="31"/>
      <c r="G55" s="41">
        <f t="shared" si="1"/>
        <v>2401436.8666666667</v>
      </c>
      <c r="H55" s="32"/>
      <c r="I55" s="32"/>
      <c r="J55" s="32"/>
      <c r="K55" s="32"/>
    </row>
    <row r="56" spans="1:15" ht="15" customHeight="1" x14ac:dyDescent="0.25">
      <c r="A56" s="20" t="s">
        <v>87</v>
      </c>
      <c r="B56" s="30"/>
      <c r="C56" s="30"/>
      <c r="D56" s="30"/>
      <c r="E56" s="30"/>
      <c r="F56" s="31"/>
      <c r="G56" s="41">
        <f t="shared" si="1"/>
        <v>2401436.8666666667</v>
      </c>
      <c r="H56" s="32"/>
      <c r="I56" s="32"/>
      <c r="J56" s="32"/>
      <c r="K56" s="32"/>
    </row>
    <row r="57" spans="1:15" ht="15" customHeight="1" x14ac:dyDescent="0.25">
      <c r="A57" s="20" t="s">
        <v>88</v>
      </c>
      <c r="B57" s="30"/>
      <c r="C57" s="30"/>
      <c r="D57" s="30"/>
      <c r="E57" s="30"/>
      <c r="F57" s="31"/>
      <c r="G57" s="41">
        <f t="shared" si="1"/>
        <v>2401456.5333333337</v>
      </c>
      <c r="H57" s="32"/>
      <c r="I57" s="32"/>
      <c r="J57" s="32"/>
      <c r="K57" s="32"/>
    </row>
    <row r="58" spans="1:15" x14ac:dyDescent="0.25">
      <c r="A58" s="42"/>
      <c r="B58" s="43"/>
      <c r="C58" s="43"/>
      <c r="D58" s="43"/>
      <c r="E58" s="43"/>
      <c r="F58" s="44"/>
      <c r="G58" s="59"/>
    </row>
    <row r="59" spans="1:15" ht="30" customHeight="1" x14ac:dyDescent="0.25"/>
    <row r="60" spans="1:15" ht="60" x14ac:dyDescent="0.25">
      <c r="A60" s="46" t="s">
        <v>0</v>
      </c>
      <c r="B60" s="46" t="s">
        <v>1</v>
      </c>
      <c r="C60" s="46" t="s">
        <v>67</v>
      </c>
      <c r="D60" s="46" t="s">
        <v>3</v>
      </c>
      <c r="E60" s="56" t="s">
        <v>68</v>
      </c>
      <c r="F60" s="56" t="s">
        <v>76</v>
      </c>
      <c r="G60" s="56" t="s">
        <v>75</v>
      </c>
      <c r="H60" s="47" t="s">
        <v>32</v>
      </c>
      <c r="I60" s="47" t="s">
        <v>33</v>
      </c>
      <c r="J60" s="47" t="s">
        <v>34</v>
      </c>
      <c r="K60" s="47" t="s">
        <v>35</v>
      </c>
    </row>
    <row r="61" spans="1:15" x14ac:dyDescent="0.25">
      <c r="A61" s="46">
        <v>1</v>
      </c>
      <c r="B61" s="49">
        <f>DATE(2015,8,25)</f>
        <v>42241</v>
      </c>
      <c r="C61" s="37">
        <f>G16</f>
        <v>160000000</v>
      </c>
      <c r="D61" s="50">
        <f t="shared" ref="D61:D92" si="2">C61*(1-1/(1+$G$3))</f>
        <v>24406779.661016937</v>
      </c>
      <c r="E61" s="55"/>
      <c r="F61" s="55">
        <f>-(G9-D61)</f>
        <v>-219661016.94915244</v>
      </c>
      <c r="G61" s="55">
        <f t="shared" ref="G61:G92" si="3">C61+E61+F61</f>
        <v>-59661016.94915244</v>
      </c>
      <c r="H61" s="51">
        <f>G61-$G$7</f>
        <v>-1659661016.9491525</v>
      </c>
      <c r="I61" s="51">
        <f t="shared" ref="I61:I92" si="4">H62*A61</f>
        <v>40149712.649999999</v>
      </c>
      <c r="J61" s="60">
        <v>1</v>
      </c>
      <c r="K61" s="23">
        <f>POWER(J61,-12)-1</f>
        <v>0</v>
      </c>
      <c r="L61" s="51"/>
      <c r="M61" s="51"/>
      <c r="O61" s="23"/>
    </row>
    <row r="62" spans="1:15" x14ac:dyDescent="0.25">
      <c r="A62" s="46">
        <v>2</v>
      </c>
      <c r="B62" s="49">
        <f>DATE(2015,9,25)</f>
        <v>42272</v>
      </c>
      <c r="C62" s="37">
        <f>$G$17</f>
        <v>38673851</v>
      </c>
      <c r="D62" s="50">
        <f t="shared" si="2"/>
        <v>5899400.9999999972</v>
      </c>
      <c r="E62" s="55">
        <f t="shared" ref="E62:E93" si="5">-IF(A62&lt;13,$G$53,IF(A62&lt;25,$G$54,IF(A62&lt;37,$G$55,IF(A62&lt;49,$G$56,$G$57))))</f>
        <v>-4423539.3499999996</v>
      </c>
      <c r="F62" s="55">
        <f>D62</f>
        <v>5899400.9999999972</v>
      </c>
      <c r="G62" s="55">
        <f t="shared" si="3"/>
        <v>40149712.649999999</v>
      </c>
      <c r="H62" s="51">
        <f>G62</f>
        <v>40149712.649999999</v>
      </c>
      <c r="I62" s="51">
        <f t="shared" si="4"/>
        <v>80299425.299999997</v>
      </c>
      <c r="J62" s="20">
        <f t="shared" ref="J62:J93" si="6">J61-SERIESSUM(J61,0,1,$H$61:$H$121)/SERIESSUM(J61,0,1,$I$61:$I$121)</f>
        <v>0.98898761010732272</v>
      </c>
      <c r="K62" s="23">
        <f t="shared" ref="K62:K97" si="7">POWER(J62,-12)-1</f>
        <v>0.14211488000219585</v>
      </c>
      <c r="L62" s="51"/>
      <c r="M62" s="51"/>
      <c r="O62" s="23"/>
    </row>
    <row r="63" spans="1:15" x14ac:dyDescent="0.25">
      <c r="A63" s="46">
        <v>3</v>
      </c>
      <c r="B63" s="49">
        <f>DATE(2015,10,25)</f>
        <v>42302</v>
      </c>
      <c r="C63" s="37">
        <f t="shared" ref="C63:C120" si="8">$G$17</f>
        <v>38673851</v>
      </c>
      <c r="D63" s="50">
        <f t="shared" si="2"/>
        <v>5899400.9999999972</v>
      </c>
      <c r="E63" s="55">
        <f t="shared" si="5"/>
        <v>-4423539.3499999996</v>
      </c>
      <c r="F63" s="55">
        <f t="shared" ref="F63:F121" si="9">D63</f>
        <v>5899400.9999999972</v>
      </c>
      <c r="G63" s="55">
        <f t="shared" si="3"/>
        <v>40149712.649999999</v>
      </c>
      <c r="H63" s="51">
        <f t="shared" ref="H63:H121" si="10">G63</f>
        <v>40149712.649999999</v>
      </c>
      <c r="I63" s="51">
        <f t="shared" si="4"/>
        <v>120449137.94999999</v>
      </c>
      <c r="J63" s="20">
        <f t="shared" si="6"/>
        <v>0.98585621947783264</v>
      </c>
      <c r="K63" s="23">
        <f t="shared" si="7"/>
        <v>0.18641610273252951</v>
      </c>
      <c r="L63" s="51"/>
      <c r="M63" s="51"/>
      <c r="O63" s="23"/>
    </row>
    <row r="64" spans="1:15" x14ac:dyDescent="0.25">
      <c r="A64" s="46">
        <v>4</v>
      </c>
      <c r="B64" s="49">
        <f>DATE(2015,11,25)</f>
        <v>42333</v>
      </c>
      <c r="C64" s="37">
        <f t="shared" si="8"/>
        <v>38673851</v>
      </c>
      <c r="D64" s="50">
        <f t="shared" si="2"/>
        <v>5899400.9999999972</v>
      </c>
      <c r="E64" s="55">
        <f t="shared" si="5"/>
        <v>-4423539.3499999996</v>
      </c>
      <c r="F64" s="55">
        <f t="shared" si="9"/>
        <v>5899400.9999999972</v>
      </c>
      <c r="G64" s="55">
        <f t="shared" si="3"/>
        <v>40149712.649999999</v>
      </c>
      <c r="H64" s="51">
        <f t="shared" si="10"/>
        <v>40149712.649999999</v>
      </c>
      <c r="I64" s="51">
        <f t="shared" si="4"/>
        <v>160598850.59999999</v>
      </c>
      <c r="J64" s="20">
        <f t="shared" si="6"/>
        <v>0.98565861493609186</v>
      </c>
      <c r="K64" s="23">
        <f t="shared" si="7"/>
        <v>0.18927348012586398</v>
      </c>
      <c r="L64" s="51"/>
      <c r="M64" s="51"/>
      <c r="O64" s="23"/>
    </row>
    <row r="65" spans="1:15" x14ac:dyDescent="0.25">
      <c r="A65" s="46">
        <v>5</v>
      </c>
      <c r="B65" s="49">
        <f>DATE(2015,12,25)</f>
        <v>42363</v>
      </c>
      <c r="C65" s="37">
        <f t="shared" si="8"/>
        <v>38673851</v>
      </c>
      <c r="D65" s="50">
        <f t="shared" si="2"/>
        <v>5899400.9999999972</v>
      </c>
      <c r="E65" s="55">
        <f t="shared" si="5"/>
        <v>-4423539.3499999996</v>
      </c>
      <c r="F65" s="55">
        <f t="shared" si="9"/>
        <v>5899400.9999999972</v>
      </c>
      <c r="G65" s="55">
        <f t="shared" si="3"/>
        <v>40149712.649999999</v>
      </c>
      <c r="H65" s="51">
        <f t="shared" si="10"/>
        <v>40149712.649999999</v>
      </c>
      <c r="I65" s="51">
        <f t="shared" si="4"/>
        <v>200748563.25</v>
      </c>
      <c r="J65" s="20">
        <f t="shared" si="6"/>
        <v>0.98565789146771388</v>
      </c>
      <c r="K65" s="23">
        <f t="shared" si="7"/>
        <v>0.18928395522360075</v>
      </c>
      <c r="L65" s="51"/>
      <c r="M65" s="51"/>
      <c r="O65" s="23"/>
    </row>
    <row r="66" spans="1:15" x14ac:dyDescent="0.25">
      <c r="A66" s="46">
        <v>6</v>
      </c>
      <c r="B66" s="49">
        <f>DATE(2016,1,25)</f>
        <v>42394</v>
      </c>
      <c r="C66" s="37">
        <f t="shared" si="8"/>
        <v>38673851</v>
      </c>
      <c r="D66" s="50">
        <f t="shared" si="2"/>
        <v>5899400.9999999972</v>
      </c>
      <c r="E66" s="55">
        <f t="shared" si="5"/>
        <v>-4423539.3499999996</v>
      </c>
      <c r="F66" s="55">
        <f t="shared" si="9"/>
        <v>5899400.9999999972</v>
      </c>
      <c r="G66" s="55">
        <f t="shared" si="3"/>
        <v>40149712.649999999</v>
      </c>
      <c r="H66" s="51">
        <f t="shared" si="10"/>
        <v>40149712.649999999</v>
      </c>
      <c r="I66" s="51">
        <f t="shared" si="4"/>
        <v>240898275.89999998</v>
      </c>
      <c r="J66" s="20">
        <f t="shared" si="6"/>
        <v>0.98565789145806959</v>
      </c>
      <c r="K66" s="23">
        <f t="shared" si="7"/>
        <v>0.18928395536324216</v>
      </c>
      <c r="L66" s="51"/>
      <c r="M66" s="51"/>
      <c r="O66" s="23"/>
    </row>
    <row r="67" spans="1:15" x14ac:dyDescent="0.25">
      <c r="A67" s="46">
        <v>7</v>
      </c>
      <c r="B67" s="49">
        <f>DATE(2016,2,25)</f>
        <v>42425</v>
      </c>
      <c r="C67" s="37">
        <f t="shared" si="8"/>
        <v>38673851</v>
      </c>
      <c r="D67" s="50">
        <f t="shared" si="2"/>
        <v>5899400.9999999972</v>
      </c>
      <c r="E67" s="55">
        <f t="shared" si="5"/>
        <v>-4423539.3499999996</v>
      </c>
      <c r="F67" s="55">
        <f t="shared" si="9"/>
        <v>5899400.9999999972</v>
      </c>
      <c r="G67" s="55">
        <f t="shared" si="3"/>
        <v>40149712.649999999</v>
      </c>
      <c r="H67" s="51">
        <f t="shared" si="10"/>
        <v>40149712.649999999</v>
      </c>
      <c r="I67" s="51">
        <f t="shared" si="4"/>
        <v>281047988.55000001</v>
      </c>
      <c r="J67" s="20">
        <f t="shared" si="6"/>
        <v>0.9856578914580697</v>
      </c>
      <c r="K67" s="23">
        <f t="shared" si="7"/>
        <v>0.18928395536324016</v>
      </c>
      <c r="L67" s="51"/>
      <c r="M67" s="51"/>
      <c r="O67" s="23"/>
    </row>
    <row r="68" spans="1:15" x14ac:dyDescent="0.25">
      <c r="A68" s="46">
        <v>8</v>
      </c>
      <c r="B68" s="49">
        <f>DATE(2016,3,25)</f>
        <v>42454</v>
      </c>
      <c r="C68" s="37">
        <f t="shared" si="8"/>
        <v>38673851</v>
      </c>
      <c r="D68" s="50">
        <f t="shared" si="2"/>
        <v>5899400.9999999972</v>
      </c>
      <c r="E68" s="55">
        <f t="shared" si="5"/>
        <v>-4423539.3499999996</v>
      </c>
      <c r="F68" s="55">
        <f t="shared" si="9"/>
        <v>5899400.9999999972</v>
      </c>
      <c r="G68" s="55">
        <f t="shared" si="3"/>
        <v>40149712.649999999</v>
      </c>
      <c r="H68" s="51">
        <f t="shared" si="10"/>
        <v>40149712.649999999</v>
      </c>
      <c r="I68" s="51">
        <f t="shared" si="4"/>
        <v>321197701.19999999</v>
      </c>
      <c r="J68" s="20">
        <f t="shared" si="6"/>
        <v>0.9856578914580697</v>
      </c>
      <c r="K68" s="23">
        <f t="shared" si="7"/>
        <v>0.18928395536324016</v>
      </c>
      <c r="L68" s="51"/>
      <c r="M68" s="51"/>
      <c r="O68" s="23"/>
    </row>
    <row r="69" spans="1:15" x14ac:dyDescent="0.25">
      <c r="A69" s="46">
        <v>9</v>
      </c>
      <c r="B69" s="49">
        <f>DATE(2016,4,25)</f>
        <v>42485</v>
      </c>
      <c r="C69" s="37">
        <f t="shared" si="8"/>
        <v>38673851</v>
      </c>
      <c r="D69" s="50">
        <f t="shared" si="2"/>
        <v>5899400.9999999972</v>
      </c>
      <c r="E69" s="55">
        <f t="shared" si="5"/>
        <v>-4423539.3499999996</v>
      </c>
      <c r="F69" s="55">
        <f t="shared" si="9"/>
        <v>5899400.9999999972</v>
      </c>
      <c r="G69" s="55">
        <f t="shared" si="3"/>
        <v>40149712.649999999</v>
      </c>
      <c r="H69" s="51">
        <f t="shared" si="10"/>
        <v>40149712.649999999</v>
      </c>
      <c r="I69" s="51">
        <f t="shared" si="4"/>
        <v>361347413.84999996</v>
      </c>
      <c r="J69" s="20">
        <f t="shared" si="6"/>
        <v>0.9856578914580697</v>
      </c>
      <c r="K69" s="23">
        <f t="shared" si="7"/>
        <v>0.18928395536324016</v>
      </c>
      <c r="L69" s="51"/>
      <c r="M69" s="51"/>
      <c r="O69" s="23"/>
    </row>
    <row r="70" spans="1:15" x14ac:dyDescent="0.25">
      <c r="A70" s="46">
        <v>10</v>
      </c>
      <c r="B70" s="49">
        <f>DATE(2016,5,25)</f>
        <v>42515</v>
      </c>
      <c r="C70" s="37">
        <f t="shared" si="8"/>
        <v>38673851</v>
      </c>
      <c r="D70" s="50">
        <f t="shared" si="2"/>
        <v>5899400.9999999972</v>
      </c>
      <c r="E70" s="55">
        <f t="shared" si="5"/>
        <v>-4423539.3499999996</v>
      </c>
      <c r="F70" s="55">
        <f t="shared" si="9"/>
        <v>5899400.9999999972</v>
      </c>
      <c r="G70" s="55">
        <f t="shared" si="3"/>
        <v>40149712.649999999</v>
      </c>
      <c r="H70" s="51">
        <f t="shared" si="10"/>
        <v>40149712.649999999</v>
      </c>
      <c r="I70" s="51">
        <f t="shared" si="4"/>
        <v>401497126.5</v>
      </c>
      <c r="J70" s="20">
        <f t="shared" si="6"/>
        <v>0.9856578914580697</v>
      </c>
      <c r="K70" s="23">
        <f t="shared" si="7"/>
        <v>0.18928395536324016</v>
      </c>
      <c r="L70" s="51"/>
      <c r="M70" s="51"/>
      <c r="O70" s="23"/>
    </row>
    <row r="71" spans="1:15" x14ac:dyDescent="0.25">
      <c r="A71" s="46">
        <v>11</v>
      </c>
      <c r="B71" s="49">
        <f>DATE(2016,6,25)</f>
        <v>42546</v>
      </c>
      <c r="C71" s="37">
        <f t="shared" si="8"/>
        <v>38673851</v>
      </c>
      <c r="D71" s="50">
        <f t="shared" si="2"/>
        <v>5899400.9999999972</v>
      </c>
      <c r="E71" s="55">
        <f t="shared" si="5"/>
        <v>-4423539.3499999996</v>
      </c>
      <c r="F71" s="55">
        <f t="shared" si="9"/>
        <v>5899400.9999999972</v>
      </c>
      <c r="G71" s="55">
        <f t="shared" si="3"/>
        <v>40149712.649999999</v>
      </c>
      <c r="H71" s="51">
        <f t="shared" si="10"/>
        <v>40149712.649999999</v>
      </c>
      <c r="I71" s="51">
        <f t="shared" si="4"/>
        <v>441646839.14999998</v>
      </c>
      <c r="J71" s="20">
        <f t="shared" si="6"/>
        <v>0.9856578914580697</v>
      </c>
      <c r="K71" s="23">
        <f t="shared" si="7"/>
        <v>0.18928395536324016</v>
      </c>
      <c r="L71" s="51"/>
      <c r="M71" s="51"/>
      <c r="O71" s="23"/>
    </row>
    <row r="72" spans="1:15" x14ac:dyDescent="0.25">
      <c r="A72" s="46">
        <v>12</v>
      </c>
      <c r="B72" s="49">
        <f>DATE(2016,7,25)</f>
        <v>42576</v>
      </c>
      <c r="C72" s="37">
        <f t="shared" si="8"/>
        <v>38673851</v>
      </c>
      <c r="D72" s="50">
        <f t="shared" si="2"/>
        <v>5899400.9999999972</v>
      </c>
      <c r="E72" s="55">
        <f t="shared" si="5"/>
        <v>-4423539.3499999996</v>
      </c>
      <c r="F72" s="55">
        <f t="shared" si="9"/>
        <v>5899400.9999999972</v>
      </c>
      <c r="G72" s="55">
        <f t="shared" si="3"/>
        <v>40149712.649999999</v>
      </c>
      <c r="H72" s="51">
        <f t="shared" si="10"/>
        <v>40149712.649999999</v>
      </c>
      <c r="I72" s="51">
        <f t="shared" si="4"/>
        <v>506061781.60000002</v>
      </c>
      <c r="J72" s="20">
        <f t="shared" si="6"/>
        <v>0.9856578914580697</v>
      </c>
      <c r="K72" s="23">
        <f t="shared" si="7"/>
        <v>0.18928395536324016</v>
      </c>
      <c r="L72" s="51"/>
      <c r="M72" s="51"/>
      <c r="O72" s="23"/>
    </row>
    <row r="73" spans="1:15" x14ac:dyDescent="0.25">
      <c r="A73" s="46">
        <v>13</v>
      </c>
      <c r="B73" s="49">
        <f>DATE(2016,8,25)</f>
        <v>42607</v>
      </c>
      <c r="C73" s="37">
        <f t="shared" si="8"/>
        <v>38673851</v>
      </c>
      <c r="D73" s="50">
        <f t="shared" si="2"/>
        <v>5899400.9999999972</v>
      </c>
      <c r="E73" s="55">
        <f t="shared" si="5"/>
        <v>-2401436.8666666667</v>
      </c>
      <c r="F73" s="55">
        <f t="shared" si="9"/>
        <v>5899400.9999999972</v>
      </c>
      <c r="G73" s="55">
        <f t="shared" si="3"/>
        <v>42171815.133333333</v>
      </c>
      <c r="H73" s="51">
        <f t="shared" si="10"/>
        <v>42171815.133333333</v>
      </c>
      <c r="I73" s="51">
        <f t="shared" si="4"/>
        <v>548233596.73333335</v>
      </c>
      <c r="J73" s="20">
        <f t="shared" si="6"/>
        <v>0.9856578914580697</v>
      </c>
      <c r="K73" s="23">
        <f t="shared" si="7"/>
        <v>0.18928395536324016</v>
      </c>
      <c r="L73" s="51"/>
      <c r="M73" s="51"/>
      <c r="O73" s="23"/>
    </row>
    <row r="74" spans="1:15" x14ac:dyDescent="0.25">
      <c r="A74" s="46">
        <v>14</v>
      </c>
      <c r="B74" s="49">
        <f>DATE(2016,9,25)</f>
        <v>42638</v>
      </c>
      <c r="C74" s="37">
        <f t="shared" si="8"/>
        <v>38673851</v>
      </c>
      <c r="D74" s="50">
        <f t="shared" si="2"/>
        <v>5899400.9999999972</v>
      </c>
      <c r="E74" s="55">
        <f t="shared" si="5"/>
        <v>-2401436.8666666667</v>
      </c>
      <c r="F74" s="55">
        <f t="shared" si="9"/>
        <v>5899400.9999999972</v>
      </c>
      <c r="G74" s="55">
        <f t="shared" si="3"/>
        <v>42171815.133333333</v>
      </c>
      <c r="H74" s="51">
        <f t="shared" si="10"/>
        <v>42171815.133333333</v>
      </c>
      <c r="I74" s="51">
        <f t="shared" si="4"/>
        <v>590405411.86666667</v>
      </c>
      <c r="J74" s="20">
        <f t="shared" si="6"/>
        <v>0.9856578914580697</v>
      </c>
      <c r="K74" s="23">
        <f t="shared" si="7"/>
        <v>0.18928395536324016</v>
      </c>
      <c r="L74" s="51"/>
      <c r="M74" s="51"/>
      <c r="O74" s="23"/>
    </row>
    <row r="75" spans="1:15" x14ac:dyDescent="0.25">
      <c r="A75" s="46">
        <v>15</v>
      </c>
      <c r="B75" s="49">
        <f>DATE(2016,10,25)</f>
        <v>42668</v>
      </c>
      <c r="C75" s="37">
        <f t="shared" si="8"/>
        <v>38673851</v>
      </c>
      <c r="D75" s="50">
        <f t="shared" si="2"/>
        <v>5899400.9999999972</v>
      </c>
      <c r="E75" s="55">
        <f t="shared" si="5"/>
        <v>-2401436.8666666667</v>
      </c>
      <c r="F75" s="55">
        <f t="shared" si="9"/>
        <v>5899400.9999999972</v>
      </c>
      <c r="G75" s="55">
        <f t="shared" si="3"/>
        <v>42171815.133333333</v>
      </c>
      <c r="H75" s="51">
        <f t="shared" si="10"/>
        <v>42171815.133333333</v>
      </c>
      <c r="I75" s="51">
        <f t="shared" si="4"/>
        <v>632577227</v>
      </c>
      <c r="J75" s="20">
        <f t="shared" si="6"/>
        <v>0.9856578914580697</v>
      </c>
      <c r="K75" s="23">
        <f t="shared" si="7"/>
        <v>0.18928395536324016</v>
      </c>
      <c r="L75" s="51"/>
      <c r="M75" s="51"/>
      <c r="O75" s="23"/>
    </row>
    <row r="76" spans="1:15" x14ac:dyDescent="0.25">
      <c r="A76" s="46">
        <v>16</v>
      </c>
      <c r="B76" s="49">
        <f>DATE(2016,11,25)</f>
        <v>42699</v>
      </c>
      <c r="C76" s="37">
        <f t="shared" si="8"/>
        <v>38673851</v>
      </c>
      <c r="D76" s="50">
        <f t="shared" si="2"/>
        <v>5899400.9999999972</v>
      </c>
      <c r="E76" s="55">
        <f t="shared" si="5"/>
        <v>-2401436.8666666667</v>
      </c>
      <c r="F76" s="55">
        <f t="shared" si="9"/>
        <v>5899400.9999999972</v>
      </c>
      <c r="G76" s="55">
        <f t="shared" si="3"/>
        <v>42171815.133333333</v>
      </c>
      <c r="H76" s="51">
        <f t="shared" si="10"/>
        <v>42171815.133333333</v>
      </c>
      <c r="I76" s="51">
        <f t="shared" si="4"/>
        <v>674749042.13333333</v>
      </c>
      <c r="J76" s="20">
        <f t="shared" si="6"/>
        <v>0.9856578914580697</v>
      </c>
      <c r="K76" s="23">
        <f t="shared" si="7"/>
        <v>0.18928395536324016</v>
      </c>
      <c r="L76" s="51"/>
      <c r="M76" s="51"/>
      <c r="O76" s="23"/>
    </row>
    <row r="77" spans="1:15" x14ac:dyDescent="0.25">
      <c r="A77" s="46">
        <v>17</v>
      </c>
      <c r="B77" s="49">
        <f>DATE(2016,12,25)</f>
        <v>42729</v>
      </c>
      <c r="C77" s="37">
        <f t="shared" si="8"/>
        <v>38673851</v>
      </c>
      <c r="D77" s="50">
        <f t="shared" si="2"/>
        <v>5899400.9999999972</v>
      </c>
      <c r="E77" s="55">
        <f t="shared" si="5"/>
        <v>-2401436.8666666667</v>
      </c>
      <c r="F77" s="55">
        <f t="shared" si="9"/>
        <v>5899400.9999999972</v>
      </c>
      <c r="G77" s="55">
        <f t="shared" si="3"/>
        <v>42171815.133333333</v>
      </c>
      <c r="H77" s="51">
        <f t="shared" si="10"/>
        <v>42171815.133333333</v>
      </c>
      <c r="I77" s="51">
        <f t="shared" si="4"/>
        <v>716920857.26666665</v>
      </c>
      <c r="J77" s="20">
        <f t="shared" si="6"/>
        <v>0.9856578914580697</v>
      </c>
      <c r="K77" s="23">
        <f t="shared" si="7"/>
        <v>0.18928395536324016</v>
      </c>
      <c r="L77" s="51"/>
      <c r="M77" s="51"/>
      <c r="O77" s="23"/>
    </row>
    <row r="78" spans="1:15" x14ac:dyDescent="0.25">
      <c r="A78" s="46">
        <v>18</v>
      </c>
      <c r="B78" s="49">
        <f>DATE(2017,1,25)</f>
        <v>42760</v>
      </c>
      <c r="C78" s="37">
        <f t="shared" si="8"/>
        <v>38673851</v>
      </c>
      <c r="D78" s="50">
        <f t="shared" si="2"/>
        <v>5899400.9999999972</v>
      </c>
      <c r="E78" s="55">
        <f t="shared" si="5"/>
        <v>-2401436.8666666667</v>
      </c>
      <c r="F78" s="55">
        <f t="shared" si="9"/>
        <v>5899400.9999999972</v>
      </c>
      <c r="G78" s="55">
        <f t="shared" si="3"/>
        <v>42171815.133333333</v>
      </c>
      <c r="H78" s="51">
        <f t="shared" si="10"/>
        <v>42171815.133333333</v>
      </c>
      <c r="I78" s="51">
        <f t="shared" si="4"/>
        <v>759092672.39999998</v>
      </c>
      <c r="J78" s="20">
        <f t="shared" si="6"/>
        <v>0.9856578914580697</v>
      </c>
      <c r="K78" s="23">
        <f t="shared" si="7"/>
        <v>0.18928395536324016</v>
      </c>
      <c r="L78" s="51"/>
      <c r="M78" s="51"/>
      <c r="O78" s="23"/>
    </row>
    <row r="79" spans="1:15" x14ac:dyDescent="0.25">
      <c r="A79" s="46">
        <v>19</v>
      </c>
      <c r="B79" s="49">
        <f>DATE(2017,2,25)</f>
        <v>42791</v>
      </c>
      <c r="C79" s="37">
        <f t="shared" si="8"/>
        <v>38673851</v>
      </c>
      <c r="D79" s="50">
        <f t="shared" si="2"/>
        <v>5899400.9999999972</v>
      </c>
      <c r="E79" s="55">
        <f t="shared" si="5"/>
        <v>-2401436.8666666667</v>
      </c>
      <c r="F79" s="55">
        <f t="shared" si="9"/>
        <v>5899400.9999999972</v>
      </c>
      <c r="G79" s="55">
        <f t="shared" si="3"/>
        <v>42171815.133333333</v>
      </c>
      <c r="H79" s="51">
        <f t="shared" si="10"/>
        <v>42171815.133333333</v>
      </c>
      <c r="I79" s="51">
        <f t="shared" si="4"/>
        <v>801264487.5333333</v>
      </c>
      <c r="J79" s="20">
        <f t="shared" si="6"/>
        <v>0.9856578914580697</v>
      </c>
      <c r="K79" s="23">
        <f t="shared" si="7"/>
        <v>0.18928395536324016</v>
      </c>
      <c r="L79" s="51"/>
      <c r="M79" s="51"/>
      <c r="O79" s="23"/>
    </row>
    <row r="80" spans="1:15" x14ac:dyDescent="0.25">
      <c r="A80" s="46">
        <v>20</v>
      </c>
      <c r="B80" s="49">
        <f>DATE(2017,3,25)</f>
        <v>42819</v>
      </c>
      <c r="C80" s="37">
        <f t="shared" si="8"/>
        <v>38673851</v>
      </c>
      <c r="D80" s="50">
        <f t="shared" si="2"/>
        <v>5899400.9999999972</v>
      </c>
      <c r="E80" s="55">
        <f t="shared" si="5"/>
        <v>-2401436.8666666667</v>
      </c>
      <c r="F80" s="55">
        <f t="shared" si="9"/>
        <v>5899400.9999999972</v>
      </c>
      <c r="G80" s="55">
        <f t="shared" si="3"/>
        <v>42171815.133333333</v>
      </c>
      <c r="H80" s="51">
        <f t="shared" si="10"/>
        <v>42171815.133333333</v>
      </c>
      <c r="I80" s="51">
        <f t="shared" si="4"/>
        <v>843436302.66666663</v>
      </c>
      <c r="J80" s="20">
        <f t="shared" si="6"/>
        <v>0.9856578914580697</v>
      </c>
      <c r="K80" s="23">
        <f t="shared" si="7"/>
        <v>0.18928395536324016</v>
      </c>
      <c r="L80" s="51"/>
      <c r="M80" s="51"/>
      <c r="O80" s="23"/>
    </row>
    <row r="81" spans="1:15" x14ac:dyDescent="0.25">
      <c r="A81" s="46">
        <v>21</v>
      </c>
      <c r="B81" s="49">
        <f>DATE(2017,4,25)</f>
        <v>42850</v>
      </c>
      <c r="C81" s="37">
        <f t="shared" si="8"/>
        <v>38673851</v>
      </c>
      <c r="D81" s="50">
        <f t="shared" si="2"/>
        <v>5899400.9999999972</v>
      </c>
      <c r="E81" s="55">
        <f t="shared" si="5"/>
        <v>-2401436.8666666667</v>
      </c>
      <c r="F81" s="55">
        <f t="shared" si="9"/>
        <v>5899400.9999999972</v>
      </c>
      <c r="G81" s="55">
        <f t="shared" si="3"/>
        <v>42171815.133333333</v>
      </c>
      <c r="H81" s="51">
        <f t="shared" si="10"/>
        <v>42171815.133333333</v>
      </c>
      <c r="I81" s="51">
        <f t="shared" si="4"/>
        <v>885608117.79999995</v>
      </c>
      <c r="J81" s="20">
        <f t="shared" si="6"/>
        <v>0.9856578914580697</v>
      </c>
      <c r="K81" s="23">
        <f t="shared" si="7"/>
        <v>0.18928395536324016</v>
      </c>
      <c r="L81" s="51"/>
      <c r="M81" s="51"/>
      <c r="O81" s="23"/>
    </row>
    <row r="82" spans="1:15" x14ac:dyDescent="0.25">
      <c r="A82" s="46">
        <v>22</v>
      </c>
      <c r="B82" s="49">
        <f>DATE(2017,5,25)</f>
        <v>42880</v>
      </c>
      <c r="C82" s="37">
        <f t="shared" si="8"/>
        <v>38673851</v>
      </c>
      <c r="D82" s="50">
        <f t="shared" si="2"/>
        <v>5899400.9999999972</v>
      </c>
      <c r="E82" s="55">
        <f t="shared" si="5"/>
        <v>-2401436.8666666667</v>
      </c>
      <c r="F82" s="55">
        <f t="shared" si="9"/>
        <v>5899400.9999999972</v>
      </c>
      <c r="G82" s="55">
        <f t="shared" si="3"/>
        <v>42171815.133333333</v>
      </c>
      <c r="H82" s="51">
        <f t="shared" si="10"/>
        <v>42171815.133333333</v>
      </c>
      <c r="I82" s="51">
        <f t="shared" si="4"/>
        <v>927779932.93333328</v>
      </c>
      <c r="J82" s="20">
        <f t="shared" si="6"/>
        <v>0.9856578914580697</v>
      </c>
      <c r="K82" s="23">
        <f t="shared" si="7"/>
        <v>0.18928395536324016</v>
      </c>
      <c r="L82" s="51"/>
      <c r="M82" s="51"/>
      <c r="O82" s="23"/>
    </row>
    <row r="83" spans="1:15" x14ac:dyDescent="0.25">
      <c r="A83" s="46">
        <v>23</v>
      </c>
      <c r="B83" s="49">
        <f>DATE(2017,6,25)</f>
        <v>42911</v>
      </c>
      <c r="C83" s="37">
        <f t="shared" si="8"/>
        <v>38673851</v>
      </c>
      <c r="D83" s="50">
        <f t="shared" si="2"/>
        <v>5899400.9999999972</v>
      </c>
      <c r="E83" s="55">
        <f t="shared" si="5"/>
        <v>-2401436.8666666667</v>
      </c>
      <c r="F83" s="55">
        <f t="shared" si="9"/>
        <v>5899400.9999999972</v>
      </c>
      <c r="G83" s="55">
        <f t="shared" si="3"/>
        <v>42171815.133333333</v>
      </c>
      <c r="H83" s="51">
        <f t="shared" si="10"/>
        <v>42171815.133333333</v>
      </c>
      <c r="I83" s="51">
        <f t="shared" si="4"/>
        <v>969951748.0666666</v>
      </c>
      <c r="J83" s="20">
        <f t="shared" si="6"/>
        <v>0.9856578914580697</v>
      </c>
      <c r="K83" s="23">
        <f t="shared" si="7"/>
        <v>0.18928395536324016</v>
      </c>
      <c r="L83" s="51"/>
      <c r="M83" s="51"/>
      <c r="O83" s="23"/>
    </row>
    <row r="84" spans="1:15" x14ac:dyDescent="0.25">
      <c r="A84" s="46">
        <v>24</v>
      </c>
      <c r="B84" s="49">
        <f>DATE(2017,7,25)</f>
        <v>42941</v>
      </c>
      <c r="C84" s="37">
        <f t="shared" si="8"/>
        <v>38673851</v>
      </c>
      <c r="D84" s="50">
        <f t="shared" si="2"/>
        <v>5899400.9999999972</v>
      </c>
      <c r="E84" s="55">
        <f t="shared" si="5"/>
        <v>-2401436.8666666667</v>
      </c>
      <c r="F84" s="55">
        <f t="shared" si="9"/>
        <v>5899400.9999999972</v>
      </c>
      <c r="G84" s="55">
        <f t="shared" si="3"/>
        <v>42171815.133333333</v>
      </c>
      <c r="H84" s="51">
        <f t="shared" si="10"/>
        <v>42171815.133333333</v>
      </c>
      <c r="I84" s="51">
        <f t="shared" si="4"/>
        <v>1012123563.2</v>
      </c>
      <c r="J84" s="20">
        <f t="shared" si="6"/>
        <v>0.9856578914580697</v>
      </c>
      <c r="K84" s="23">
        <f t="shared" si="7"/>
        <v>0.18928395536324016</v>
      </c>
      <c r="L84" s="51"/>
      <c r="M84" s="51"/>
      <c r="O84" s="23"/>
    </row>
    <row r="85" spans="1:15" x14ac:dyDescent="0.25">
      <c r="A85" s="46">
        <v>25</v>
      </c>
      <c r="B85" s="49">
        <f>DATE(2017,8,25)</f>
        <v>42972</v>
      </c>
      <c r="C85" s="37">
        <f t="shared" si="8"/>
        <v>38673851</v>
      </c>
      <c r="D85" s="50">
        <f t="shared" si="2"/>
        <v>5899400.9999999972</v>
      </c>
      <c r="E85" s="55">
        <f t="shared" si="5"/>
        <v>-2401436.8666666667</v>
      </c>
      <c r="F85" s="55">
        <f t="shared" si="9"/>
        <v>5899400.9999999972</v>
      </c>
      <c r="G85" s="55">
        <f t="shared" si="3"/>
        <v>42171815.133333333</v>
      </c>
      <c r="H85" s="51">
        <f t="shared" si="10"/>
        <v>42171815.133333333</v>
      </c>
      <c r="I85" s="51">
        <f t="shared" si="4"/>
        <v>1054295378.3333334</v>
      </c>
      <c r="J85" s="20">
        <f t="shared" si="6"/>
        <v>0.9856578914580697</v>
      </c>
      <c r="K85" s="23">
        <f t="shared" si="7"/>
        <v>0.18928395536324016</v>
      </c>
      <c r="L85" s="51"/>
      <c r="M85" s="51"/>
      <c r="O85" s="23"/>
    </row>
    <row r="86" spans="1:15" x14ac:dyDescent="0.25">
      <c r="A86" s="46">
        <v>26</v>
      </c>
      <c r="B86" s="49">
        <f>DATE(2017,9,25)</f>
        <v>43003</v>
      </c>
      <c r="C86" s="37">
        <f t="shared" si="8"/>
        <v>38673851</v>
      </c>
      <c r="D86" s="50">
        <f t="shared" si="2"/>
        <v>5899400.9999999972</v>
      </c>
      <c r="E86" s="55">
        <f t="shared" si="5"/>
        <v>-2401436.8666666667</v>
      </c>
      <c r="F86" s="55">
        <f t="shared" si="9"/>
        <v>5899400.9999999972</v>
      </c>
      <c r="G86" s="55">
        <f t="shared" si="3"/>
        <v>42171815.133333333</v>
      </c>
      <c r="H86" s="51">
        <f t="shared" si="10"/>
        <v>42171815.133333333</v>
      </c>
      <c r="I86" s="51">
        <f t="shared" si="4"/>
        <v>1096467193.4666667</v>
      </c>
      <c r="J86" s="20">
        <f t="shared" si="6"/>
        <v>0.9856578914580697</v>
      </c>
      <c r="K86" s="23">
        <f t="shared" si="7"/>
        <v>0.18928395536324016</v>
      </c>
      <c r="L86" s="51"/>
      <c r="M86" s="51"/>
      <c r="O86" s="23"/>
    </row>
    <row r="87" spans="1:15" x14ac:dyDescent="0.25">
      <c r="A87" s="46">
        <v>27</v>
      </c>
      <c r="B87" s="49">
        <f>DATE(2017,10,25)</f>
        <v>43033</v>
      </c>
      <c r="C87" s="37">
        <f t="shared" si="8"/>
        <v>38673851</v>
      </c>
      <c r="D87" s="50">
        <f t="shared" si="2"/>
        <v>5899400.9999999972</v>
      </c>
      <c r="E87" s="55">
        <f t="shared" si="5"/>
        <v>-2401436.8666666667</v>
      </c>
      <c r="F87" s="55">
        <f t="shared" si="9"/>
        <v>5899400.9999999972</v>
      </c>
      <c r="G87" s="55">
        <f t="shared" si="3"/>
        <v>42171815.133333333</v>
      </c>
      <c r="H87" s="51">
        <f t="shared" si="10"/>
        <v>42171815.133333333</v>
      </c>
      <c r="I87" s="51">
        <f t="shared" si="4"/>
        <v>1138639008.5999999</v>
      </c>
      <c r="J87" s="20">
        <f t="shared" si="6"/>
        <v>0.9856578914580697</v>
      </c>
      <c r="K87" s="23">
        <f t="shared" si="7"/>
        <v>0.18928395536324016</v>
      </c>
      <c r="L87" s="51"/>
      <c r="M87" s="51"/>
      <c r="O87" s="23"/>
    </row>
    <row r="88" spans="1:15" x14ac:dyDescent="0.25">
      <c r="A88" s="46">
        <v>28</v>
      </c>
      <c r="B88" s="49">
        <f>DATE(2017,11,25)</f>
        <v>43064</v>
      </c>
      <c r="C88" s="37">
        <f t="shared" si="8"/>
        <v>38673851</v>
      </c>
      <c r="D88" s="50">
        <f t="shared" si="2"/>
        <v>5899400.9999999972</v>
      </c>
      <c r="E88" s="55">
        <f t="shared" si="5"/>
        <v>-2401436.8666666667</v>
      </c>
      <c r="F88" s="55">
        <f t="shared" si="9"/>
        <v>5899400.9999999972</v>
      </c>
      <c r="G88" s="55">
        <f t="shared" si="3"/>
        <v>42171815.133333333</v>
      </c>
      <c r="H88" s="51">
        <f t="shared" si="10"/>
        <v>42171815.133333333</v>
      </c>
      <c r="I88" s="51">
        <f t="shared" si="4"/>
        <v>1180810823.7333333</v>
      </c>
      <c r="J88" s="20">
        <f t="shared" si="6"/>
        <v>0.9856578914580697</v>
      </c>
      <c r="K88" s="23">
        <f t="shared" si="7"/>
        <v>0.18928395536324016</v>
      </c>
      <c r="L88" s="51"/>
      <c r="M88" s="51"/>
      <c r="O88" s="23"/>
    </row>
    <row r="89" spans="1:15" x14ac:dyDescent="0.25">
      <c r="A89" s="46">
        <v>29</v>
      </c>
      <c r="B89" s="49">
        <f>DATE(2017,12,25)</f>
        <v>43094</v>
      </c>
      <c r="C89" s="37">
        <f t="shared" si="8"/>
        <v>38673851</v>
      </c>
      <c r="D89" s="50">
        <f t="shared" si="2"/>
        <v>5899400.9999999972</v>
      </c>
      <c r="E89" s="55">
        <f t="shared" si="5"/>
        <v>-2401436.8666666667</v>
      </c>
      <c r="F89" s="55">
        <f t="shared" si="9"/>
        <v>5899400.9999999972</v>
      </c>
      <c r="G89" s="55">
        <f t="shared" si="3"/>
        <v>42171815.133333333</v>
      </c>
      <c r="H89" s="51">
        <f t="shared" si="10"/>
        <v>42171815.133333333</v>
      </c>
      <c r="I89" s="51">
        <f t="shared" si="4"/>
        <v>1222982638.8666666</v>
      </c>
      <c r="J89" s="20">
        <f t="shared" si="6"/>
        <v>0.9856578914580697</v>
      </c>
      <c r="K89" s="23">
        <f t="shared" si="7"/>
        <v>0.18928395536324016</v>
      </c>
      <c r="L89" s="51"/>
      <c r="M89" s="51"/>
      <c r="O89" s="23"/>
    </row>
    <row r="90" spans="1:15" x14ac:dyDescent="0.25">
      <c r="A90" s="46">
        <v>30</v>
      </c>
      <c r="B90" s="49">
        <f>DATE(2018,1,25)</f>
        <v>43125</v>
      </c>
      <c r="C90" s="37">
        <f t="shared" si="8"/>
        <v>38673851</v>
      </c>
      <c r="D90" s="50">
        <f t="shared" si="2"/>
        <v>5899400.9999999972</v>
      </c>
      <c r="E90" s="55">
        <f t="shared" si="5"/>
        <v>-2401436.8666666667</v>
      </c>
      <c r="F90" s="55">
        <f t="shared" si="9"/>
        <v>5899400.9999999972</v>
      </c>
      <c r="G90" s="55">
        <f t="shared" si="3"/>
        <v>42171815.133333333</v>
      </c>
      <c r="H90" s="51">
        <f t="shared" si="10"/>
        <v>42171815.133333333</v>
      </c>
      <c r="I90" s="51">
        <f t="shared" si="4"/>
        <v>1265154454</v>
      </c>
      <c r="J90" s="20">
        <f t="shared" si="6"/>
        <v>0.9856578914580697</v>
      </c>
      <c r="K90" s="23">
        <f t="shared" si="7"/>
        <v>0.18928395536324016</v>
      </c>
      <c r="L90" s="51"/>
      <c r="M90" s="51"/>
      <c r="O90" s="23"/>
    </row>
    <row r="91" spans="1:15" x14ac:dyDescent="0.25">
      <c r="A91" s="46">
        <v>31</v>
      </c>
      <c r="B91" s="49">
        <f>DATE(2018,2,25)</f>
        <v>43156</v>
      </c>
      <c r="C91" s="37">
        <f t="shared" si="8"/>
        <v>38673851</v>
      </c>
      <c r="D91" s="50">
        <f t="shared" si="2"/>
        <v>5899400.9999999972</v>
      </c>
      <c r="E91" s="55">
        <f t="shared" si="5"/>
        <v>-2401436.8666666667</v>
      </c>
      <c r="F91" s="55">
        <f t="shared" si="9"/>
        <v>5899400.9999999972</v>
      </c>
      <c r="G91" s="55">
        <f t="shared" si="3"/>
        <v>42171815.133333333</v>
      </c>
      <c r="H91" s="51">
        <f t="shared" si="10"/>
        <v>42171815.133333333</v>
      </c>
      <c r="I91" s="51">
        <f t="shared" si="4"/>
        <v>1307326269.1333332</v>
      </c>
      <c r="J91" s="20">
        <f t="shared" si="6"/>
        <v>0.9856578914580697</v>
      </c>
      <c r="K91" s="23">
        <f t="shared" si="7"/>
        <v>0.18928395536324016</v>
      </c>
      <c r="L91" s="51"/>
      <c r="M91" s="51"/>
      <c r="O91" s="23"/>
    </row>
    <row r="92" spans="1:15" x14ac:dyDescent="0.25">
      <c r="A92" s="46">
        <v>32</v>
      </c>
      <c r="B92" s="49">
        <f>DATE(2018,3,25)</f>
        <v>43184</v>
      </c>
      <c r="C92" s="37">
        <f t="shared" si="8"/>
        <v>38673851</v>
      </c>
      <c r="D92" s="50">
        <f t="shared" si="2"/>
        <v>5899400.9999999972</v>
      </c>
      <c r="E92" s="55">
        <f t="shared" si="5"/>
        <v>-2401436.8666666667</v>
      </c>
      <c r="F92" s="55">
        <f t="shared" si="9"/>
        <v>5899400.9999999972</v>
      </c>
      <c r="G92" s="55">
        <f t="shared" si="3"/>
        <v>42171815.133333333</v>
      </c>
      <c r="H92" s="51">
        <f t="shared" si="10"/>
        <v>42171815.133333333</v>
      </c>
      <c r="I92" s="51">
        <f t="shared" si="4"/>
        <v>1349498084.2666667</v>
      </c>
      <c r="J92" s="20">
        <f t="shared" si="6"/>
        <v>0.9856578914580697</v>
      </c>
      <c r="K92" s="23">
        <f t="shared" si="7"/>
        <v>0.18928395536324016</v>
      </c>
      <c r="L92" s="51"/>
      <c r="M92" s="51"/>
      <c r="O92" s="23"/>
    </row>
    <row r="93" spans="1:15" x14ac:dyDescent="0.25">
      <c r="A93" s="46">
        <v>33</v>
      </c>
      <c r="B93" s="49">
        <f>DATE(2018,4,25)</f>
        <v>43215</v>
      </c>
      <c r="C93" s="37">
        <f t="shared" si="8"/>
        <v>38673851</v>
      </c>
      <c r="D93" s="50">
        <f t="shared" ref="D93:D121" si="11">C93*(1-1/(1+$G$3))</f>
        <v>5899400.9999999972</v>
      </c>
      <c r="E93" s="55">
        <f t="shared" si="5"/>
        <v>-2401436.8666666667</v>
      </c>
      <c r="F93" s="55">
        <f t="shared" si="9"/>
        <v>5899400.9999999972</v>
      </c>
      <c r="G93" s="55">
        <f t="shared" ref="G93:G121" si="12">C93+E93+F93</f>
        <v>42171815.133333333</v>
      </c>
      <c r="H93" s="51">
        <f t="shared" si="10"/>
        <v>42171815.133333333</v>
      </c>
      <c r="I93" s="51">
        <f t="shared" ref="I93:I121" si="13">H94*A93</f>
        <v>1391669899.4000001</v>
      </c>
      <c r="J93" s="20">
        <f t="shared" si="6"/>
        <v>0.9856578914580697</v>
      </c>
      <c r="K93" s="23">
        <f t="shared" si="7"/>
        <v>0.18928395536324016</v>
      </c>
      <c r="L93" s="51"/>
      <c r="M93" s="51"/>
      <c r="O93" s="23"/>
    </row>
    <row r="94" spans="1:15" x14ac:dyDescent="0.25">
      <c r="A94" s="46">
        <v>34</v>
      </c>
      <c r="B94" s="49">
        <f>DATE(2018,5,25)</f>
        <v>43245</v>
      </c>
      <c r="C94" s="37">
        <f t="shared" si="8"/>
        <v>38673851</v>
      </c>
      <c r="D94" s="50">
        <f t="shared" si="11"/>
        <v>5899400.9999999972</v>
      </c>
      <c r="E94" s="55">
        <f t="shared" ref="E94:E121" si="14">-IF(A94&lt;13,$G$53,IF(A94&lt;25,$G$54,IF(A94&lt;37,$G$55,IF(A94&lt;49,$G$56,$G$57))))</f>
        <v>-2401436.8666666667</v>
      </c>
      <c r="F94" s="55">
        <f t="shared" si="9"/>
        <v>5899400.9999999972</v>
      </c>
      <c r="G94" s="55">
        <f t="shared" si="12"/>
        <v>42171815.133333333</v>
      </c>
      <c r="H94" s="51">
        <f t="shared" si="10"/>
        <v>42171815.133333333</v>
      </c>
      <c r="I94" s="51">
        <f t="shared" si="13"/>
        <v>1433841714.5333333</v>
      </c>
      <c r="J94" s="20">
        <f t="shared" ref="J94:J121" si="15">J93-SERIESSUM(J93,0,1,$H$61:$H$121)/SERIESSUM(J93,0,1,$I$61:$I$121)</f>
        <v>0.9856578914580697</v>
      </c>
      <c r="K94" s="23">
        <f t="shared" si="7"/>
        <v>0.18928395536324016</v>
      </c>
      <c r="L94" s="51"/>
      <c r="M94" s="51"/>
      <c r="O94" s="23"/>
    </row>
    <row r="95" spans="1:15" x14ac:dyDescent="0.25">
      <c r="A95" s="46">
        <v>35</v>
      </c>
      <c r="B95" s="49">
        <f>DATE(2018,6,25)</f>
        <v>43276</v>
      </c>
      <c r="C95" s="37">
        <f t="shared" si="8"/>
        <v>38673851</v>
      </c>
      <c r="D95" s="50">
        <f t="shared" si="11"/>
        <v>5899400.9999999972</v>
      </c>
      <c r="E95" s="55">
        <f t="shared" si="14"/>
        <v>-2401436.8666666667</v>
      </c>
      <c r="F95" s="55">
        <f t="shared" si="9"/>
        <v>5899400.9999999972</v>
      </c>
      <c r="G95" s="55">
        <f t="shared" si="12"/>
        <v>42171815.133333333</v>
      </c>
      <c r="H95" s="51">
        <f t="shared" si="10"/>
        <v>42171815.133333333</v>
      </c>
      <c r="I95" s="51">
        <f t="shared" si="13"/>
        <v>1476013529.6666667</v>
      </c>
      <c r="J95" s="20">
        <f t="shared" si="15"/>
        <v>0.9856578914580697</v>
      </c>
      <c r="K95" s="23">
        <f t="shared" si="7"/>
        <v>0.18928395536324016</v>
      </c>
      <c r="L95" s="51"/>
      <c r="M95" s="51"/>
      <c r="O95" s="23"/>
    </row>
    <row r="96" spans="1:15" x14ac:dyDescent="0.25">
      <c r="A96" s="46">
        <v>36</v>
      </c>
      <c r="B96" s="49">
        <f>DATE(2018,7,25)</f>
        <v>43306</v>
      </c>
      <c r="C96" s="37">
        <f t="shared" si="8"/>
        <v>38673851</v>
      </c>
      <c r="D96" s="50">
        <f t="shared" si="11"/>
        <v>5899400.9999999972</v>
      </c>
      <c r="E96" s="55">
        <f t="shared" si="14"/>
        <v>-2401436.8666666667</v>
      </c>
      <c r="F96" s="55">
        <f t="shared" si="9"/>
        <v>5899400.9999999972</v>
      </c>
      <c r="G96" s="55">
        <f t="shared" si="12"/>
        <v>42171815.133333333</v>
      </c>
      <c r="H96" s="51">
        <f t="shared" si="10"/>
        <v>42171815.133333333</v>
      </c>
      <c r="I96" s="51">
        <f t="shared" si="13"/>
        <v>1518185344.8</v>
      </c>
      <c r="J96" s="20">
        <f t="shared" si="15"/>
        <v>0.9856578914580697</v>
      </c>
      <c r="K96" s="23">
        <f t="shared" si="7"/>
        <v>0.18928395536324016</v>
      </c>
      <c r="L96" s="51"/>
      <c r="M96" s="51"/>
      <c r="O96" s="23"/>
    </row>
    <row r="97" spans="1:15" x14ac:dyDescent="0.25">
      <c r="A97" s="46">
        <v>37</v>
      </c>
      <c r="B97" s="49">
        <f>DATE(2018,8,25)</f>
        <v>43337</v>
      </c>
      <c r="C97" s="37">
        <f t="shared" si="8"/>
        <v>38673851</v>
      </c>
      <c r="D97" s="50">
        <f t="shared" si="11"/>
        <v>5899400.9999999972</v>
      </c>
      <c r="E97" s="55">
        <f t="shared" si="14"/>
        <v>-2401436.8666666667</v>
      </c>
      <c r="F97" s="55">
        <f t="shared" si="9"/>
        <v>5899400.9999999972</v>
      </c>
      <c r="G97" s="55">
        <f t="shared" si="12"/>
        <v>42171815.133333333</v>
      </c>
      <c r="H97" s="51">
        <f t="shared" si="10"/>
        <v>42171815.133333333</v>
      </c>
      <c r="I97" s="51">
        <f t="shared" si="13"/>
        <v>1560357159.9333334</v>
      </c>
      <c r="J97" s="20">
        <f t="shared" si="15"/>
        <v>0.9856578914580697</v>
      </c>
      <c r="K97" s="23">
        <f t="shared" si="7"/>
        <v>0.18928395536324016</v>
      </c>
      <c r="L97" s="51"/>
      <c r="M97" s="51"/>
      <c r="O97" s="23"/>
    </row>
    <row r="98" spans="1:15" x14ac:dyDescent="0.25">
      <c r="A98" s="46">
        <v>38</v>
      </c>
      <c r="B98" s="49">
        <f>DATE(2018,9,25)</f>
        <v>43368</v>
      </c>
      <c r="C98" s="37">
        <f t="shared" si="8"/>
        <v>38673851</v>
      </c>
      <c r="D98" s="50">
        <f t="shared" si="11"/>
        <v>5899400.9999999972</v>
      </c>
      <c r="E98" s="55">
        <f t="shared" si="14"/>
        <v>-2401436.8666666667</v>
      </c>
      <c r="F98" s="55">
        <f t="shared" si="9"/>
        <v>5899400.9999999972</v>
      </c>
      <c r="G98" s="55">
        <f t="shared" si="12"/>
        <v>42171815.133333333</v>
      </c>
      <c r="H98" s="51">
        <f t="shared" si="10"/>
        <v>42171815.133333333</v>
      </c>
      <c r="I98" s="51">
        <f t="shared" si="13"/>
        <v>1602528975.0666666</v>
      </c>
      <c r="J98" s="20">
        <f t="shared" si="15"/>
        <v>0.9856578914580697</v>
      </c>
      <c r="K98" s="23">
        <f t="shared" ref="K98:K121" si="16">POWER(J98,-12)-1</f>
        <v>0.18928395536324016</v>
      </c>
      <c r="L98" s="51"/>
      <c r="M98" s="51"/>
      <c r="O98" s="23"/>
    </row>
    <row r="99" spans="1:15" x14ac:dyDescent="0.25">
      <c r="A99" s="46">
        <v>39</v>
      </c>
      <c r="B99" s="49">
        <f>DATE(2018,10,25)</f>
        <v>43398</v>
      </c>
      <c r="C99" s="37">
        <f t="shared" si="8"/>
        <v>38673851</v>
      </c>
      <c r="D99" s="50">
        <f t="shared" si="11"/>
        <v>5899400.9999999972</v>
      </c>
      <c r="E99" s="55">
        <f t="shared" si="14"/>
        <v>-2401436.8666666667</v>
      </c>
      <c r="F99" s="55">
        <f t="shared" si="9"/>
        <v>5899400.9999999972</v>
      </c>
      <c r="G99" s="55">
        <f t="shared" si="12"/>
        <v>42171815.133333333</v>
      </c>
      <c r="H99" s="51">
        <f t="shared" si="10"/>
        <v>42171815.133333333</v>
      </c>
      <c r="I99" s="51">
        <f t="shared" si="13"/>
        <v>1644700790.2</v>
      </c>
      <c r="J99" s="20">
        <f t="shared" si="15"/>
        <v>0.9856578914580697</v>
      </c>
      <c r="K99" s="23">
        <f t="shared" si="16"/>
        <v>0.18928395536324016</v>
      </c>
      <c r="L99" s="51"/>
      <c r="M99" s="51"/>
      <c r="O99" s="23"/>
    </row>
    <row r="100" spans="1:15" x14ac:dyDescent="0.25">
      <c r="A100" s="46">
        <v>40</v>
      </c>
      <c r="B100" s="49">
        <f>DATE(2018,11,25)</f>
        <v>43429</v>
      </c>
      <c r="C100" s="37">
        <f t="shared" si="8"/>
        <v>38673851</v>
      </c>
      <c r="D100" s="50">
        <f t="shared" si="11"/>
        <v>5899400.9999999972</v>
      </c>
      <c r="E100" s="55">
        <f t="shared" si="14"/>
        <v>-2401436.8666666667</v>
      </c>
      <c r="F100" s="55">
        <f t="shared" si="9"/>
        <v>5899400.9999999972</v>
      </c>
      <c r="G100" s="55">
        <f t="shared" si="12"/>
        <v>42171815.133333333</v>
      </c>
      <c r="H100" s="51">
        <f t="shared" si="10"/>
        <v>42171815.133333333</v>
      </c>
      <c r="I100" s="51">
        <f t="shared" si="13"/>
        <v>1686872605.3333333</v>
      </c>
      <c r="J100" s="20">
        <f t="shared" si="15"/>
        <v>0.9856578914580697</v>
      </c>
      <c r="K100" s="23">
        <f t="shared" si="16"/>
        <v>0.18928395536324016</v>
      </c>
      <c r="L100" s="51"/>
      <c r="M100" s="51"/>
      <c r="O100" s="23"/>
    </row>
    <row r="101" spans="1:15" x14ac:dyDescent="0.25">
      <c r="A101" s="46">
        <v>41</v>
      </c>
      <c r="B101" s="49">
        <f>DATE(2018,12,25)</f>
        <v>43459</v>
      </c>
      <c r="C101" s="37">
        <f t="shared" si="8"/>
        <v>38673851</v>
      </c>
      <c r="D101" s="50">
        <f t="shared" si="11"/>
        <v>5899400.9999999972</v>
      </c>
      <c r="E101" s="55">
        <f t="shared" si="14"/>
        <v>-2401436.8666666667</v>
      </c>
      <c r="F101" s="55">
        <f t="shared" si="9"/>
        <v>5899400.9999999972</v>
      </c>
      <c r="G101" s="55">
        <f t="shared" si="12"/>
        <v>42171815.133333333</v>
      </c>
      <c r="H101" s="51">
        <f t="shared" si="10"/>
        <v>42171815.133333333</v>
      </c>
      <c r="I101" s="51">
        <f t="shared" si="13"/>
        <v>1729044420.4666667</v>
      </c>
      <c r="J101" s="20">
        <f t="shared" si="15"/>
        <v>0.9856578914580697</v>
      </c>
      <c r="K101" s="23">
        <f t="shared" si="16"/>
        <v>0.18928395536324016</v>
      </c>
      <c r="L101" s="51"/>
      <c r="M101" s="51"/>
      <c r="O101" s="23"/>
    </row>
    <row r="102" spans="1:15" x14ac:dyDescent="0.25">
      <c r="A102" s="46">
        <v>42</v>
      </c>
      <c r="B102" s="49">
        <f>DATE(2019,1,25)</f>
        <v>43490</v>
      </c>
      <c r="C102" s="37">
        <f t="shared" si="8"/>
        <v>38673851</v>
      </c>
      <c r="D102" s="50">
        <f t="shared" si="11"/>
        <v>5899400.9999999972</v>
      </c>
      <c r="E102" s="55">
        <f t="shared" si="14"/>
        <v>-2401436.8666666667</v>
      </c>
      <c r="F102" s="55">
        <f t="shared" si="9"/>
        <v>5899400.9999999972</v>
      </c>
      <c r="G102" s="55">
        <f t="shared" si="12"/>
        <v>42171815.133333333</v>
      </c>
      <c r="H102" s="51">
        <f t="shared" si="10"/>
        <v>42171815.133333333</v>
      </c>
      <c r="I102" s="51">
        <f t="shared" si="13"/>
        <v>1771216235.5999999</v>
      </c>
      <c r="J102" s="20">
        <f t="shared" si="15"/>
        <v>0.9856578914580697</v>
      </c>
      <c r="K102" s="23">
        <f t="shared" si="16"/>
        <v>0.18928395536324016</v>
      </c>
      <c r="L102" s="51"/>
      <c r="M102" s="51"/>
      <c r="O102" s="23"/>
    </row>
    <row r="103" spans="1:15" x14ac:dyDescent="0.25">
      <c r="A103" s="46">
        <v>43</v>
      </c>
      <c r="B103" s="49">
        <f>DATE(2019,2,25)</f>
        <v>43521</v>
      </c>
      <c r="C103" s="37">
        <f t="shared" si="8"/>
        <v>38673851</v>
      </c>
      <c r="D103" s="50">
        <f t="shared" si="11"/>
        <v>5899400.9999999972</v>
      </c>
      <c r="E103" s="55">
        <f t="shared" si="14"/>
        <v>-2401436.8666666667</v>
      </c>
      <c r="F103" s="55">
        <f t="shared" si="9"/>
        <v>5899400.9999999972</v>
      </c>
      <c r="G103" s="55">
        <f t="shared" si="12"/>
        <v>42171815.133333333</v>
      </c>
      <c r="H103" s="51">
        <f t="shared" si="10"/>
        <v>42171815.133333333</v>
      </c>
      <c r="I103" s="51">
        <f t="shared" si="13"/>
        <v>1813388050.7333333</v>
      </c>
      <c r="J103" s="20">
        <f t="shared" si="15"/>
        <v>0.9856578914580697</v>
      </c>
      <c r="K103" s="23">
        <f t="shared" si="16"/>
        <v>0.18928395536324016</v>
      </c>
      <c r="L103" s="51"/>
      <c r="M103" s="51"/>
      <c r="O103" s="23"/>
    </row>
    <row r="104" spans="1:15" x14ac:dyDescent="0.25">
      <c r="A104" s="46">
        <v>44</v>
      </c>
      <c r="B104" s="49">
        <f>DATE(2019,3,25)</f>
        <v>43549</v>
      </c>
      <c r="C104" s="37">
        <f t="shared" si="8"/>
        <v>38673851</v>
      </c>
      <c r="D104" s="50">
        <f t="shared" si="11"/>
        <v>5899400.9999999972</v>
      </c>
      <c r="E104" s="55">
        <f t="shared" si="14"/>
        <v>-2401436.8666666667</v>
      </c>
      <c r="F104" s="55">
        <f t="shared" si="9"/>
        <v>5899400.9999999972</v>
      </c>
      <c r="G104" s="55">
        <f t="shared" si="12"/>
        <v>42171815.133333333</v>
      </c>
      <c r="H104" s="51">
        <f t="shared" si="10"/>
        <v>42171815.133333333</v>
      </c>
      <c r="I104" s="51">
        <f t="shared" si="13"/>
        <v>1855559865.8666666</v>
      </c>
      <c r="J104" s="20">
        <f t="shared" si="15"/>
        <v>0.9856578914580697</v>
      </c>
      <c r="K104" s="23">
        <f t="shared" si="16"/>
        <v>0.18928395536324016</v>
      </c>
      <c r="L104" s="51"/>
      <c r="M104" s="51"/>
      <c r="O104" s="23"/>
    </row>
    <row r="105" spans="1:15" x14ac:dyDescent="0.25">
      <c r="A105" s="46">
        <v>45</v>
      </c>
      <c r="B105" s="49">
        <f>DATE(2019,4,25)</f>
        <v>43580</v>
      </c>
      <c r="C105" s="37">
        <f t="shared" si="8"/>
        <v>38673851</v>
      </c>
      <c r="D105" s="50">
        <f t="shared" si="11"/>
        <v>5899400.9999999972</v>
      </c>
      <c r="E105" s="55">
        <f t="shared" si="14"/>
        <v>-2401436.8666666667</v>
      </c>
      <c r="F105" s="55">
        <f t="shared" si="9"/>
        <v>5899400.9999999972</v>
      </c>
      <c r="G105" s="55">
        <f t="shared" si="12"/>
        <v>42171815.133333333</v>
      </c>
      <c r="H105" s="51">
        <f t="shared" si="10"/>
        <v>42171815.133333333</v>
      </c>
      <c r="I105" s="51">
        <f t="shared" si="13"/>
        <v>1897731681</v>
      </c>
      <c r="J105" s="20">
        <f t="shared" si="15"/>
        <v>0.9856578914580697</v>
      </c>
      <c r="K105" s="23">
        <f t="shared" si="16"/>
        <v>0.18928395536324016</v>
      </c>
      <c r="L105" s="51"/>
      <c r="M105" s="51"/>
      <c r="O105" s="23"/>
    </row>
    <row r="106" spans="1:15" x14ac:dyDescent="0.25">
      <c r="A106" s="46">
        <v>46</v>
      </c>
      <c r="B106" s="49">
        <f>DATE(2019,5,25)</f>
        <v>43610</v>
      </c>
      <c r="C106" s="37">
        <f t="shared" si="8"/>
        <v>38673851</v>
      </c>
      <c r="D106" s="50">
        <f t="shared" si="11"/>
        <v>5899400.9999999972</v>
      </c>
      <c r="E106" s="55">
        <f t="shared" si="14"/>
        <v>-2401436.8666666667</v>
      </c>
      <c r="F106" s="55">
        <f t="shared" si="9"/>
        <v>5899400.9999999972</v>
      </c>
      <c r="G106" s="55">
        <f t="shared" si="12"/>
        <v>42171815.133333333</v>
      </c>
      <c r="H106" s="51">
        <f t="shared" si="10"/>
        <v>42171815.133333333</v>
      </c>
      <c r="I106" s="51">
        <f t="shared" si="13"/>
        <v>1939903496.1333332</v>
      </c>
      <c r="J106" s="20">
        <f t="shared" si="15"/>
        <v>0.9856578914580697</v>
      </c>
      <c r="K106" s="23">
        <f t="shared" si="16"/>
        <v>0.18928395536324016</v>
      </c>
      <c r="L106" s="51"/>
      <c r="M106" s="51"/>
      <c r="O106" s="23"/>
    </row>
    <row r="107" spans="1:15" x14ac:dyDescent="0.25">
      <c r="A107" s="46">
        <v>47</v>
      </c>
      <c r="B107" s="49">
        <f>DATE(2019,6,25)</f>
        <v>43641</v>
      </c>
      <c r="C107" s="37">
        <f t="shared" si="8"/>
        <v>38673851</v>
      </c>
      <c r="D107" s="50">
        <f t="shared" si="11"/>
        <v>5899400.9999999972</v>
      </c>
      <c r="E107" s="55">
        <f t="shared" si="14"/>
        <v>-2401436.8666666667</v>
      </c>
      <c r="F107" s="55">
        <f t="shared" si="9"/>
        <v>5899400.9999999972</v>
      </c>
      <c r="G107" s="55">
        <f t="shared" si="12"/>
        <v>42171815.133333333</v>
      </c>
      <c r="H107" s="51">
        <f t="shared" si="10"/>
        <v>42171815.133333333</v>
      </c>
      <c r="I107" s="51">
        <f t="shared" si="13"/>
        <v>1982075311.2666667</v>
      </c>
      <c r="J107" s="20">
        <f t="shared" si="15"/>
        <v>0.9856578914580697</v>
      </c>
      <c r="K107" s="23">
        <f t="shared" si="16"/>
        <v>0.18928395536324016</v>
      </c>
      <c r="L107" s="51"/>
      <c r="M107" s="51"/>
      <c r="O107" s="23"/>
    </row>
    <row r="108" spans="1:15" x14ac:dyDescent="0.25">
      <c r="A108" s="46">
        <v>48</v>
      </c>
      <c r="B108" s="49">
        <f>DATE(2019,7,25)</f>
        <v>43671</v>
      </c>
      <c r="C108" s="37">
        <f t="shared" si="8"/>
        <v>38673851</v>
      </c>
      <c r="D108" s="50">
        <f t="shared" si="11"/>
        <v>5899400.9999999972</v>
      </c>
      <c r="E108" s="55">
        <f t="shared" si="14"/>
        <v>-2401436.8666666667</v>
      </c>
      <c r="F108" s="55">
        <f t="shared" si="9"/>
        <v>5899400.9999999972</v>
      </c>
      <c r="G108" s="55">
        <f t="shared" si="12"/>
        <v>42171815.133333333</v>
      </c>
      <c r="H108" s="51">
        <f t="shared" si="10"/>
        <v>42171815.133333333</v>
      </c>
      <c r="I108" s="51">
        <f t="shared" si="13"/>
        <v>2024246182.4000001</v>
      </c>
      <c r="J108" s="20">
        <f t="shared" si="15"/>
        <v>0.9856578914580697</v>
      </c>
      <c r="K108" s="23">
        <f t="shared" si="16"/>
        <v>0.18928395536324016</v>
      </c>
      <c r="L108" s="51"/>
      <c r="M108" s="51"/>
      <c r="O108" s="23"/>
    </row>
    <row r="109" spans="1:15" x14ac:dyDescent="0.25">
      <c r="A109" s="46">
        <v>49</v>
      </c>
      <c r="B109" s="49">
        <f>DATE(2019,8,25)</f>
        <v>43702</v>
      </c>
      <c r="C109" s="37">
        <f t="shared" si="8"/>
        <v>38673851</v>
      </c>
      <c r="D109" s="50">
        <f t="shared" si="11"/>
        <v>5899400.9999999972</v>
      </c>
      <c r="E109" s="55">
        <f t="shared" si="14"/>
        <v>-2401456.5333333337</v>
      </c>
      <c r="F109" s="55">
        <f t="shared" si="9"/>
        <v>5899400.9999999972</v>
      </c>
      <c r="G109" s="55">
        <f t="shared" si="12"/>
        <v>42171795.466666669</v>
      </c>
      <c r="H109" s="51">
        <f t="shared" si="10"/>
        <v>42171795.466666669</v>
      </c>
      <c r="I109" s="51">
        <f t="shared" si="13"/>
        <v>2066417977.8666668</v>
      </c>
      <c r="J109" s="20">
        <f t="shared" si="15"/>
        <v>0.9856578914580697</v>
      </c>
      <c r="K109" s="23">
        <f t="shared" si="16"/>
        <v>0.18928395536324016</v>
      </c>
      <c r="L109" s="51"/>
      <c r="M109" s="51"/>
      <c r="O109" s="23"/>
    </row>
    <row r="110" spans="1:15" x14ac:dyDescent="0.25">
      <c r="A110" s="46">
        <v>50</v>
      </c>
      <c r="B110" s="49">
        <f>DATE(2019,9,25)</f>
        <v>43733</v>
      </c>
      <c r="C110" s="37">
        <f t="shared" si="8"/>
        <v>38673851</v>
      </c>
      <c r="D110" s="50">
        <f t="shared" si="11"/>
        <v>5899400.9999999972</v>
      </c>
      <c r="E110" s="55">
        <f t="shared" si="14"/>
        <v>-2401456.5333333337</v>
      </c>
      <c r="F110" s="55">
        <f t="shared" si="9"/>
        <v>5899400.9999999972</v>
      </c>
      <c r="G110" s="55">
        <f t="shared" si="12"/>
        <v>42171795.466666669</v>
      </c>
      <c r="H110" s="51">
        <f t="shared" si="10"/>
        <v>42171795.466666669</v>
      </c>
      <c r="I110" s="51">
        <f t="shared" si="13"/>
        <v>2108589773.3333335</v>
      </c>
      <c r="J110" s="20">
        <f t="shared" si="15"/>
        <v>0.9856578914580697</v>
      </c>
      <c r="K110" s="23">
        <f t="shared" si="16"/>
        <v>0.18928395536324016</v>
      </c>
      <c r="L110" s="51"/>
      <c r="M110" s="51"/>
      <c r="O110" s="23"/>
    </row>
    <row r="111" spans="1:15" x14ac:dyDescent="0.25">
      <c r="A111" s="46">
        <v>51</v>
      </c>
      <c r="B111" s="49">
        <f>DATE(2019,10,25)</f>
        <v>43763</v>
      </c>
      <c r="C111" s="37">
        <f t="shared" si="8"/>
        <v>38673851</v>
      </c>
      <c r="D111" s="50">
        <f t="shared" si="11"/>
        <v>5899400.9999999972</v>
      </c>
      <c r="E111" s="55">
        <f t="shared" si="14"/>
        <v>-2401456.5333333337</v>
      </c>
      <c r="F111" s="55">
        <f t="shared" si="9"/>
        <v>5899400.9999999972</v>
      </c>
      <c r="G111" s="55">
        <f t="shared" si="12"/>
        <v>42171795.466666669</v>
      </c>
      <c r="H111" s="51">
        <f t="shared" si="10"/>
        <v>42171795.466666669</v>
      </c>
      <c r="I111" s="51">
        <f t="shared" si="13"/>
        <v>2150761568.8000002</v>
      </c>
      <c r="J111" s="20">
        <f t="shared" si="15"/>
        <v>0.9856578914580697</v>
      </c>
      <c r="K111" s="23">
        <f t="shared" si="16"/>
        <v>0.18928395536324016</v>
      </c>
      <c r="L111" s="51"/>
      <c r="M111" s="51"/>
      <c r="O111" s="23"/>
    </row>
    <row r="112" spans="1:15" x14ac:dyDescent="0.25">
      <c r="A112" s="46">
        <v>52</v>
      </c>
      <c r="B112" s="49">
        <f>DATE(2019,11,25)</f>
        <v>43794</v>
      </c>
      <c r="C112" s="37">
        <f t="shared" si="8"/>
        <v>38673851</v>
      </c>
      <c r="D112" s="50">
        <f t="shared" si="11"/>
        <v>5899400.9999999972</v>
      </c>
      <c r="E112" s="55">
        <f t="shared" si="14"/>
        <v>-2401456.5333333337</v>
      </c>
      <c r="F112" s="55">
        <f t="shared" si="9"/>
        <v>5899400.9999999972</v>
      </c>
      <c r="G112" s="55">
        <f t="shared" si="12"/>
        <v>42171795.466666669</v>
      </c>
      <c r="H112" s="51">
        <f t="shared" si="10"/>
        <v>42171795.466666669</v>
      </c>
      <c r="I112" s="51">
        <f t="shared" si="13"/>
        <v>2192933364.2666669</v>
      </c>
      <c r="J112" s="20">
        <f t="shared" si="15"/>
        <v>0.9856578914580697</v>
      </c>
      <c r="K112" s="23">
        <f t="shared" si="16"/>
        <v>0.18928395536324016</v>
      </c>
      <c r="L112" s="51"/>
      <c r="M112" s="51"/>
      <c r="O112" s="23"/>
    </row>
    <row r="113" spans="1:15" x14ac:dyDescent="0.25">
      <c r="A113" s="46">
        <v>53</v>
      </c>
      <c r="B113" s="49">
        <f>DATE(2019,12,25)</f>
        <v>43824</v>
      </c>
      <c r="C113" s="37">
        <f t="shared" si="8"/>
        <v>38673851</v>
      </c>
      <c r="D113" s="50">
        <f t="shared" si="11"/>
        <v>5899400.9999999972</v>
      </c>
      <c r="E113" s="55">
        <f t="shared" si="14"/>
        <v>-2401456.5333333337</v>
      </c>
      <c r="F113" s="55">
        <f t="shared" si="9"/>
        <v>5899400.9999999972</v>
      </c>
      <c r="G113" s="55">
        <f t="shared" si="12"/>
        <v>42171795.466666669</v>
      </c>
      <c r="H113" s="51">
        <f t="shared" si="10"/>
        <v>42171795.466666669</v>
      </c>
      <c r="I113" s="51">
        <f t="shared" si="13"/>
        <v>2235105159.7333336</v>
      </c>
      <c r="J113" s="20">
        <f t="shared" si="15"/>
        <v>0.9856578914580697</v>
      </c>
      <c r="K113" s="23">
        <f t="shared" si="16"/>
        <v>0.18928395536324016</v>
      </c>
      <c r="L113" s="51"/>
      <c r="M113" s="51"/>
      <c r="O113" s="23"/>
    </row>
    <row r="114" spans="1:15" x14ac:dyDescent="0.25">
      <c r="A114" s="46">
        <v>54</v>
      </c>
      <c r="B114" s="49">
        <f>DATE(2020,1,25)</f>
        <v>43855</v>
      </c>
      <c r="C114" s="37">
        <f t="shared" si="8"/>
        <v>38673851</v>
      </c>
      <c r="D114" s="50">
        <f t="shared" si="11"/>
        <v>5899400.9999999972</v>
      </c>
      <c r="E114" s="55">
        <f t="shared" si="14"/>
        <v>-2401456.5333333337</v>
      </c>
      <c r="F114" s="55">
        <f t="shared" si="9"/>
        <v>5899400.9999999972</v>
      </c>
      <c r="G114" s="55">
        <f t="shared" si="12"/>
        <v>42171795.466666669</v>
      </c>
      <c r="H114" s="51">
        <f t="shared" si="10"/>
        <v>42171795.466666669</v>
      </c>
      <c r="I114" s="51">
        <f t="shared" si="13"/>
        <v>2277276955.2000003</v>
      </c>
      <c r="J114" s="20">
        <f t="shared" si="15"/>
        <v>0.9856578914580697</v>
      </c>
      <c r="K114" s="23">
        <f t="shared" si="16"/>
        <v>0.18928395536324016</v>
      </c>
      <c r="L114" s="51"/>
      <c r="M114" s="51"/>
      <c r="O114" s="23"/>
    </row>
    <row r="115" spans="1:15" x14ac:dyDescent="0.25">
      <c r="A115" s="46">
        <v>55</v>
      </c>
      <c r="B115" s="49">
        <f>DATE(2020,2,25)</f>
        <v>43886</v>
      </c>
      <c r="C115" s="37">
        <f t="shared" si="8"/>
        <v>38673851</v>
      </c>
      <c r="D115" s="50">
        <f t="shared" si="11"/>
        <v>5899400.9999999972</v>
      </c>
      <c r="E115" s="55">
        <f t="shared" si="14"/>
        <v>-2401456.5333333337</v>
      </c>
      <c r="F115" s="55">
        <f t="shared" si="9"/>
        <v>5899400.9999999972</v>
      </c>
      <c r="G115" s="55">
        <f t="shared" si="12"/>
        <v>42171795.466666669</v>
      </c>
      <c r="H115" s="51">
        <f t="shared" si="10"/>
        <v>42171795.466666669</v>
      </c>
      <c r="I115" s="51">
        <f t="shared" si="13"/>
        <v>2319448750.666667</v>
      </c>
      <c r="J115" s="20">
        <f t="shared" si="15"/>
        <v>0.9856578914580697</v>
      </c>
      <c r="K115" s="23">
        <f t="shared" si="16"/>
        <v>0.18928395536324016</v>
      </c>
      <c r="L115" s="51"/>
      <c r="M115" s="51"/>
      <c r="O115" s="23"/>
    </row>
    <row r="116" spans="1:15" x14ac:dyDescent="0.25">
      <c r="A116" s="46">
        <v>56</v>
      </c>
      <c r="B116" s="49">
        <f>DATE(2020,3,25)</f>
        <v>43915</v>
      </c>
      <c r="C116" s="37">
        <f t="shared" si="8"/>
        <v>38673851</v>
      </c>
      <c r="D116" s="50">
        <f t="shared" si="11"/>
        <v>5899400.9999999972</v>
      </c>
      <c r="E116" s="55">
        <f t="shared" si="14"/>
        <v>-2401456.5333333337</v>
      </c>
      <c r="F116" s="55">
        <f t="shared" si="9"/>
        <v>5899400.9999999972</v>
      </c>
      <c r="G116" s="55">
        <f t="shared" si="12"/>
        <v>42171795.466666669</v>
      </c>
      <c r="H116" s="51">
        <f t="shared" si="10"/>
        <v>42171795.466666669</v>
      </c>
      <c r="I116" s="51">
        <f t="shared" si="13"/>
        <v>2361620546.1333332</v>
      </c>
      <c r="J116" s="20">
        <f t="shared" si="15"/>
        <v>0.9856578914580697</v>
      </c>
      <c r="K116" s="23">
        <f t="shared" si="16"/>
        <v>0.18928395536324016</v>
      </c>
      <c r="L116" s="51"/>
      <c r="M116" s="51"/>
      <c r="O116" s="23"/>
    </row>
    <row r="117" spans="1:15" x14ac:dyDescent="0.25">
      <c r="A117" s="46">
        <v>57</v>
      </c>
      <c r="B117" s="49">
        <f>DATE(2020,4,25)</f>
        <v>43946</v>
      </c>
      <c r="C117" s="37">
        <f t="shared" si="8"/>
        <v>38673851</v>
      </c>
      <c r="D117" s="50">
        <f t="shared" si="11"/>
        <v>5899400.9999999972</v>
      </c>
      <c r="E117" s="55">
        <f t="shared" si="14"/>
        <v>-2401456.5333333337</v>
      </c>
      <c r="F117" s="55">
        <f t="shared" si="9"/>
        <v>5899400.9999999972</v>
      </c>
      <c r="G117" s="55">
        <f t="shared" si="12"/>
        <v>42171795.466666669</v>
      </c>
      <c r="H117" s="51">
        <f t="shared" si="10"/>
        <v>42171795.466666669</v>
      </c>
      <c r="I117" s="51">
        <f t="shared" si="13"/>
        <v>2403792341.5999999</v>
      </c>
      <c r="J117" s="20">
        <f t="shared" si="15"/>
        <v>0.9856578914580697</v>
      </c>
      <c r="K117" s="23">
        <f t="shared" si="16"/>
        <v>0.18928395536324016</v>
      </c>
      <c r="L117" s="51"/>
      <c r="M117" s="51"/>
      <c r="O117" s="23"/>
    </row>
    <row r="118" spans="1:15" x14ac:dyDescent="0.25">
      <c r="A118" s="46">
        <v>58</v>
      </c>
      <c r="B118" s="49">
        <f>DATE(2020,5,25)</f>
        <v>43976</v>
      </c>
      <c r="C118" s="37">
        <f t="shared" si="8"/>
        <v>38673851</v>
      </c>
      <c r="D118" s="50">
        <f t="shared" si="11"/>
        <v>5899400.9999999972</v>
      </c>
      <c r="E118" s="55">
        <f t="shared" si="14"/>
        <v>-2401456.5333333337</v>
      </c>
      <c r="F118" s="55">
        <f t="shared" si="9"/>
        <v>5899400.9999999972</v>
      </c>
      <c r="G118" s="55">
        <f t="shared" si="12"/>
        <v>42171795.466666669</v>
      </c>
      <c r="H118" s="51">
        <f t="shared" si="10"/>
        <v>42171795.466666669</v>
      </c>
      <c r="I118" s="51">
        <f t="shared" si="13"/>
        <v>2445964137.0666666</v>
      </c>
      <c r="J118" s="20">
        <f t="shared" si="15"/>
        <v>0.9856578914580697</v>
      </c>
      <c r="K118" s="23">
        <f t="shared" si="16"/>
        <v>0.18928395536324016</v>
      </c>
      <c r="L118" s="51"/>
      <c r="M118" s="51"/>
      <c r="O118" s="23"/>
    </row>
    <row r="119" spans="1:15" x14ac:dyDescent="0.25">
      <c r="A119" s="46">
        <v>59</v>
      </c>
      <c r="B119" s="49">
        <f>DATE(2020,6,25)</f>
        <v>44007</v>
      </c>
      <c r="C119" s="37">
        <f t="shared" si="8"/>
        <v>38673851</v>
      </c>
      <c r="D119" s="50">
        <f t="shared" si="11"/>
        <v>5899400.9999999972</v>
      </c>
      <c r="E119" s="55">
        <f t="shared" si="14"/>
        <v>-2401456.5333333337</v>
      </c>
      <c r="F119" s="55">
        <f t="shared" si="9"/>
        <v>5899400.9999999972</v>
      </c>
      <c r="G119" s="55">
        <f t="shared" si="12"/>
        <v>42171795.466666669</v>
      </c>
      <c r="H119" s="51">
        <f t="shared" si="10"/>
        <v>42171795.466666669</v>
      </c>
      <c r="I119" s="51">
        <f t="shared" si="13"/>
        <v>2488135932.5333333</v>
      </c>
      <c r="J119" s="20">
        <f t="shared" si="15"/>
        <v>0.9856578914580697</v>
      </c>
      <c r="K119" s="23">
        <f t="shared" si="16"/>
        <v>0.18928395536324016</v>
      </c>
      <c r="L119" s="51"/>
      <c r="M119" s="51"/>
      <c r="O119" s="23"/>
    </row>
    <row r="120" spans="1:15" x14ac:dyDescent="0.25">
      <c r="A120" s="46">
        <v>60</v>
      </c>
      <c r="B120" s="49">
        <f>DATE(2020,7,25)</f>
        <v>44037</v>
      </c>
      <c r="C120" s="37">
        <f t="shared" si="8"/>
        <v>38673851</v>
      </c>
      <c r="D120" s="50">
        <f t="shared" si="11"/>
        <v>5899400.9999999972</v>
      </c>
      <c r="E120" s="55">
        <f t="shared" si="14"/>
        <v>-2401456.5333333337</v>
      </c>
      <c r="F120" s="55">
        <f t="shared" si="9"/>
        <v>5899400.9999999972</v>
      </c>
      <c r="G120" s="55">
        <f t="shared" si="12"/>
        <v>42171795.466666669</v>
      </c>
      <c r="H120" s="51">
        <f t="shared" si="10"/>
        <v>42171795.466666669</v>
      </c>
      <c r="I120" s="51">
        <f t="shared" si="13"/>
        <v>2530389328</v>
      </c>
      <c r="J120" s="20">
        <f t="shared" si="15"/>
        <v>0.9856578914580697</v>
      </c>
      <c r="K120" s="23">
        <f t="shared" si="16"/>
        <v>0.18928395536324016</v>
      </c>
      <c r="L120" s="51"/>
      <c r="M120" s="51"/>
      <c r="O120" s="23"/>
    </row>
    <row r="121" spans="1:15" x14ac:dyDescent="0.25">
      <c r="A121" s="46">
        <v>60</v>
      </c>
      <c r="B121" s="49">
        <f>DATE(2020,8,25)</f>
        <v>44068</v>
      </c>
      <c r="C121" s="37">
        <f>G17+G12</f>
        <v>38675031</v>
      </c>
      <c r="D121" s="50">
        <f t="shared" si="11"/>
        <v>5899580.9999999972</v>
      </c>
      <c r="E121" s="55">
        <f t="shared" si="14"/>
        <v>-2401456.5333333337</v>
      </c>
      <c r="F121" s="55">
        <f t="shared" si="9"/>
        <v>5899580.9999999972</v>
      </c>
      <c r="G121" s="55">
        <f t="shared" si="12"/>
        <v>42173155.466666669</v>
      </c>
      <c r="H121" s="51">
        <f t="shared" si="10"/>
        <v>42173155.466666669</v>
      </c>
      <c r="I121" s="51">
        <f t="shared" si="13"/>
        <v>0</v>
      </c>
      <c r="J121" s="20">
        <f t="shared" si="15"/>
        <v>0.9856578914580697</v>
      </c>
      <c r="K121" s="23">
        <f t="shared" si="16"/>
        <v>0.18928395536324016</v>
      </c>
      <c r="L121" s="51"/>
      <c r="M121" s="51"/>
      <c r="O121" s="23"/>
    </row>
    <row r="122" spans="1:15" ht="15.75" thickBot="1" x14ac:dyDescent="0.3">
      <c r="A122" s="46">
        <v>61</v>
      </c>
      <c r="B122" s="49"/>
      <c r="C122" s="37"/>
      <c r="D122" s="50"/>
      <c r="E122" s="55"/>
      <c r="F122" s="55"/>
      <c r="G122" s="55"/>
      <c r="H122" s="51"/>
      <c r="I122" s="51"/>
      <c r="K122" s="23"/>
      <c r="L122" s="51"/>
      <c r="M122" s="51"/>
      <c r="O122" s="23"/>
    </row>
    <row r="123" spans="1:15" ht="19.5" thickBot="1" x14ac:dyDescent="0.3">
      <c r="A123" s="48" t="s">
        <v>20</v>
      </c>
      <c r="B123" s="48"/>
      <c r="C123" s="50">
        <f>SUM(C61:C121)</f>
        <v>2480432240</v>
      </c>
      <c r="D123" s="50">
        <f>SUM(D61:D121)</f>
        <v>378371019.66101688</v>
      </c>
      <c r="E123" s="50">
        <f t="shared" ref="E123:F123" si="17">SUM(E61:E121)</f>
        <v>-166329594.98333314</v>
      </c>
      <c r="F123" s="50">
        <f t="shared" si="17"/>
        <v>134303223.0508475</v>
      </c>
      <c r="G123" s="50">
        <f>SUM(G61:G121)</f>
        <v>2448405868.0675163</v>
      </c>
      <c r="K123" s="61">
        <f>K121</f>
        <v>0.18928395536324016</v>
      </c>
    </row>
    <row r="124" spans="1:15" ht="15.75" thickBot="1" x14ac:dyDescent="0.3"/>
    <row r="125" spans="1:15" ht="16.5" thickBot="1" x14ac:dyDescent="0.3">
      <c r="A125" s="20" t="s">
        <v>13</v>
      </c>
      <c r="E125" s="51"/>
      <c r="F125" s="52">
        <f>G11</f>
        <v>0.11005403</v>
      </c>
    </row>
    <row r="127" spans="1:15" ht="19.5" thickBot="1" x14ac:dyDescent="0.3">
      <c r="A127" s="28" t="s">
        <v>77</v>
      </c>
    </row>
    <row r="128" spans="1:15" ht="19.5" thickBot="1" x14ac:dyDescent="0.3">
      <c r="B128" s="20" t="s">
        <v>11</v>
      </c>
      <c r="G128" s="54">
        <f>K123</f>
        <v>0.18928395536324016</v>
      </c>
      <c r="H128" s="19"/>
      <c r="I128" s="19"/>
    </row>
    <row r="129" spans="1:9" s="19" customFormat="1" x14ac:dyDescent="0.25">
      <c r="A129" s="53"/>
      <c r="G129" s="18"/>
    </row>
    <row r="130" spans="1:9" s="19" customFormat="1" x14ac:dyDescent="0.25">
      <c r="A130" s="53"/>
      <c r="G130" s="18"/>
    </row>
    <row r="131" spans="1:9" s="19" customFormat="1" ht="18.75" x14ac:dyDescent="0.25">
      <c r="A131" s="28" t="s">
        <v>93</v>
      </c>
      <c r="G131" s="18"/>
      <c r="H131" s="20"/>
      <c r="I131" s="20"/>
    </row>
    <row r="132" spans="1:9" x14ac:dyDescent="0.25">
      <c r="A132" s="20" t="s">
        <v>89</v>
      </c>
      <c r="C132" s="23">
        <f>1/G38</f>
        <v>0.2</v>
      </c>
    </row>
    <row r="133" spans="1:9" x14ac:dyDescent="0.25">
      <c r="A133" s="20" t="s">
        <v>83</v>
      </c>
    </row>
    <row r="134" spans="1:9" ht="45" x14ac:dyDescent="0.25">
      <c r="B134" s="65" t="s">
        <v>90</v>
      </c>
      <c r="C134" s="65" t="s">
        <v>91</v>
      </c>
      <c r="D134" s="65" t="s">
        <v>92</v>
      </c>
      <c r="E134" s="66" t="s">
        <v>94</v>
      </c>
      <c r="F134" s="66" t="s">
        <v>95</v>
      </c>
    </row>
    <row r="135" spans="1:9" x14ac:dyDescent="0.25">
      <c r="A135" s="20" t="s">
        <v>84</v>
      </c>
      <c r="B135" s="51">
        <f>G8</f>
        <v>1355932203.3898306</v>
      </c>
      <c r="C135" s="51">
        <f>B135*(1-$C$132)</f>
        <v>1084745762.7118645</v>
      </c>
      <c r="D135" s="51">
        <f>(B135+C135)/2</f>
        <v>1220338983.0508475</v>
      </c>
      <c r="E135" s="51">
        <f>D135*$G$5</f>
        <v>0</v>
      </c>
      <c r="F135" s="51">
        <f>E135/12</f>
        <v>0</v>
      </c>
    </row>
    <row r="136" spans="1:9" x14ac:dyDescent="0.25">
      <c r="A136" s="20" t="s">
        <v>85</v>
      </c>
      <c r="B136" s="51">
        <f>C135</f>
        <v>1084745762.7118645</v>
      </c>
      <c r="C136" s="51">
        <f t="shared" ref="C136:C139" si="18">B136*(1-$C$132)</f>
        <v>867796610.16949165</v>
      </c>
      <c r="D136" s="51">
        <f t="shared" ref="D136:D139" si="19">(B136+C136)/2</f>
        <v>976271186.44067812</v>
      </c>
      <c r="E136" s="51">
        <f t="shared" ref="E136:E139" si="20">D136*$G$5</f>
        <v>0</v>
      </c>
      <c r="F136" s="51">
        <f t="shared" ref="F136:F139" si="21">E136/12</f>
        <v>0</v>
      </c>
    </row>
    <row r="137" spans="1:9" x14ac:dyDescent="0.25">
      <c r="A137" s="20" t="s">
        <v>86</v>
      </c>
      <c r="B137" s="51">
        <f t="shared" ref="B137:B139" si="22">C136</f>
        <v>867796610.16949165</v>
      </c>
      <c r="C137" s="51">
        <f t="shared" si="18"/>
        <v>694237288.13559341</v>
      </c>
      <c r="D137" s="51">
        <f t="shared" si="19"/>
        <v>781016949.15254259</v>
      </c>
      <c r="E137" s="51">
        <f t="shared" si="20"/>
        <v>0</v>
      </c>
      <c r="F137" s="51">
        <f t="shared" si="21"/>
        <v>0</v>
      </c>
    </row>
    <row r="138" spans="1:9" x14ac:dyDescent="0.25">
      <c r="A138" s="20" t="s">
        <v>87</v>
      </c>
      <c r="B138" s="51">
        <f t="shared" si="22"/>
        <v>694237288.13559341</v>
      </c>
      <c r="C138" s="51">
        <f t="shared" si="18"/>
        <v>555389830.50847471</v>
      </c>
      <c r="D138" s="51">
        <f t="shared" si="19"/>
        <v>624813559.32203412</v>
      </c>
      <c r="E138" s="51">
        <f t="shared" si="20"/>
        <v>0</v>
      </c>
      <c r="F138" s="51">
        <f t="shared" si="21"/>
        <v>0</v>
      </c>
    </row>
    <row r="139" spans="1:9" x14ac:dyDescent="0.25">
      <c r="A139" s="20" t="s">
        <v>88</v>
      </c>
      <c r="B139" s="51">
        <f t="shared" si="22"/>
        <v>555389830.50847471</v>
      </c>
      <c r="C139" s="51">
        <f t="shared" si="18"/>
        <v>444311864.40677977</v>
      </c>
      <c r="D139" s="51">
        <f t="shared" si="19"/>
        <v>499850847.45762724</v>
      </c>
      <c r="E139" s="51">
        <f t="shared" si="20"/>
        <v>0</v>
      </c>
      <c r="F139" s="51">
        <f t="shared" si="21"/>
        <v>0</v>
      </c>
    </row>
    <row r="141" spans="1:9" ht="18.75" x14ac:dyDescent="0.25">
      <c r="A141" s="28" t="s">
        <v>106</v>
      </c>
    </row>
    <row r="142" spans="1:9" x14ac:dyDescent="0.25">
      <c r="A142" s="20" t="s">
        <v>104</v>
      </c>
    </row>
    <row r="143" spans="1:9" x14ac:dyDescent="0.25">
      <c r="A143" s="20" t="s">
        <v>105</v>
      </c>
    </row>
  </sheetData>
  <dataValidations count="1">
    <dataValidation type="list" allowBlank="1" showInputMessage="1" showErrorMessage="1" sqref="G6">
      <formula1>НИ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22" sqref="E22"/>
    </sheetView>
  </sheetViews>
  <sheetFormatPr defaultRowHeight="15" x14ac:dyDescent="0.25"/>
  <cols>
    <col min="1" max="1" width="9.140625" style="20"/>
    <col min="2" max="2" width="10.140625" style="20" bestFit="1" customWidth="1"/>
    <col min="3" max="7" width="20.7109375" style="20" customWidth="1"/>
    <col min="8" max="16384" width="9.140625" style="20"/>
  </cols>
  <sheetData>
    <row r="1" spans="1:7" ht="19.5" thickBot="1" x14ac:dyDescent="0.3">
      <c r="B1" s="28" t="s">
        <v>43</v>
      </c>
      <c r="E1" s="26">
        <v>0.12</v>
      </c>
    </row>
    <row r="2" spans="1:7" ht="19.5" thickBot="1" x14ac:dyDescent="0.3">
      <c r="B2" s="28" t="s">
        <v>44</v>
      </c>
      <c r="E2" s="27">
        <v>25000</v>
      </c>
    </row>
    <row r="3" spans="1:7" ht="19.5" thickBot="1" x14ac:dyDescent="0.3">
      <c r="B3" s="28" t="s">
        <v>46</v>
      </c>
      <c r="E3" s="27">
        <v>12</v>
      </c>
    </row>
    <row r="4" spans="1:7" x14ac:dyDescent="0.25">
      <c r="D4" s="21" t="s">
        <v>32</v>
      </c>
      <c r="E4" s="21" t="s">
        <v>33</v>
      </c>
      <c r="F4" s="21" t="s">
        <v>34</v>
      </c>
      <c r="G4" s="21" t="s">
        <v>35</v>
      </c>
    </row>
    <row r="5" spans="1:7" x14ac:dyDescent="0.25">
      <c r="A5" s="20">
        <v>1</v>
      </c>
      <c r="B5" s="22">
        <f>DATE(2015,8,25)</f>
        <v>42241</v>
      </c>
      <c r="C5" s="29"/>
      <c r="D5" s="20">
        <f>C5-E2</f>
        <v>-25000</v>
      </c>
      <c r="E5" s="20">
        <f>D6*A5</f>
        <v>250</v>
      </c>
      <c r="F5" s="20">
        <v>1</v>
      </c>
      <c r="G5" s="20">
        <f t="shared" ref="G5:G10" si="0">POWER(F5,-12)-1</f>
        <v>0</v>
      </c>
    </row>
    <row r="6" spans="1:7" x14ac:dyDescent="0.25">
      <c r="A6" s="20">
        <v>2</v>
      </c>
      <c r="B6" s="22">
        <f>EOMONTH(B5,1)</f>
        <v>42277</v>
      </c>
      <c r="C6" s="29">
        <f t="shared" ref="C6:C15" si="1">$E$2*$E$1/12</f>
        <v>250</v>
      </c>
      <c r="D6" s="20">
        <f>C6</f>
        <v>250</v>
      </c>
      <c r="E6" s="20">
        <f t="shared" ref="E6:E16" si="2">D7*A6</f>
        <v>500</v>
      </c>
      <c r="F6" s="20">
        <f>F5-SERIESSUM(F5,0,1,$D$5:$D$16)/SERIESSUM(F5,0,1,$E$5:$E$15)</f>
        <v>0.99056603773584906</v>
      </c>
      <c r="G6" s="23">
        <f>POWER(F6,-12)-1</f>
        <v>0.12046628824290218</v>
      </c>
    </row>
    <row r="7" spans="1:7" x14ac:dyDescent="0.25">
      <c r="A7" s="20">
        <v>3</v>
      </c>
      <c r="B7" s="22">
        <f t="shared" ref="B7:B16" si="3">EOMONTH(B6,1)</f>
        <v>42308</v>
      </c>
      <c r="C7" s="29">
        <f t="shared" si="1"/>
        <v>250</v>
      </c>
      <c r="D7" s="20">
        <f t="shared" ref="D7:D16" si="4">C7</f>
        <v>250</v>
      </c>
      <c r="E7" s="20">
        <f t="shared" si="2"/>
        <v>750</v>
      </c>
      <c r="F7" s="20">
        <f t="shared" ref="F7:F16" si="5">F6-SERIESSUM(F6,0,1,$D$5:$D$16)/SERIESSUM(F6,0,1,$E$5:$E$15)</f>
        <v>0.99010008750259459</v>
      </c>
      <c r="G7" s="23">
        <f t="shared" si="0"/>
        <v>0.1268103133023426</v>
      </c>
    </row>
    <row r="8" spans="1:7" x14ac:dyDescent="0.25">
      <c r="A8" s="20">
        <v>4</v>
      </c>
      <c r="B8" s="22">
        <f t="shared" si="3"/>
        <v>42338</v>
      </c>
      <c r="C8" s="29">
        <f t="shared" si="1"/>
        <v>250</v>
      </c>
      <c r="D8" s="20">
        <f t="shared" si="4"/>
        <v>250</v>
      </c>
      <c r="E8" s="20">
        <f t="shared" si="2"/>
        <v>1000</v>
      </c>
      <c r="F8" s="20">
        <f t="shared" si="5"/>
        <v>0.9900990099067376</v>
      </c>
      <c r="G8" s="23">
        <f t="shared" si="0"/>
        <v>0.12682503005347545</v>
      </c>
    </row>
    <row r="9" spans="1:7" x14ac:dyDescent="0.25">
      <c r="A9" s="20">
        <v>5</v>
      </c>
      <c r="B9" s="22">
        <f t="shared" si="3"/>
        <v>42369</v>
      </c>
      <c r="C9" s="29">
        <f t="shared" si="1"/>
        <v>250</v>
      </c>
      <c r="D9" s="20">
        <f t="shared" si="4"/>
        <v>250</v>
      </c>
      <c r="E9" s="20">
        <f t="shared" si="2"/>
        <v>1250</v>
      </c>
      <c r="F9" s="20">
        <f t="shared" si="5"/>
        <v>0.99009900990099009</v>
      </c>
      <c r="G9" s="23">
        <f t="shared" si="0"/>
        <v>0.12682503013197</v>
      </c>
    </row>
    <row r="10" spans="1:7" x14ac:dyDescent="0.25">
      <c r="A10" s="20">
        <v>6</v>
      </c>
      <c r="B10" s="22">
        <f t="shared" si="3"/>
        <v>42400</v>
      </c>
      <c r="C10" s="29">
        <f t="shared" si="1"/>
        <v>250</v>
      </c>
      <c r="D10" s="20">
        <f t="shared" si="4"/>
        <v>250</v>
      </c>
      <c r="E10" s="20">
        <f t="shared" si="2"/>
        <v>1500</v>
      </c>
      <c r="F10" s="20">
        <f t="shared" si="5"/>
        <v>0.99009900990099009</v>
      </c>
      <c r="G10" s="23">
        <f t="shared" si="0"/>
        <v>0.12682503013197</v>
      </c>
    </row>
    <row r="11" spans="1:7" x14ac:dyDescent="0.25">
      <c r="A11" s="20">
        <v>7</v>
      </c>
      <c r="B11" s="22">
        <f t="shared" si="3"/>
        <v>42429</v>
      </c>
      <c r="C11" s="29">
        <f t="shared" si="1"/>
        <v>250</v>
      </c>
      <c r="D11" s="20">
        <f t="shared" si="4"/>
        <v>250</v>
      </c>
      <c r="E11" s="20">
        <f t="shared" si="2"/>
        <v>1750</v>
      </c>
      <c r="F11" s="20">
        <f t="shared" si="5"/>
        <v>0.99009900990099009</v>
      </c>
      <c r="G11" s="23">
        <f>POWER(F11,-12)-1</f>
        <v>0.12682503013197</v>
      </c>
    </row>
    <row r="12" spans="1:7" x14ac:dyDescent="0.25">
      <c r="A12" s="20">
        <v>8</v>
      </c>
      <c r="B12" s="22">
        <f t="shared" si="3"/>
        <v>42460</v>
      </c>
      <c r="C12" s="29">
        <f t="shared" si="1"/>
        <v>250</v>
      </c>
      <c r="D12" s="20">
        <f t="shared" si="4"/>
        <v>250</v>
      </c>
      <c r="E12" s="20">
        <f t="shared" si="2"/>
        <v>2000</v>
      </c>
      <c r="F12" s="20">
        <f t="shared" si="5"/>
        <v>0.99009900990099009</v>
      </c>
      <c r="G12" s="23">
        <f t="shared" ref="G12:G16" si="6">POWER(F12,-12)-1</f>
        <v>0.12682503013197</v>
      </c>
    </row>
    <row r="13" spans="1:7" x14ac:dyDescent="0.25">
      <c r="A13" s="20">
        <v>9</v>
      </c>
      <c r="B13" s="22">
        <f t="shared" si="3"/>
        <v>42490</v>
      </c>
      <c r="C13" s="29">
        <f t="shared" si="1"/>
        <v>250</v>
      </c>
      <c r="D13" s="20">
        <f t="shared" si="4"/>
        <v>250</v>
      </c>
      <c r="E13" s="20">
        <f t="shared" si="2"/>
        <v>2250</v>
      </c>
      <c r="F13" s="20">
        <f t="shared" si="5"/>
        <v>0.99009900990099009</v>
      </c>
      <c r="G13" s="23">
        <f t="shared" si="6"/>
        <v>0.12682503013197</v>
      </c>
    </row>
    <row r="14" spans="1:7" x14ac:dyDescent="0.25">
      <c r="A14" s="20">
        <v>10</v>
      </c>
      <c r="B14" s="22">
        <f t="shared" si="3"/>
        <v>42521</v>
      </c>
      <c r="C14" s="29">
        <f t="shared" si="1"/>
        <v>250</v>
      </c>
      <c r="D14" s="20">
        <f t="shared" si="4"/>
        <v>250</v>
      </c>
      <c r="E14" s="20">
        <f t="shared" si="2"/>
        <v>2500</v>
      </c>
      <c r="F14" s="20">
        <f t="shared" si="5"/>
        <v>0.99009900990099009</v>
      </c>
      <c r="G14" s="23">
        <f t="shared" si="6"/>
        <v>0.12682503013197</v>
      </c>
    </row>
    <row r="15" spans="1:7" ht="15.75" thickBot="1" x14ac:dyDescent="0.3">
      <c r="A15" s="20">
        <v>11</v>
      </c>
      <c r="B15" s="22">
        <f t="shared" si="3"/>
        <v>42551</v>
      </c>
      <c r="C15" s="29">
        <f t="shared" si="1"/>
        <v>250</v>
      </c>
      <c r="D15" s="20">
        <f t="shared" si="4"/>
        <v>250</v>
      </c>
      <c r="E15" s="20">
        <f t="shared" si="2"/>
        <v>277750</v>
      </c>
      <c r="F15" s="20">
        <f t="shared" si="5"/>
        <v>0.99009900990099009</v>
      </c>
      <c r="G15" s="23">
        <f t="shared" si="6"/>
        <v>0.12682503013197</v>
      </c>
    </row>
    <row r="16" spans="1:7" ht="19.5" thickBot="1" x14ac:dyDescent="0.3">
      <c r="A16" s="20">
        <v>12</v>
      </c>
      <c r="B16" s="22">
        <f t="shared" si="3"/>
        <v>42582</v>
      </c>
      <c r="C16" s="29">
        <f>$E$2*$E$1/E3+E2</f>
        <v>25250</v>
      </c>
      <c r="D16" s="20">
        <f t="shared" si="4"/>
        <v>25250</v>
      </c>
      <c r="E16" s="20">
        <f t="shared" si="2"/>
        <v>0</v>
      </c>
      <c r="F16" s="20">
        <f t="shared" si="5"/>
        <v>0.99009900990099009</v>
      </c>
      <c r="G16" s="54">
        <f t="shared" si="6"/>
        <v>0.12682503013197</v>
      </c>
    </row>
    <row r="17" spans="2:7" ht="15.75" thickBot="1" x14ac:dyDescent="0.3">
      <c r="B17" s="22"/>
    </row>
    <row r="18" spans="2:7" ht="60.75" thickBot="1" x14ac:dyDescent="0.3">
      <c r="D18" s="63" t="s">
        <v>41</v>
      </c>
      <c r="E18" s="63" t="s">
        <v>42</v>
      </c>
      <c r="F18" s="63" t="s">
        <v>39</v>
      </c>
      <c r="G18" s="63" t="s">
        <v>40</v>
      </c>
    </row>
    <row r="19" spans="2:7" ht="15.75" thickBot="1" x14ac:dyDescent="0.3">
      <c r="C19" s="24"/>
    </row>
    <row r="20" spans="2:7" ht="19.5" thickBot="1" x14ac:dyDescent="0.3">
      <c r="B20" s="28" t="s">
        <v>45</v>
      </c>
      <c r="C20" s="24"/>
      <c r="D20" s="62">
        <f>EFFECT(E1,1)</f>
        <v>0.12000000000000011</v>
      </c>
      <c r="E20" s="20" t="s">
        <v>47</v>
      </c>
    </row>
    <row r="21" spans="2:7" ht="19.5" thickBot="1" x14ac:dyDescent="0.3">
      <c r="B21" s="20" t="s">
        <v>78</v>
      </c>
      <c r="C21" s="24"/>
      <c r="D21" s="54">
        <f>EFFECT(E1,E3)</f>
        <v>0.12682503013196977</v>
      </c>
      <c r="E21" s="20" t="s">
        <v>79</v>
      </c>
    </row>
    <row r="22" spans="2:7" ht="15.75" x14ac:dyDescent="0.25">
      <c r="B22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4"/>
  <sheetViews>
    <sheetView tabSelected="1" workbookViewId="0">
      <selection activeCell="G62" sqref="G62"/>
    </sheetView>
  </sheetViews>
  <sheetFormatPr defaultRowHeight="15" x14ac:dyDescent="0.25"/>
  <cols>
    <col min="2" max="2" width="8.85546875" customWidth="1"/>
    <col min="3" max="4" width="11.7109375" customWidth="1"/>
    <col min="5" max="5" width="15.5703125" customWidth="1"/>
    <col min="6" max="6" width="14.28515625" customWidth="1"/>
    <col min="7" max="7" width="19.85546875" customWidth="1"/>
    <col min="8" max="8" width="20.85546875" customWidth="1"/>
    <col min="10" max="10" width="14.28515625" bestFit="1" customWidth="1"/>
  </cols>
  <sheetData>
    <row r="2" spans="2:10" ht="18.75" x14ac:dyDescent="0.3">
      <c r="C2" s="5" t="s">
        <v>36</v>
      </c>
      <c r="D2" s="5"/>
      <c r="E2" s="5"/>
      <c r="F2" s="5"/>
      <c r="G2" s="5"/>
    </row>
    <row r="4" spans="2:10" x14ac:dyDescent="0.25">
      <c r="B4" t="s">
        <v>15</v>
      </c>
      <c r="H4" s="4">
        <v>120000000</v>
      </c>
    </row>
    <row r="5" spans="2:10" x14ac:dyDescent="0.25">
      <c r="B5" t="s">
        <v>14</v>
      </c>
      <c r="H5" s="4">
        <f>H6/0.67</f>
        <v>149253731.34328356</v>
      </c>
    </row>
    <row r="6" spans="2:10" x14ac:dyDescent="0.25">
      <c r="B6" t="s">
        <v>21</v>
      </c>
      <c r="H6" s="4">
        <v>100000000</v>
      </c>
    </row>
    <row r="7" spans="2:10" x14ac:dyDescent="0.25">
      <c r="B7" t="s">
        <v>16</v>
      </c>
      <c r="H7" s="4">
        <f>H6*(1-1/1.18)</f>
        <v>15254237.288135586</v>
      </c>
    </row>
    <row r="8" spans="2:10" ht="30" customHeight="1" x14ac:dyDescent="0.25">
      <c r="B8" s="70" t="s">
        <v>18</v>
      </c>
      <c r="C8" s="70"/>
      <c r="D8" s="70"/>
      <c r="E8" s="70"/>
      <c r="F8" s="70"/>
      <c r="G8" s="71"/>
      <c r="H8" s="14">
        <f>IF((H4*50%-H6)*20%&gt;0,(H4*50%-H6)*20%,0)</f>
        <v>0</v>
      </c>
    </row>
    <row r="9" spans="2:10" x14ac:dyDescent="0.25">
      <c r="B9" t="s">
        <v>17</v>
      </c>
      <c r="H9" s="4">
        <f>H6-H7-H8</f>
        <v>84745762.711864412</v>
      </c>
    </row>
    <row r="10" spans="2:10" ht="33" customHeight="1" x14ac:dyDescent="0.25">
      <c r="B10" s="72" t="s">
        <v>19</v>
      </c>
      <c r="C10" s="72"/>
      <c r="D10" s="72"/>
      <c r="E10" s="72"/>
      <c r="F10" s="72"/>
      <c r="G10" s="73"/>
    </row>
    <row r="12" spans="2:10" x14ac:dyDescent="0.25">
      <c r="E12" s="1" t="s">
        <v>4</v>
      </c>
      <c r="F12" s="1" t="s">
        <v>3</v>
      </c>
    </row>
    <row r="13" spans="2:10" x14ac:dyDescent="0.25">
      <c r="B13" s="1" t="s">
        <v>6</v>
      </c>
      <c r="C13" s="1"/>
      <c r="D13" s="1"/>
      <c r="E13" s="7">
        <v>0</v>
      </c>
      <c r="F13" s="7">
        <f>E13*(1-1/1.18)</f>
        <v>0</v>
      </c>
      <c r="J13" s="6"/>
    </row>
    <row r="14" spans="2:10" x14ac:dyDescent="0.25">
      <c r="J14" s="9" t="s">
        <v>26</v>
      </c>
    </row>
    <row r="15" spans="2:10" x14ac:dyDescent="0.25">
      <c r="B15" s="2" t="s">
        <v>0</v>
      </c>
      <c r="C15" s="1" t="s">
        <v>1</v>
      </c>
      <c r="D15" s="1" t="s">
        <v>2</v>
      </c>
      <c r="E15" s="1" t="s">
        <v>4</v>
      </c>
      <c r="F15" s="1" t="s">
        <v>3</v>
      </c>
      <c r="J15" s="8">
        <f>-H6</f>
        <v>-100000000</v>
      </c>
    </row>
    <row r="16" spans="2:10" x14ac:dyDescent="0.25">
      <c r="B16" s="2">
        <v>1</v>
      </c>
      <c r="C16" s="3">
        <v>42272</v>
      </c>
      <c r="D16" s="4" t="s">
        <v>5</v>
      </c>
      <c r="E16" s="4">
        <v>4131045.99</v>
      </c>
      <c r="F16" s="7">
        <f>E16*(1-1/1.18)</f>
        <v>630159.55779660994</v>
      </c>
      <c r="H16" s="8"/>
      <c r="J16" s="8">
        <f>E16</f>
        <v>4131045.99</v>
      </c>
    </row>
    <row r="17" spans="2:10" x14ac:dyDescent="0.25">
      <c r="B17" s="2">
        <v>2</v>
      </c>
      <c r="C17" s="3">
        <v>42302</v>
      </c>
      <c r="D17" s="4" t="s">
        <v>5</v>
      </c>
      <c r="E17" s="4">
        <v>3895045.99</v>
      </c>
      <c r="F17" s="7">
        <f t="shared" ref="F17:F51" si="0">E17*(1-1/1.18)</f>
        <v>594159.55779660994</v>
      </c>
      <c r="J17" s="8">
        <f t="shared" ref="J17:J51" si="1">E17</f>
        <v>3895045.99</v>
      </c>
    </row>
    <row r="18" spans="2:10" x14ac:dyDescent="0.25">
      <c r="B18" s="2">
        <v>3</v>
      </c>
      <c r="C18" s="3">
        <v>42333</v>
      </c>
      <c r="D18" s="4" t="s">
        <v>5</v>
      </c>
      <c r="E18" s="4">
        <f>E17</f>
        <v>3895045.99</v>
      </c>
      <c r="F18" s="7">
        <f t="shared" si="0"/>
        <v>594159.55779660994</v>
      </c>
      <c r="J18" s="8">
        <f t="shared" si="1"/>
        <v>3895045.99</v>
      </c>
    </row>
    <row r="19" spans="2:10" x14ac:dyDescent="0.25">
      <c r="B19" s="2">
        <v>4</v>
      </c>
      <c r="C19" s="3">
        <v>42363</v>
      </c>
      <c r="D19" s="4" t="s">
        <v>5</v>
      </c>
      <c r="E19" s="4">
        <f t="shared" ref="E19:E51" si="2">E18</f>
        <v>3895045.99</v>
      </c>
      <c r="F19" s="7">
        <f t="shared" si="0"/>
        <v>594159.55779660994</v>
      </c>
      <c r="J19" s="8">
        <f t="shared" si="1"/>
        <v>3895045.99</v>
      </c>
    </row>
    <row r="20" spans="2:10" x14ac:dyDescent="0.25">
      <c r="B20" s="2">
        <v>5</v>
      </c>
      <c r="C20" s="3">
        <v>42394</v>
      </c>
      <c r="D20" s="4" t="s">
        <v>5</v>
      </c>
      <c r="E20" s="4">
        <f t="shared" si="2"/>
        <v>3895045.99</v>
      </c>
      <c r="F20" s="7">
        <f t="shared" si="0"/>
        <v>594159.55779660994</v>
      </c>
      <c r="J20" s="8">
        <f t="shared" si="1"/>
        <v>3895045.99</v>
      </c>
    </row>
    <row r="21" spans="2:10" x14ac:dyDescent="0.25">
      <c r="B21" s="2">
        <v>6</v>
      </c>
      <c r="C21" s="3">
        <v>42425</v>
      </c>
      <c r="D21" s="4" t="s">
        <v>5</v>
      </c>
      <c r="E21" s="4">
        <f t="shared" si="2"/>
        <v>3895045.99</v>
      </c>
      <c r="F21" s="7">
        <f t="shared" si="0"/>
        <v>594159.55779660994</v>
      </c>
      <c r="J21" s="8">
        <f t="shared" si="1"/>
        <v>3895045.99</v>
      </c>
    </row>
    <row r="22" spans="2:10" x14ac:dyDescent="0.25">
      <c r="B22" s="2">
        <v>7</v>
      </c>
      <c r="C22" s="3">
        <v>42454</v>
      </c>
      <c r="D22" s="4" t="s">
        <v>5</v>
      </c>
      <c r="E22" s="4">
        <f t="shared" si="2"/>
        <v>3895045.99</v>
      </c>
      <c r="F22" s="7">
        <f t="shared" si="0"/>
        <v>594159.55779660994</v>
      </c>
      <c r="J22" s="8">
        <f t="shared" si="1"/>
        <v>3895045.99</v>
      </c>
    </row>
    <row r="23" spans="2:10" x14ac:dyDescent="0.25">
      <c r="B23" s="2">
        <v>8</v>
      </c>
      <c r="C23" s="3">
        <v>42485</v>
      </c>
      <c r="D23" s="4" t="s">
        <v>5</v>
      </c>
      <c r="E23" s="4">
        <f t="shared" si="2"/>
        <v>3895045.99</v>
      </c>
      <c r="F23" s="7">
        <f t="shared" si="0"/>
        <v>594159.55779660994</v>
      </c>
      <c r="J23" s="8">
        <f t="shared" si="1"/>
        <v>3895045.99</v>
      </c>
    </row>
    <row r="24" spans="2:10" x14ac:dyDescent="0.25">
      <c r="B24" s="2">
        <v>9</v>
      </c>
      <c r="C24" s="3">
        <v>42515</v>
      </c>
      <c r="D24" s="4" t="s">
        <v>5</v>
      </c>
      <c r="E24" s="4">
        <f t="shared" si="2"/>
        <v>3895045.99</v>
      </c>
      <c r="F24" s="7">
        <f t="shared" si="0"/>
        <v>594159.55779660994</v>
      </c>
      <c r="J24" s="8">
        <f t="shared" si="1"/>
        <v>3895045.99</v>
      </c>
    </row>
    <row r="25" spans="2:10" x14ac:dyDescent="0.25">
      <c r="B25" s="2">
        <v>10</v>
      </c>
      <c r="C25" s="3">
        <v>42546</v>
      </c>
      <c r="D25" s="4" t="s">
        <v>5</v>
      </c>
      <c r="E25" s="4">
        <f t="shared" si="2"/>
        <v>3895045.99</v>
      </c>
      <c r="F25" s="7">
        <f t="shared" si="0"/>
        <v>594159.55779660994</v>
      </c>
      <c r="J25" s="8">
        <f t="shared" si="1"/>
        <v>3895045.99</v>
      </c>
    </row>
    <row r="26" spans="2:10" x14ac:dyDescent="0.25">
      <c r="B26" s="2">
        <v>11</v>
      </c>
      <c r="C26" s="3">
        <v>42576</v>
      </c>
      <c r="D26" s="4" t="s">
        <v>5</v>
      </c>
      <c r="E26" s="4">
        <f t="shared" si="2"/>
        <v>3895045.99</v>
      </c>
      <c r="F26" s="7">
        <f t="shared" si="0"/>
        <v>594159.55779660994</v>
      </c>
      <c r="J26" s="8">
        <f t="shared" si="1"/>
        <v>3895045.99</v>
      </c>
    </row>
    <row r="27" spans="2:10" x14ac:dyDescent="0.25">
      <c r="B27" s="2">
        <v>12</v>
      </c>
      <c r="C27" s="3">
        <v>42607</v>
      </c>
      <c r="D27" s="4" t="s">
        <v>5</v>
      </c>
      <c r="E27" s="4">
        <f t="shared" si="2"/>
        <v>3895045.99</v>
      </c>
      <c r="F27" s="7">
        <f t="shared" si="0"/>
        <v>594159.55779660994</v>
      </c>
      <c r="J27" s="8">
        <f t="shared" si="1"/>
        <v>3895045.99</v>
      </c>
    </row>
    <row r="28" spans="2:10" x14ac:dyDescent="0.25">
      <c r="B28" s="2">
        <v>13</v>
      </c>
      <c r="C28" s="3">
        <v>42638</v>
      </c>
      <c r="D28" s="4" t="s">
        <v>5</v>
      </c>
      <c r="E28" s="4">
        <f t="shared" si="2"/>
        <v>3895045.99</v>
      </c>
      <c r="F28" s="7">
        <f t="shared" si="0"/>
        <v>594159.55779660994</v>
      </c>
      <c r="J28" s="8">
        <f t="shared" si="1"/>
        <v>3895045.99</v>
      </c>
    </row>
    <row r="29" spans="2:10" x14ac:dyDescent="0.25">
      <c r="B29" s="2">
        <v>14</v>
      </c>
      <c r="C29" s="3">
        <v>42668</v>
      </c>
      <c r="D29" s="4" t="s">
        <v>5</v>
      </c>
      <c r="E29" s="4">
        <f t="shared" si="2"/>
        <v>3895045.99</v>
      </c>
      <c r="F29" s="7">
        <f t="shared" si="0"/>
        <v>594159.55779660994</v>
      </c>
      <c r="J29" s="8">
        <f t="shared" si="1"/>
        <v>3895045.99</v>
      </c>
    </row>
    <row r="30" spans="2:10" x14ac:dyDescent="0.25">
      <c r="B30" s="2">
        <v>15</v>
      </c>
      <c r="C30" s="3">
        <v>42699</v>
      </c>
      <c r="D30" s="4" t="s">
        <v>5</v>
      </c>
      <c r="E30" s="4">
        <f t="shared" si="2"/>
        <v>3895045.99</v>
      </c>
      <c r="F30" s="7">
        <f t="shared" si="0"/>
        <v>594159.55779660994</v>
      </c>
      <c r="J30" s="8">
        <f t="shared" si="1"/>
        <v>3895045.99</v>
      </c>
    </row>
    <row r="31" spans="2:10" x14ac:dyDescent="0.25">
      <c r="B31" s="2">
        <v>16</v>
      </c>
      <c r="C31" s="3">
        <v>42729</v>
      </c>
      <c r="D31" s="4" t="s">
        <v>5</v>
      </c>
      <c r="E31" s="4">
        <f t="shared" si="2"/>
        <v>3895045.99</v>
      </c>
      <c r="F31" s="7">
        <f t="shared" si="0"/>
        <v>594159.55779660994</v>
      </c>
      <c r="J31" s="8">
        <f t="shared" si="1"/>
        <v>3895045.99</v>
      </c>
    </row>
    <row r="32" spans="2:10" x14ac:dyDescent="0.25">
      <c r="B32" s="2">
        <v>17</v>
      </c>
      <c r="C32" s="3">
        <v>42485</v>
      </c>
      <c r="D32" s="4" t="s">
        <v>5</v>
      </c>
      <c r="E32" s="4">
        <f t="shared" si="2"/>
        <v>3895045.99</v>
      </c>
      <c r="F32" s="7">
        <f t="shared" si="0"/>
        <v>594159.55779660994</v>
      </c>
      <c r="J32" s="8">
        <f t="shared" si="1"/>
        <v>3895045.99</v>
      </c>
    </row>
    <row r="33" spans="2:10" x14ac:dyDescent="0.25">
      <c r="B33" s="2">
        <v>18</v>
      </c>
      <c r="C33" s="3">
        <v>42515</v>
      </c>
      <c r="D33" s="4" t="s">
        <v>5</v>
      </c>
      <c r="E33" s="4">
        <f t="shared" si="2"/>
        <v>3895045.99</v>
      </c>
      <c r="F33" s="7">
        <f t="shared" si="0"/>
        <v>594159.55779660994</v>
      </c>
      <c r="J33" s="8">
        <f t="shared" si="1"/>
        <v>3895045.99</v>
      </c>
    </row>
    <row r="34" spans="2:10" x14ac:dyDescent="0.25">
      <c r="B34" s="2">
        <v>19</v>
      </c>
      <c r="C34" s="3">
        <v>42546</v>
      </c>
      <c r="D34" s="4" t="s">
        <v>5</v>
      </c>
      <c r="E34" s="4">
        <f t="shared" si="2"/>
        <v>3895045.99</v>
      </c>
      <c r="F34" s="7">
        <f t="shared" si="0"/>
        <v>594159.55779660994</v>
      </c>
      <c r="J34" s="8">
        <f t="shared" si="1"/>
        <v>3895045.99</v>
      </c>
    </row>
    <row r="35" spans="2:10" x14ac:dyDescent="0.25">
      <c r="B35" s="2">
        <v>20</v>
      </c>
      <c r="C35" s="3">
        <v>42576</v>
      </c>
      <c r="D35" s="4" t="s">
        <v>5</v>
      </c>
      <c r="E35" s="4">
        <f t="shared" si="2"/>
        <v>3895045.99</v>
      </c>
      <c r="F35" s="7">
        <f t="shared" si="0"/>
        <v>594159.55779660994</v>
      </c>
      <c r="J35" s="8">
        <f t="shared" si="1"/>
        <v>3895045.99</v>
      </c>
    </row>
    <row r="36" spans="2:10" x14ac:dyDescent="0.25">
      <c r="B36" s="2">
        <v>21</v>
      </c>
      <c r="C36" s="3">
        <v>42607</v>
      </c>
      <c r="D36" s="4" t="s">
        <v>5</v>
      </c>
      <c r="E36" s="4">
        <f t="shared" si="2"/>
        <v>3895045.99</v>
      </c>
      <c r="F36" s="7">
        <f t="shared" si="0"/>
        <v>594159.55779660994</v>
      </c>
      <c r="J36" s="8">
        <f t="shared" si="1"/>
        <v>3895045.99</v>
      </c>
    </row>
    <row r="37" spans="2:10" x14ac:dyDescent="0.25">
      <c r="B37" s="2">
        <v>22</v>
      </c>
      <c r="C37" s="3">
        <v>42638</v>
      </c>
      <c r="D37" s="4" t="s">
        <v>5</v>
      </c>
      <c r="E37" s="4">
        <f t="shared" si="2"/>
        <v>3895045.99</v>
      </c>
      <c r="F37" s="7">
        <f t="shared" si="0"/>
        <v>594159.55779660994</v>
      </c>
      <c r="J37" s="8">
        <f t="shared" si="1"/>
        <v>3895045.99</v>
      </c>
    </row>
    <row r="38" spans="2:10" x14ac:dyDescent="0.25">
      <c r="B38" s="2">
        <v>23</v>
      </c>
      <c r="C38" s="3">
        <v>42668</v>
      </c>
      <c r="D38" s="4" t="s">
        <v>5</v>
      </c>
      <c r="E38" s="4">
        <f t="shared" si="2"/>
        <v>3895045.99</v>
      </c>
      <c r="F38" s="7">
        <f t="shared" si="0"/>
        <v>594159.55779660994</v>
      </c>
      <c r="J38" s="8">
        <f t="shared" si="1"/>
        <v>3895045.99</v>
      </c>
    </row>
    <row r="39" spans="2:10" x14ac:dyDescent="0.25">
      <c r="B39" s="2">
        <v>24</v>
      </c>
      <c r="C39" s="3">
        <v>42699</v>
      </c>
      <c r="D39" s="4" t="s">
        <v>5</v>
      </c>
      <c r="E39" s="4">
        <f t="shared" si="2"/>
        <v>3895045.99</v>
      </c>
      <c r="F39" s="7">
        <f t="shared" si="0"/>
        <v>594159.55779660994</v>
      </c>
      <c r="J39" s="8">
        <f t="shared" si="1"/>
        <v>3895045.99</v>
      </c>
    </row>
    <row r="40" spans="2:10" x14ac:dyDescent="0.25">
      <c r="B40" s="2">
        <v>25</v>
      </c>
      <c r="C40" s="3">
        <v>42729</v>
      </c>
      <c r="D40" s="4" t="s">
        <v>5</v>
      </c>
      <c r="E40" s="4">
        <f t="shared" si="2"/>
        <v>3895045.99</v>
      </c>
      <c r="F40" s="7">
        <f t="shared" si="0"/>
        <v>594159.55779660994</v>
      </c>
      <c r="J40" s="8">
        <f t="shared" si="1"/>
        <v>3895045.99</v>
      </c>
    </row>
    <row r="41" spans="2:10" x14ac:dyDescent="0.25">
      <c r="B41" s="2">
        <v>26</v>
      </c>
      <c r="C41" s="3">
        <v>42760</v>
      </c>
      <c r="D41" s="4" t="s">
        <v>5</v>
      </c>
      <c r="E41" s="4">
        <f t="shared" si="2"/>
        <v>3895045.99</v>
      </c>
      <c r="F41" s="7">
        <f t="shared" si="0"/>
        <v>594159.55779660994</v>
      </c>
      <c r="J41" s="8">
        <f t="shared" si="1"/>
        <v>3895045.99</v>
      </c>
    </row>
    <row r="42" spans="2:10" x14ac:dyDescent="0.25">
      <c r="B42" s="2">
        <v>27</v>
      </c>
      <c r="C42" s="3">
        <v>42791</v>
      </c>
      <c r="D42" s="4" t="s">
        <v>5</v>
      </c>
      <c r="E42" s="4">
        <f t="shared" si="2"/>
        <v>3895045.99</v>
      </c>
      <c r="F42" s="7">
        <f t="shared" si="0"/>
        <v>594159.55779660994</v>
      </c>
      <c r="J42" s="8">
        <f t="shared" si="1"/>
        <v>3895045.99</v>
      </c>
    </row>
    <row r="43" spans="2:10" x14ac:dyDescent="0.25">
      <c r="B43" s="2">
        <v>28</v>
      </c>
      <c r="C43" s="3">
        <v>42819</v>
      </c>
      <c r="D43" s="4" t="s">
        <v>5</v>
      </c>
      <c r="E43" s="4">
        <f t="shared" si="2"/>
        <v>3895045.99</v>
      </c>
      <c r="F43" s="7">
        <f t="shared" si="0"/>
        <v>594159.55779660994</v>
      </c>
      <c r="J43" s="8">
        <f t="shared" si="1"/>
        <v>3895045.99</v>
      </c>
    </row>
    <row r="44" spans="2:10" x14ac:dyDescent="0.25">
      <c r="B44" s="2">
        <v>29</v>
      </c>
      <c r="C44" s="3">
        <v>42850</v>
      </c>
      <c r="D44" s="4" t="s">
        <v>5</v>
      </c>
      <c r="E44" s="4">
        <f t="shared" si="2"/>
        <v>3895045.99</v>
      </c>
      <c r="F44" s="7">
        <f t="shared" si="0"/>
        <v>594159.55779660994</v>
      </c>
      <c r="J44" s="8">
        <f t="shared" si="1"/>
        <v>3895045.99</v>
      </c>
    </row>
    <row r="45" spans="2:10" x14ac:dyDescent="0.25">
      <c r="B45" s="2">
        <v>30</v>
      </c>
      <c r="C45" s="3">
        <v>42880</v>
      </c>
      <c r="D45" s="4" t="s">
        <v>5</v>
      </c>
      <c r="E45" s="4">
        <f t="shared" si="2"/>
        <v>3895045.99</v>
      </c>
      <c r="F45" s="7">
        <f t="shared" si="0"/>
        <v>594159.55779660994</v>
      </c>
      <c r="J45" s="8">
        <f t="shared" si="1"/>
        <v>3895045.99</v>
      </c>
    </row>
    <row r="46" spans="2:10" x14ac:dyDescent="0.25">
      <c r="B46" s="2">
        <v>31</v>
      </c>
      <c r="C46" s="3">
        <v>42911</v>
      </c>
      <c r="D46" s="4" t="s">
        <v>5</v>
      </c>
      <c r="E46" s="4">
        <f t="shared" si="2"/>
        <v>3895045.99</v>
      </c>
      <c r="F46" s="7">
        <f t="shared" si="0"/>
        <v>594159.55779660994</v>
      </c>
      <c r="J46" s="8">
        <f t="shared" si="1"/>
        <v>3895045.99</v>
      </c>
    </row>
    <row r="47" spans="2:10" x14ac:dyDescent="0.25">
      <c r="B47" s="2">
        <v>32</v>
      </c>
      <c r="C47" s="3">
        <v>42941</v>
      </c>
      <c r="D47" s="4" t="s">
        <v>5</v>
      </c>
      <c r="E47" s="4">
        <f t="shared" si="2"/>
        <v>3895045.99</v>
      </c>
      <c r="F47" s="7">
        <f t="shared" si="0"/>
        <v>594159.55779660994</v>
      </c>
      <c r="J47" s="8">
        <f t="shared" si="1"/>
        <v>3895045.99</v>
      </c>
    </row>
    <row r="48" spans="2:10" x14ac:dyDescent="0.25">
      <c r="B48" s="2">
        <v>33</v>
      </c>
      <c r="C48" s="3">
        <v>42972</v>
      </c>
      <c r="D48" s="4" t="s">
        <v>5</v>
      </c>
      <c r="E48" s="4">
        <f t="shared" si="2"/>
        <v>3895045.99</v>
      </c>
      <c r="F48" s="7">
        <f t="shared" si="0"/>
        <v>594159.55779660994</v>
      </c>
      <c r="J48" s="8">
        <f t="shared" si="1"/>
        <v>3895045.99</v>
      </c>
    </row>
    <row r="49" spans="1:10" x14ac:dyDescent="0.25">
      <c r="B49" s="2">
        <v>34</v>
      </c>
      <c r="C49" s="3">
        <v>43003</v>
      </c>
      <c r="D49" s="4" t="s">
        <v>5</v>
      </c>
      <c r="E49" s="4">
        <f t="shared" si="2"/>
        <v>3895045.99</v>
      </c>
      <c r="F49" s="7">
        <f t="shared" si="0"/>
        <v>594159.55779660994</v>
      </c>
      <c r="J49" s="8">
        <f t="shared" si="1"/>
        <v>3895045.99</v>
      </c>
    </row>
    <row r="50" spans="1:10" x14ac:dyDescent="0.25">
      <c r="B50" s="2">
        <v>35</v>
      </c>
      <c r="C50" s="3">
        <v>43033</v>
      </c>
      <c r="D50" s="4" t="s">
        <v>5</v>
      </c>
      <c r="E50" s="4">
        <f t="shared" si="2"/>
        <v>3895045.99</v>
      </c>
      <c r="F50" s="7">
        <f t="shared" si="0"/>
        <v>594159.55779660994</v>
      </c>
      <c r="J50" s="8">
        <f t="shared" si="1"/>
        <v>3895045.99</v>
      </c>
    </row>
    <row r="51" spans="1:10" ht="15.75" thickBot="1" x14ac:dyDescent="0.3">
      <c r="B51" s="2">
        <v>36</v>
      </c>
      <c r="C51" s="3">
        <v>43064</v>
      </c>
      <c r="D51" s="4" t="s">
        <v>5</v>
      </c>
      <c r="E51" s="4">
        <f t="shared" si="2"/>
        <v>3895045.99</v>
      </c>
      <c r="F51" s="7">
        <f t="shared" si="0"/>
        <v>594159.55779660994</v>
      </c>
      <c r="J51" s="8">
        <f t="shared" si="1"/>
        <v>3895045.99</v>
      </c>
    </row>
    <row r="52" spans="1:10" ht="15.75" thickBot="1" x14ac:dyDescent="0.3">
      <c r="E52" s="1" t="s">
        <v>4</v>
      </c>
      <c r="F52" s="1" t="s">
        <v>3</v>
      </c>
      <c r="J52" s="16">
        <f>SUM(J15:J51)</f>
        <v>40457655.640000001</v>
      </c>
    </row>
    <row r="53" spans="1:10" ht="15.75" thickBot="1" x14ac:dyDescent="0.3">
      <c r="B53" s="1" t="s">
        <v>20</v>
      </c>
      <c r="C53" s="1"/>
      <c r="D53" s="1"/>
      <c r="E53" s="7">
        <f>SUM(E16:E51)</f>
        <v>140457655.63999996</v>
      </c>
      <c r="F53" s="7">
        <f>SUM(F16:F51)</f>
        <v>21425744.080677953</v>
      </c>
      <c r="J53" s="17">
        <f>IRR(J15:J51)*12</f>
        <v>0.23633764933454593</v>
      </c>
    </row>
    <row r="54" spans="1:10" ht="15.75" thickBot="1" x14ac:dyDescent="0.3"/>
    <row r="55" spans="1:10" ht="16.5" thickBot="1" x14ac:dyDescent="0.3">
      <c r="B55" t="s">
        <v>13</v>
      </c>
      <c r="F55" s="8"/>
      <c r="G55" s="12">
        <v>0.13489999999999999</v>
      </c>
    </row>
    <row r="57" spans="1:10" ht="18.75" x14ac:dyDescent="0.3">
      <c r="A57" s="5" t="s">
        <v>7</v>
      </c>
    </row>
    <row r="58" spans="1:10" x14ac:dyDescent="0.25">
      <c r="A58" s="11" t="s">
        <v>22</v>
      </c>
    </row>
    <row r="59" spans="1:10" x14ac:dyDescent="0.25">
      <c r="B59" t="s">
        <v>8</v>
      </c>
      <c r="G59" s="8">
        <f>H6</f>
        <v>100000000</v>
      </c>
    </row>
    <row r="60" spans="1:10" x14ac:dyDescent="0.25">
      <c r="B60" t="s">
        <v>9</v>
      </c>
      <c r="G60" s="8">
        <f>E53-G59</f>
        <v>40457655.639999956</v>
      </c>
    </row>
    <row r="61" spans="1:10" ht="15.75" thickBot="1" x14ac:dyDescent="0.3">
      <c r="B61" t="s">
        <v>12</v>
      </c>
      <c r="G61" s="10">
        <f>(G60/G59)/3</f>
        <v>0.13485885213333318</v>
      </c>
    </row>
    <row r="62" spans="1:10" ht="19.5" thickBot="1" x14ac:dyDescent="0.35">
      <c r="B62" t="s">
        <v>11</v>
      </c>
      <c r="G62" s="13">
        <f>EFFECT(G61,12)</f>
        <v>0.14351481959972778</v>
      </c>
    </row>
    <row r="63" spans="1:10" x14ac:dyDescent="0.25">
      <c r="A63" s="11" t="s">
        <v>23</v>
      </c>
    </row>
    <row r="64" spans="1:10" x14ac:dyDescent="0.25">
      <c r="B64" t="s">
        <v>8</v>
      </c>
      <c r="G64" s="8">
        <f>G59</f>
        <v>100000000</v>
      </c>
    </row>
    <row r="65" spans="1:8" x14ac:dyDescent="0.25">
      <c r="B65" t="s">
        <v>10</v>
      </c>
      <c r="G65" s="8">
        <f>G64/1.18</f>
        <v>84745762.711864412</v>
      </c>
    </row>
    <row r="66" spans="1:8" x14ac:dyDescent="0.25">
      <c r="B66" t="s">
        <v>9</v>
      </c>
      <c r="G66" s="8">
        <f>G60</f>
        <v>40457655.639999956</v>
      </c>
    </row>
    <row r="67" spans="1:8" ht="15.75" thickBot="1" x14ac:dyDescent="0.3">
      <c r="B67" t="s">
        <v>12</v>
      </c>
      <c r="G67" s="10">
        <f>(G66/G65)/3</f>
        <v>0.15913344551733313</v>
      </c>
    </row>
    <row r="68" spans="1:8" ht="19.5" thickBot="1" x14ac:dyDescent="0.35">
      <c r="B68" t="s">
        <v>11</v>
      </c>
      <c r="G68" s="13">
        <f>EFFECT(G67,12)</f>
        <v>0.17126872083343492</v>
      </c>
    </row>
    <row r="69" spans="1:8" ht="15.75" thickBot="1" x14ac:dyDescent="0.3">
      <c r="A69" s="11" t="s">
        <v>24</v>
      </c>
    </row>
    <row r="70" spans="1:8" ht="19.5" thickBot="1" x14ac:dyDescent="0.35">
      <c r="G70" s="15">
        <f>RATE(36,-E17,H6)*12</f>
        <v>0.23461102502484427</v>
      </c>
      <c r="H70" t="s">
        <v>28</v>
      </c>
    </row>
    <row r="71" spans="1:8" ht="15.75" thickBot="1" x14ac:dyDescent="0.3">
      <c r="A71" s="11" t="s">
        <v>25</v>
      </c>
    </row>
    <row r="72" spans="1:8" ht="19.5" thickBot="1" x14ac:dyDescent="0.35">
      <c r="G72" s="15">
        <f>RATE(36,-E17,H9)*12</f>
        <v>0.36276737206695953</v>
      </c>
      <c r="H72" t="s">
        <v>28</v>
      </c>
    </row>
    <row r="73" spans="1:8" ht="15.75" thickBot="1" x14ac:dyDescent="0.3">
      <c r="A73" s="11" t="s">
        <v>27</v>
      </c>
    </row>
    <row r="74" spans="1:8" ht="19.5" thickBot="1" x14ac:dyDescent="0.35">
      <c r="G74" s="15">
        <f>J53</f>
        <v>0.23633764933454593</v>
      </c>
    </row>
  </sheetData>
  <mergeCells count="2">
    <mergeCell ref="B8:G8"/>
    <mergeCell ref="B10:G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Аннуитеты60</vt:lpstr>
      <vt:lpstr>Формула</vt:lpstr>
      <vt:lpstr>Возвратный лизинг</vt:lpstr>
      <vt:lpstr>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Mikhail Cherkasov</cp:lastModifiedBy>
  <dcterms:created xsi:type="dcterms:W3CDTF">2015-08-14T11:58:30Z</dcterms:created>
  <dcterms:modified xsi:type="dcterms:W3CDTF">2016-05-17T17:11:01Z</dcterms:modified>
</cp:coreProperties>
</file>