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D:\My dox\Курс Корпфин\"/>
    </mc:Choice>
  </mc:AlternateContent>
  <bookViews>
    <workbookView xWindow="0" yWindow="0" windowWidth="20490" windowHeight="6930" xr2:uid="{00000000-000D-0000-FFFF-FFFF00000000}"/>
  </bookViews>
  <sheets>
    <sheet name="Фиксированные ставки" sheetId="3" r:id="rId1"/>
    <sheet name="Вариативные ставки" sheetId="4" r:id="rId2"/>
    <sheet name="Cash Flow уточненный" sheetId="6" r:id="rId3"/>
    <sheet name="Формулы и определения" sheetId="7" r:id="rId4"/>
    <sheet name="Чувствительность" sheetId="9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"HE6A3QMGT5ZT2TVGNYUIWL8J"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9" i="9" l="1"/>
  <c r="E283" i="9" s="1"/>
  <c r="F269" i="9"/>
  <c r="D283" i="9" s="1"/>
  <c r="E269" i="9"/>
  <c r="D269" i="9"/>
  <c r="C283" i="9"/>
  <c r="D219" i="9"/>
  <c r="E219" i="9" s="1"/>
  <c r="F219" i="9" s="1"/>
  <c r="G219" i="9" s="1"/>
  <c r="H219" i="9" s="1"/>
  <c r="E265" i="9"/>
  <c r="F265" i="9"/>
  <c r="G265" i="9" s="1"/>
  <c r="H265" i="9" s="1"/>
  <c r="E264" i="9"/>
  <c r="F264" i="9"/>
  <c r="G264" i="9" s="1"/>
  <c r="H264" i="9" s="1"/>
  <c r="E263" i="9"/>
  <c r="F263" i="9"/>
  <c r="G263" i="9" s="1"/>
  <c r="H263" i="9" s="1"/>
  <c r="E262" i="9"/>
  <c r="F262" i="9"/>
  <c r="G262" i="9" s="1"/>
  <c r="H262" i="9" s="1"/>
  <c r="E261" i="9"/>
  <c r="F261" i="9"/>
  <c r="G261" i="9" s="1"/>
  <c r="H261" i="9" s="1"/>
  <c r="E260" i="9"/>
  <c r="F260" i="9"/>
  <c r="G260" i="9" s="1"/>
  <c r="H260" i="9" s="1"/>
  <c r="E257" i="9"/>
  <c r="F257" i="9"/>
  <c r="G257" i="9" s="1"/>
  <c r="H257" i="9" s="1"/>
  <c r="E256" i="9"/>
  <c r="F256" i="9"/>
  <c r="G256" i="9" s="1"/>
  <c r="H256" i="9" s="1"/>
  <c r="D252" i="9"/>
  <c r="E255" i="9"/>
  <c r="F255" i="9" s="1"/>
  <c r="G255" i="9" s="1"/>
  <c r="H255" i="9" s="1"/>
  <c r="C255" i="9"/>
  <c r="E254" i="9"/>
  <c r="F254" i="9" s="1"/>
  <c r="G254" i="9" s="1"/>
  <c r="H254" i="9" s="1"/>
  <c r="C254" i="9"/>
  <c r="E253" i="9"/>
  <c r="F253" i="9" s="1"/>
  <c r="G253" i="9" s="1"/>
  <c r="H253" i="9" s="1"/>
  <c r="C253" i="9"/>
  <c r="E252" i="9"/>
  <c r="F252" i="9" s="1"/>
  <c r="G252" i="9" s="1"/>
  <c r="H252" i="9" s="1"/>
  <c r="F241" i="9"/>
  <c r="F239" i="9"/>
  <c r="F237" i="9"/>
  <c r="F235" i="9"/>
  <c r="F238" i="9"/>
  <c r="F236" i="9"/>
  <c r="F234" i="9"/>
  <c r="E246" i="9"/>
  <c r="F246" i="9" s="1"/>
  <c r="G246" i="9" s="1"/>
  <c r="H246" i="9" s="1"/>
  <c r="E245" i="9"/>
  <c r="F245" i="9" s="1"/>
  <c r="G245" i="9"/>
  <c r="H245" i="9" s="1"/>
  <c r="E244" i="9"/>
  <c r="F244" i="9" s="1"/>
  <c r="G244" i="9" s="1"/>
  <c r="H244" i="9" s="1"/>
  <c r="E247" i="9"/>
  <c r="F247" i="9" s="1"/>
  <c r="G247" i="9" s="1"/>
  <c r="H247" i="9" s="1"/>
  <c r="C247" i="9"/>
  <c r="C246" i="9"/>
  <c r="C245" i="9"/>
  <c r="F240" i="9"/>
  <c r="D218" i="9"/>
  <c r="E218" i="9" s="1"/>
  <c r="F218" i="9" s="1"/>
  <c r="D23" i="9"/>
  <c r="E23" i="6"/>
  <c r="F23" i="6"/>
  <c r="G23" i="6"/>
  <c r="H23" i="6"/>
  <c r="D23" i="6"/>
  <c r="I23" i="6" s="1"/>
  <c r="E23" i="4"/>
  <c r="F23" i="4"/>
  <c r="G23" i="4"/>
  <c r="H23" i="4"/>
  <c r="D23" i="4"/>
  <c r="F233" i="9"/>
  <c r="F232" i="9"/>
  <c r="F231" i="9"/>
  <c r="F230" i="9"/>
  <c r="D233" i="9"/>
  <c r="D235" i="9" s="1"/>
  <c r="D237" i="9"/>
  <c r="D239" i="9" s="1"/>
  <c r="D241" i="9" s="1"/>
  <c r="D232" i="9"/>
  <c r="E19" i="9"/>
  <c r="F19" i="9" s="1"/>
  <c r="E11" i="9"/>
  <c r="E8" i="9"/>
  <c r="E9" i="9" s="1"/>
  <c r="E7" i="9"/>
  <c r="D223" i="9"/>
  <c r="E223" i="9"/>
  <c r="F223" i="9" s="1"/>
  <c r="G223" i="9" s="1"/>
  <c r="H223" i="9" s="1"/>
  <c r="C223" i="9"/>
  <c r="D222" i="9"/>
  <c r="E222" i="9" s="1"/>
  <c r="F222" i="9" s="1"/>
  <c r="G222" i="9" s="1"/>
  <c r="H222" i="9" s="1"/>
  <c r="C222" i="9"/>
  <c r="D221" i="9"/>
  <c r="E221" i="9" s="1"/>
  <c r="F221" i="9" s="1"/>
  <c r="G221" i="9" s="1"/>
  <c r="H221" i="9" s="1"/>
  <c r="C221" i="9"/>
  <c r="D220" i="9"/>
  <c r="E220" i="9" s="1"/>
  <c r="F220" i="9" s="1"/>
  <c r="G220" i="9" s="1"/>
  <c r="H220" i="9" s="1"/>
  <c r="C220" i="9"/>
  <c r="B95" i="4"/>
  <c r="B202" i="9" s="1"/>
  <c r="C51" i="4"/>
  <c r="C52" i="4"/>
  <c r="B54" i="4"/>
  <c r="C54" i="4" s="1"/>
  <c r="D54" i="4" s="1"/>
  <c r="E54" i="4" s="1"/>
  <c r="F54" i="4" s="1"/>
  <c r="G54" i="4" s="1"/>
  <c r="H54" i="4" s="1"/>
  <c r="C55" i="4"/>
  <c r="B55" i="4" s="1"/>
  <c r="B56" i="4"/>
  <c r="D52" i="4"/>
  <c r="D55" i="4"/>
  <c r="E52" i="4"/>
  <c r="E55" i="4"/>
  <c r="F52" i="4"/>
  <c r="F55" i="4"/>
  <c r="G52" i="4"/>
  <c r="G55" i="4"/>
  <c r="H52" i="4"/>
  <c r="H55" i="4"/>
  <c r="H170" i="9"/>
  <c r="G170" i="9"/>
  <c r="F170" i="9"/>
  <c r="E170" i="9"/>
  <c r="D170" i="9"/>
  <c r="C170" i="9"/>
  <c r="D167" i="9"/>
  <c r="C166" i="9"/>
  <c r="D166" i="9" s="1"/>
  <c r="E166" i="9" s="1"/>
  <c r="E119" i="9"/>
  <c r="E121" i="9"/>
  <c r="D119" i="9"/>
  <c r="D121" i="9" s="1"/>
  <c r="C119" i="9"/>
  <c r="C121" i="9" s="1"/>
  <c r="E118" i="9"/>
  <c r="E120" i="9" s="1"/>
  <c r="D118" i="9"/>
  <c r="D120" i="9" s="1"/>
  <c r="C118" i="9"/>
  <c r="C120" i="9" s="1"/>
  <c r="C106" i="9"/>
  <c r="C108" i="9" s="1"/>
  <c r="C103" i="9"/>
  <c r="C104" i="9" s="1"/>
  <c r="C159" i="9" s="1"/>
  <c r="D100" i="9"/>
  <c r="C100" i="9"/>
  <c r="C94" i="9"/>
  <c r="D91" i="9"/>
  <c r="D92" i="9" s="1"/>
  <c r="D98" i="9" s="1"/>
  <c r="D99" i="9" s="1"/>
  <c r="C91" i="9"/>
  <c r="C92" i="9" s="1"/>
  <c r="E88" i="9"/>
  <c r="D88" i="9"/>
  <c r="C88" i="9"/>
  <c r="E87" i="9"/>
  <c r="D87" i="9"/>
  <c r="C87" i="9"/>
  <c r="D86" i="9"/>
  <c r="C86" i="9"/>
  <c r="C85" i="9"/>
  <c r="D82" i="9"/>
  <c r="C82" i="9"/>
  <c r="D81" i="9"/>
  <c r="D152" i="9" s="1"/>
  <c r="C81" i="9"/>
  <c r="C152" i="9" s="1"/>
  <c r="C80" i="9"/>
  <c r="D74" i="9"/>
  <c r="C74" i="9"/>
  <c r="B72" i="9"/>
  <c r="E67" i="9"/>
  <c r="J64" i="9"/>
  <c r="J65" i="9" s="1"/>
  <c r="I64" i="9"/>
  <c r="H64" i="9"/>
  <c r="H65" i="9" s="1"/>
  <c r="H87" i="9" s="1"/>
  <c r="G64" i="9"/>
  <c r="F64" i="9"/>
  <c r="F65" i="9" s="1"/>
  <c r="B62" i="9"/>
  <c r="I65" i="9"/>
  <c r="E57" i="9"/>
  <c r="E81" i="9" s="1"/>
  <c r="B54" i="9"/>
  <c r="B48" i="9"/>
  <c r="B55" i="9"/>
  <c r="B45" i="9"/>
  <c r="B39" i="9"/>
  <c r="B46" i="9" s="1"/>
  <c r="D46" i="9" s="1"/>
  <c r="E46" i="9" s="1"/>
  <c r="C27" i="9"/>
  <c r="C134" i="9" s="1"/>
  <c r="C142" i="9" s="1"/>
  <c r="C26" i="9"/>
  <c r="C20" i="9"/>
  <c r="C22" i="9" s="1"/>
  <c r="C24" i="9" s="1"/>
  <c r="H18" i="9"/>
  <c r="G18" i="9"/>
  <c r="F18" i="9"/>
  <c r="E18" i="9"/>
  <c r="D18" i="9"/>
  <c r="I17" i="9"/>
  <c r="D14" i="9"/>
  <c r="D10" i="9"/>
  <c r="C9" i="9"/>
  <c r="H6" i="9"/>
  <c r="G6" i="9"/>
  <c r="F6" i="9"/>
  <c r="E6" i="9"/>
  <c r="D6" i="9"/>
  <c r="C6" i="9"/>
  <c r="C29" i="9" s="1"/>
  <c r="I5" i="9"/>
  <c r="F8" i="9"/>
  <c r="G8" i="9" s="1"/>
  <c r="H8" i="9" s="1"/>
  <c r="B53" i="9"/>
  <c r="E55" i="9"/>
  <c r="F55" i="9" s="1"/>
  <c r="G55" i="9" s="1"/>
  <c r="H55" i="9" s="1"/>
  <c r="I55" i="9" s="1"/>
  <c r="D48" i="9"/>
  <c r="C109" i="9"/>
  <c r="E152" i="9"/>
  <c r="C126" i="9"/>
  <c r="G65" i="9"/>
  <c r="G87" i="9" s="1"/>
  <c r="C97" i="9"/>
  <c r="D93" i="9"/>
  <c r="C107" i="9"/>
  <c r="E18" i="6"/>
  <c r="E213" i="6" s="1"/>
  <c r="F18" i="6"/>
  <c r="G18" i="6"/>
  <c r="G213" i="6" s="1"/>
  <c r="H18" i="6"/>
  <c r="H213" i="6" s="1"/>
  <c r="D18" i="6"/>
  <c r="D213" i="6" s="1"/>
  <c r="G218" i="9"/>
  <c r="D174" i="3"/>
  <c r="E174" i="3"/>
  <c r="F174" i="3"/>
  <c r="G174" i="3"/>
  <c r="H174" i="3"/>
  <c r="H176" i="3"/>
  <c r="I176" i="3" s="1"/>
  <c r="C6" i="3"/>
  <c r="C26" i="3" s="1"/>
  <c r="C17" i="3"/>
  <c r="C19" i="3" s="1"/>
  <c r="C21" i="3" s="1"/>
  <c r="D7" i="3"/>
  <c r="D9" i="3" s="1"/>
  <c r="D24" i="3" s="1"/>
  <c r="D6" i="3"/>
  <c r="B39" i="6"/>
  <c r="B46" i="6" s="1"/>
  <c r="D46" i="6" s="1"/>
  <c r="D86" i="6"/>
  <c r="D87" i="6"/>
  <c r="D88" i="6"/>
  <c r="H122" i="3"/>
  <c r="D122" i="3"/>
  <c r="E9" i="3"/>
  <c r="E24" i="3" s="1"/>
  <c r="E6" i="3"/>
  <c r="E13" i="3"/>
  <c r="E12" i="3" s="1"/>
  <c r="E10" i="3" s="1"/>
  <c r="E14" i="3" s="1"/>
  <c r="B54" i="6"/>
  <c r="B48" i="6"/>
  <c r="B53" i="6" s="1"/>
  <c r="E87" i="6"/>
  <c r="E88" i="6"/>
  <c r="F8" i="3"/>
  <c r="G8" i="3" s="1"/>
  <c r="H8" i="3" s="1"/>
  <c r="F7" i="3"/>
  <c r="F55" i="3"/>
  <c r="F56" i="3" s="1"/>
  <c r="F6" i="3"/>
  <c r="F11" i="3"/>
  <c r="G11" i="3" s="1"/>
  <c r="H11" i="3" s="1"/>
  <c r="I11" i="3" s="1"/>
  <c r="B62" i="6"/>
  <c r="H65" i="6" s="1"/>
  <c r="H87" i="6" s="1"/>
  <c r="F64" i="6"/>
  <c r="F65" i="6" s="1"/>
  <c r="F87" i="6" s="1"/>
  <c r="D74" i="6"/>
  <c r="E74" i="6"/>
  <c r="F74" i="6" s="1"/>
  <c r="G74" i="6" s="1"/>
  <c r="H74" i="6" s="1"/>
  <c r="B72" i="6"/>
  <c r="F73" i="6"/>
  <c r="F122" i="3"/>
  <c r="G7" i="3"/>
  <c r="G6" i="3"/>
  <c r="G64" i="6"/>
  <c r="G73" i="6"/>
  <c r="G122" i="3"/>
  <c r="H7" i="3"/>
  <c r="H55" i="3"/>
  <c r="H56" i="3" s="1"/>
  <c r="H82" i="3" s="1"/>
  <c r="H6" i="3"/>
  <c r="H64" i="6"/>
  <c r="H73" i="6"/>
  <c r="C55" i="3"/>
  <c r="C56" i="3" s="1"/>
  <c r="C82" i="3" s="1"/>
  <c r="E55" i="3"/>
  <c r="E56" i="3" s="1"/>
  <c r="D55" i="3"/>
  <c r="D56" i="3" s="1"/>
  <c r="G55" i="3"/>
  <c r="G56" i="3" s="1"/>
  <c r="D158" i="3"/>
  <c r="D159" i="3" s="1"/>
  <c r="E158" i="3"/>
  <c r="E159" i="3" s="1"/>
  <c r="F158" i="3"/>
  <c r="F159" i="3" s="1"/>
  <c r="G158" i="3"/>
  <c r="G159" i="3" s="1"/>
  <c r="H158" i="3"/>
  <c r="H159" i="3" s="1"/>
  <c r="C20" i="6"/>
  <c r="C22" i="6"/>
  <c r="C24" i="6" s="1"/>
  <c r="C25" i="6"/>
  <c r="C209" i="6" s="1"/>
  <c r="C39" i="6"/>
  <c r="C80" i="6"/>
  <c r="C82" i="6"/>
  <c r="C81" i="6"/>
  <c r="C152" i="6" s="1"/>
  <c r="D82" i="6"/>
  <c r="D81" i="6"/>
  <c r="D152" i="6" s="1"/>
  <c r="E67" i="6"/>
  <c r="E82" i="6" s="1"/>
  <c r="E57" i="6"/>
  <c r="D69" i="3"/>
  <c r="E9" i="6"/>
  <c r="E10" i="6" s="1"/>
  <c r="F6" i="6"/>
  <c r="F13" i="6"/>
  <c r="F118" i="6" s="1"/>
  <c r="F120" i="6" s="1"/>
  <c r="E15" i="6"/>
  <c r="F15" i="6" s="1"/>
  <c r="F91" i="6"/>
  <c r="F92" i="6" s="1"/>
  <c r="E100" i="6"/>
  <c r="E91" i="6"/>
  <c r="E92" i="6" s="1"/>
  <c r="E119" i="6"/>
  <c r="E121" i="6" s="1"/>
  <c r="E118" i="6"/>
  <c r="E120" i="6" s="1"/>
  <c r="D6" i="6"/>
  <c r="D14" i="6"/>
  <c r="D12" i="6" s="1"/>
  <c r="D16" i="6" s="1"/>
  <c r="D94" i="6" s="1"/>
  <c r="D10" i="6"/>
  <c r="D27" i="6"/>
  <c r="E7" i="4"/>
  <c r="E9" i="4"/>
  <c r="F7" i="4"/>
  <c r="G7" i="4"/>
  <c r="H7" i="4"/>
  <c r="D7" i="4"/>
  <c r="D10" i="4" s="1"/>
  <c r="D27" i="4" s="1"/>
  <c r="C6" i="6"/>
  <c r="C29" i="6" s="1"/>
  <c r="C26" i="6"/>
  <c r="C133" i="6" s="1"/>
  <c r="C141" i="6" s="1"/>
  <c r="C103" i="6"/>
  <c r="C104" i="6"/>
  <c r="C159" i="6" s="1"/>
  <c r="C119" i="6"/>
  <c r="C121" i="6" s="1"/>
  <c r="D119" i="6"/>
  <c r="D121" i="6" s="1"/>
  <c r="D118" i="6"/>
  <c r="D120" i="6" s="1"/>
  <c r="C118" i="6"/>
  <c r="C120" i="6" s="1"/>
  <c r="D170" i="6"/>
  <c r="E170" i="6"/>
  <c r="F170" i="6"/>
  <c r="G170" i="6"/>
  <c r="H170" i="6"/>
  <c r="C170" i="6"/>
  <c r="C106" i="6"/>
  <c r="C107" i="6" s="1"/>
  <c r="D167" i="6"/>
  <c r="C166" i="6"/>
  <c r="D166" i="6"/>
  <c r="E166" i="6" s="1"/>
  <c r="F166" i="6" s="1"/>
  <c r="G166" i="6" s="1"/>
  <c r="H166" i="6" s="1"/>
  <c r="D100" i="6"/>
  <c r="C100" i="6"/>
  <c r="C94" i="6"/>
  <c r="D91" i="6"/>
  <c r="D97" i="6" s="1"/>
  <c r="E97" i="6"/>
  <c r="G91" i="6"/>
  <c r="G92" i="6" s="1"/>
  <c r="H91" i="6"/>
  <c r="C91" i="6"/>
  <c r="C92" i="6" s="1"/>
  <c r="C98" i="6" s="1"/>
  <c r="C99" i="6" s="1"/>
  <c r="C101" i="6" s="1"/>
  <c r="C88" i="6"/>
  <c r="C87" i="6"/>
  <c r="C86" i="6"/>
  <c r="C85" i="6"/>
  <c r="C74" i="6"/>
  <c r="I64" i="6"/>
  <c r="J64" i="6"/>
  <c r="B45" i="6"/>
  <c r="B55" i="6"/>
  <c r="J65" i="6"/>
  <c r="E55" i="6"/>
  <c r="F55" i="6" s="1"/>
  <c r="G55" i="6" s="1"/>
  <c r="H55" i="6" s="1"/>
  <c r="I55" i="6" s="1"/>
  <c r="B44" i="6"/>
  <c r="I91" i="6"/>
  <c r="D92" i="6"/>
  <c r="D98" i="6" s="1"/>
  <c r="D99" i="6" s="1"/>
  <c r="D101" i="6" s="1"/>
  <c r="C27" i="6"/>
  <c r="C134" i="6"/>
  <c r="C142" i="6" s="1"/>
  <c r="I17" i="6"/>
  <c r="D106" i="6"/>
  <c r="D115" i="6" s="1"/>
  <c r="D116" i="6" s="1"/>
  <c r="C9" i="6"/>
  <c r="I7" i="6"/>
  <c r="H6" i="6"/>
  <c r="G6" i="6"/>
  <c r="E6" i="6"/>
  <c r="I5" i="6"/>
  <c r="I26" i="6"/>
  <c r="D103" i="6"/>
  <c r="D104" i="6"/>
  <c r="G13" i="6"/>
  <c r="H13" i="6" s="1"/>
  <c r="H118" i="6" s="1"/>
  <c r="H120" i="6" s="1"/>
  <c r="C93" i="6"/>
  <c r="C95" i="6" s="1"/>
  <c r="D109" i="6"/>
  <c r="D107" i="6"/>
  <c r="I18" i="6"/>
  <c r="C136" i="6"/>
  <c r="D134" i="6"/>
  <c r="D142" i="6" s="1"/>
  <c r="C63" i="4"/>
  <c r="C74" i="4" s="1"/>
  <c r="G118" i="6"/>
  <c r="G120" i="6" s="1"/>
  <c r="G119" i="6"/>
  <c r="G121" i="6" s="1"/>
  <c r="C31" i="6"/>
  <c r="C138" i="6" s="1"/>
  <c r="D103" i="4"/>
  <c r="D117" i="4" s="1"/>
  <c r="E103" i="4"/>
  <c r="E117" i="4" s="1"/>
  <c r="F103" i="4"/>
  <c r="F117" i="4" s="1"/>
  <c r="G103" i="4"/>
  <c r="G117" i="4" s="1"/>
  <c r="H103" i="4"/>
  <c r="H117" i="4" s="1"/>
  <c r="C103" i="4"/>
  <c r="C117" i="4" s="1"/>
  <c r="B202" i="6"/>
  <c r="D73" i="4"/>
  <c r="D95" i="4" s="1"/>
  <c r="E73" i="4"/>
  <c r="E95" i="4" s="1"/>
  <c r="F73" i="4"/>
  <c r="F95" i="4"/>
  <c r="G73" i="4"/>
  <c r="G95" i="4" s="1"/>
  <c r="H73" i="4"/>
  <c r="H95" i="4"/>
  <c r="C73" i="4"/>
  <c r="C95" i="4" s="1"/>
  <c r="E39" i="4"/>
  <c r="E40" i="4" s="1"/>
  <c r="F39" i="4"/>
  <c r="F40" i="4" s="1"/>
  <c r="G39" i="4"/>
  <c r="G40" i="4" s="1"/>
  <c r="H39" i="4"/>
  <c r="H40" i="4" s="1"/>
  <c r="D39" i="4"/>
  <c r="D40" i="4" s="1"/>
  <c r="C39" i="4"/>
  <c r="C40" i="4"/>
  <c r="B48" i="4"/>
  <c r="B116" i="4" s="1"/>
  <c r="I168" i="3"/>
  <c r="E176" i="3"/>
  <c r="F176" i="3"/>
  <c r="G176" i="3"/>
  <c r="D176" i="3"/>
  <c r="C174" i="3"/>
  <c r="E169" i="3"/>
  <c r="E171" i="3" s="1"/>
  <c r="E175" i="3" s="1"/>
  <c r="F169" i="3"/>
  <c r="G169" i="3"/>
  <c r="G171" i="3" s="1"/>
  <c r="G175" i="3" s="1"/>
  <c r="H169" i="3"/>
  <c r="H171" i="3" s="1"/>
  <c r="D169" i="3"/>
  <c r="C9" i="4"/>
  <c r="F13" i="4"/>
  <c r="G13" i="4" s="1"/>
  <c r="H13" i="4" s="1"/>
  <c r="E18" i="4"/>
  <c r="F18" i="4"/>
  <c r="G18" i="4"/>
  <c r="H18" i="4"/>
  <c r="D18" i="4"/>
  <c r="C27" i="4"/>
  <c r="C26" i="4"/>
  <c r="I26" i="4" s="1"/>
  <c r="C20" i="4"/>
  <c r="C22" i="4"/>
  <c r="C24" i="4" s="1"/>
  <c r="C28" i="4" s="1"/>
  <c r="I17" i="4"/>
  <c r="H6" i="4"/>
  <c r="G6" i="4"/>
  <c r="F6" i="4"/>
  <c r="E6" i="4"/>
  <c r="D6" i="4"/>
  <c r="C6" i="4"/>
  <c r="I5" i="4"/>
  <c r="H146" i="3"/>
  <c r="G146" i="3"/>
  <c r="F146" i="3"/>
  <c r="E146" i="3"/>
  <c r="D146" i="3"/>
  <c r="C146" i="3"/>
  <c r="H141" i="3"/>
  <c r="G141" i="3"/>
  <c r="F141" i="3"/>
  <c r="E141" i="3"/>
  <c r="D141" i="3"/>
  <c r="C141" i="3"/>
  <c r="D32" i="6"/>
  <c r="C169" i="6"/>
  <c r="C164" i="6" s="1"/>
  <c r="C158" i="3"/>
  <c r="E152" i="3"/>
  <c r="F152" i="3"/>
  <c r="G152" i="3"/>
  <c r="H152" i="3"/>
  <c r="D152" i="3"/>
  <c r="C152" i="3"/>
  <c r="C111" i="3"/>
  <c r="C122" i="3"/>
  <c r="D168" i="6"/>
  <c r="C87" i="4"/>
  <c r="C96" i="4" s="1"/>
  <c r="C105" i="4" s="1"/>
  <c r="E177" i="3"/>
  <c r="D50" i="3"/>
  <c r="E50" i="3"/>
  <c r="F50" i="3"/>
  <c r="G50" i="3"/>
  <c r="H50" i="3"/>
  <c r="C50" i="3"/>
  <c r="E122" i="3"/>
  <c r="E111" i="3"/>
  <c r="F111" i="3"/>
  <c r="G111" i="3"/>
  <c r="H111" i="3"/>
  <c r="D111" i="3"/>
  <c r="D104" i="3"/>
  <c r="E104" i="3"/>
  <c r="F104" i="3"/>
  <c r="G104" i="3"/>
  <c r="H104" i="3"/>
  <c r="H75" i="3"/>
  <c r="G75" i="3"/>
  <c r="F75" i="3"/>
  <c r="E75" i="3"/>
  <c r="D75" i="3"/>
  <c r="C75" i="3"/>
  <c r="H73" i="3"/>
  <c r="G73" i="3"/>
  <c r="F73" i="3"/>
  <c r="E73" i="3"/>
  <c r="D73" i="3"/>
  <c r="C73" i="3"/>
  <c r="H71" i="3"/>
  <c r="G71" i="3"/>
  <c r="F71" i="3"/>
  <c r="E71" i="3"/>
  <c r="D71" i="3"/>
  <c r="C71" i="3"/>
  <c r="H69" i="3"/>
  <c r="G69" i="3"/>
  <c r="F69" i="3"/>
  <c r="E69" i="3"/>
  <c r="C69" i="3"/>
  <c r="H44" i="3"/>
  <c r="G44" i="3"/>
  <c r="F44" i="3"/>
  <c r="E44" i="3"/>
  <c r="D44" i="3"/>
  <c r="C44" i="3"/>
  <c r="C40" i="3"/>
  <c r="D40" i="3" s="1"/>
  <c r="E40" i="3" s="1"/>
  <c r="C24" i="3"/>
  <c r="C23" i="3"/>
  <c r="I23" i="3" s="1"/>
  <c r="I20" i="3"/>
  <c r="I16" i="3"/>
  <c r="I15" i="3"/>
  <c r="C45" i="3"/>
  <c r="I5" i="3"/>
  <c r="E15" i="4"/>
  <c r="E249" i="9"/>
  <c r="F249" i="9" s="1"/>
  <c r="G249" i="9" s="1"/>
  <c r="H249" i="9" s="1"/>
  <c r="H218" i="9"/>
  <c r="F166" i="9"/>
  <c r="G166" i="9" s="1"/>
  <c r="H166" i="9" s="1"/>
  <c r="E248" i="9"/>
  <c r="F248" i="9" s="1"/>
  <c r="G248" i="9" s="1"/>
  <c r="H248" i="9" s="1"/>
  <c r="C29" i="4"/>
  <c r="H75" i="6" l="1"/>
  <c r="H88" i="6" s="1"/>
  <c r="I74" i="6"/>
  <c r="I75" i="6" s="1"/>
  <c r="I67" i="6" s="1"/>
  <c r="C124" i="6"/>
  <c r="C156" i="6"/>
  <c r="E27" i="6"/>
  <c r="E134" i="6" s="1"/>
  <c r="E142" i="6" s="1"/>
  <c r="E106" i="6"/>
  <c r="E46" i="6"/>
  <c r="F46" i="6" s="1"/>
  <c r="G46" i="6" s="1"/>
  <c r="F14" i="6"/>
  <c r="F103" i="6" s="1"/>
  <c r="F104" i="6" s="1"/>
  <c r="F100" i="6"/>
  <c r="G15" i="6"/>
  <c r="D93" i="6"/>
  <c r="D95" i="6" s="1"/>
  <c r="C108" i="6"/>
  <c r="G65" i="6"/>
  <c r="G87" i="6" s="1"/>
  <c r="D108" i="6"/>
  <c r="I65" i="6"/>
  <c r="C83" i="6"/>
  <c r="F97" i="6"/>
  <c r="C30" i="6"/>
  <c r="C137" i="6" s="1"/>
  <c r="E14" i="6"/>
  <c r="E103" i="6" s="1"/>
  <c r="E104" i="6" s="1"/>
  <c r="F119" i="6"/>
  <c r="F121" i="6" s="1"/>
  <c r="F9" i="6"/>
  <c r="F213" i="6"/>
  <c r="E10" i="4"/>
  <c r="E27" i="4" s="1"/>
  <c r="I7" i="4"/>
  <c r="I23" i="4"/>
  <c r="C25" i="4"/>
  <c r="D14" i="4"/>
  <c r="D12" i="4" s="1"/>
  <c r="D16" i="4" s="1"/>
  <c r="F9" i="4"/>
  <c r="G9" i="4" s="1"/>
  <c r="I6" i="4"/>
  <c r="I18" i="4"/>
  <c r="F40" i="3"/>
  <c r="D12" i="3"/>
  <c r="D10" i="3" s="1"/>
  <c r="D14" i="3" s="1"/>
  <c r="F124" i="3"/>
  <c r="I175" i="3"/>
  <c r="I179" i="3" s="1"/>
  <c r="C59" i="3"/>
  <c r="C60" i="3" s="1"/>
  <c r="D59" i="3"/>
  <c r="H45" i="3"/>
  <c r="C124" i="3"/>
  <c r="G9" i="3"/>
  <c r="G24" i="3" s="1"/>
  <c r="G59" i="3" s="1"/>
  <c r="G82" i="3"/>
  <c r="G123" i="3" s="1"/>
  <c r="G45" i="3"/>
  <c r="F113" i="3"/>
  <c r="E124" i="3"/>
  <c r="E170" i="3"/>
  <c r="C113" i="3"/>
  <c r="I174" i="3"/>
  <c r="H9" i="3"/>
  <c r="H24" i="3" s="1"/>
  <c r="H59" i="3" s="1"/>
  <c r="I7" i="3"/>
  <c r="G40" i="3"/>
  <c r="H40" i="3" s="1"/>
  <c r="D113" i="3"/>
  <c r="E113" i="3"/>
  <c r="F13" i="3"/>
  <c r="F82" i="3"/>
  <c r="F45" i="3"/>
  <c r="H175" i="3"/>
  <c r="H170" i="3"/>
  <c r="H123" i="3"/>
  <c r="H112" i="3"/>
  <c r="H113" i="3"/>
  <c r="G113" i="3"/>
  <c r="G177" i="3"/>
  <c r="H124" i="3"/>
  <c r="G124" i="3"/>
  <c r="D124" i="3"/>
  <c r="E82" i="3"/>
  <c r="E45" i="3"/>
  <c r="E59" i="3"/>
  <c r="C25" i="3"/>
  <c r="C57" i="3" s="1"/>
  <c r="C58" i="3" s="1"/>
  <c r="C22" i="3"/>
  <c r="I8" i="3"/>
  <c r="D178" i="3"/>
  <c r="E178" i="3"/>
  <c r="F178" i="3"/>
  <c r="H178" i="3"/>
  <c r="D82" i="3"/>
  <c r="D45" i="3"/>
  <c r="C31" i="3"/>
  <c r="C32" i="3" s="1"/>
  <c r="C81" i="3" s="1"/>
  <c r="C27" i="3"/>
  <c r="D23" i="3" s="1"/>
  <c r="H177" i="3"/>
  <c r="E17" i="3"/>
  <c r="I6" i="3"/>
  <c r="F177" i="3"/>
  <c r="G178" i="3"/>
  <c r="D177" i="3"/>
  <c r="G170" i="3"/>
  <c r="F9" i="3"/>
  <c r="G10" i="4"/>
  <c r="C38" i="4"/>
  <c r="C72" i="4"/>
  <c r="C61" i="4"/>
  <c r="C30" i="4"/>
  <c r="D26" i="4" s="1"/>
  <c r="I13" i="4"/>
  <c r="C111" i="6"/>
  <c r="C110" i="6"/>
  <c r="C123" i="3"/>
  <c r="C112" i="3"/>
  <c r="C31" i="4"/>
  <c r="C159" i="3"/>
  <c r="C177" i="3"/>
  <c r="D126" i="6"/>
  <c r="D159" i="6"/>
  <c r="H9" i="4"/>
  <c r="H10" i="4" s="1"/>
  <c r="D17" i="3"/>
  <c r="F15" i="4"/>
  <c r="E14" i="4"/>
  <c r="C157" i="6"/>
  <c r="C125" i="6"/>
  <c r="F171" i="3"/>
  <c r="F175" i="3" s="1"/>
  <c r="H97" i="6"/>
  <c r="H92" i="6"/>
  <c r="D122" i="6"/>
  <c r="D171" i="3"/>
  <c r="D170" i="3" s="1"/>
  <c r="C170" i="3"/>
  <c r="H119" i="6"/>
  <c r="H121" i="6" s="1"/>
  <c r="I13" i="6"/>
  <c r="D124" i="6"/>
  <c r="D156" i="6"/>
  <c r="G98" i="6"/>
  <c r="G99" i="6" s="1"/>
  <c r="G93" i="6"/>
  <c r="E98" i="6"/>
  <c r="E99" i="6" s="1"/>
  <c r="E101" i="6" s="1"/>
  <c r="E93" i="6"/>
  <c r="F10" i="6"/>
  <c r="G9" i="6"/>
  <c r="F57" i="6"/>
  <c r="E81" i="6"/>
  <c r="E152" i="6" s="1"/>
  <c r="I159" i="3"/>
  <c r="E54" i="6"/>
  <c r="E86" i="6" s="1"/>
  <c r="D48" i="6"/>
  <c r="C28" i="6"/>
  <c r="C97" i="6"/>
  <c r="G97" i="6"/>
  <c r="C109" i="6"/>
  <c r="C115" i="6"/>
  <c r="C116" i="6" s="1"/>
  <c r="C122" i="6" s="1"/>
  <c r="C126" i="6"/>
  <c r="F10" i="4"/>
  <c r="E12" i="6"/>
  <c r="F85" i="6"/>
  <c r="D12" i="9"/>
  <c r="D103" i="9"/>
  <c r="D104" i="9" s="1"/>
  <c r="C133" i="9"/>
  <c r="C141" i="9" s="1"/>
  <c r="I26" i="9"/>
  <c r="D51" i="4"/>
  <c r="D20" i="6"/>
  <c r="F93" i="6"/>
  <c r="F98" i="6"/>
  <c r="F99" i="6" s="1"/>
  <c r="F101" i="6" s="1"/>
  <c r="G75" i="6"/>
  <c r="G88" i="6" s="1"/>
  <c r="E85" i="6"/>
  <c r="E83" i="6" s="1"/>
  <c r="E21" i="6" s="1"/>
  <c r="C93" i="9"/>
  <c r="C95" i="9" s="1"/>
  <c r="C125" i="9" s="1"/>
  <c r="C98" i="9"/>
  <c r="C99" i="9" s="1"/>
  <c r="C53" i="4"/>
  <c r="C57" i="4" s="1"/>
  <c r="I6" i="6"/>
  <c r="F12" i="6"/>
  <c r="C79" i="6"/>
  <c r="D39" i="6"/>
  <c r="C28" i="3"/>
  <c r="F75" i="6"/>
  <c r="D85" i="6"/>
  <c r="D83" i="6" s="1"/>
  <c r="D21" i="6" s="1"/>
  <c r="E23" i="9"/>
  <c r="E213" i="9" s="1"/>
  <c r="E74" i="9"/>
  <c r="E91" i="9"/>
  <c r="C83" i="9"/>
  <c r="F283" i="9"/>
  <c r="E10" i="9"/>
  <c r="E27" i="9" s="1"/>
  <c r="E134" i="9" s="1"/>
  <c r="E142" i="9" s="1"/>
  <c r="I6" i="9"/>
  <c r="I18" i="9"/>
  <c r="D213" i="9"/>
  <c r="F57" i="9"/>
  <c r="F87" i="9"/>
  <c r="F46" i="9"/>
  <c r="E85" i="9"/>
  <c r="E106" i="9"/>
  <c r="C39" i="9"/>
  <c r="B44" i="9"/>
  <c r="E54" i="9"/>
  <c r="E86" i="9" s="1"/>
  <c r="C101" i="9"/>
  <c r="C31" i="9"/>
  <c r="C30" i="9"/>
  <c r="C136" i="9"/>
  <c r="D20" i="9"/>
  <c r="D106" i="9"/>
  <c r="D27" i="9"/>
  <c r="C28" i="9"/>
  <c r="C25" i="9"/>
  <c r="F9" i="9"/>
  <c r="D16" i="9"/>
  <c r="D85" i="9"/>
  <c r="D83" i="9" s="1"/>
  <c r="D21" i="9" s="1"/>
  <c r="E82" i="9"/>
  <c r="G19" i="9"/>
  <c r="F23" i="9"/>
  <c r="F213" i="9" s="1"/>
  <c r="C110" i="9"/>
  <c r="C111" i="9"/>
  <c r="C112" i="9" s="1"/>
  <c r="D97" i="9"/>
  <c r="D80" i="9"/>
  <c r="D101" i="9"/>
  <c r="C115" i="9"/>
  <c r="C116" i="9" s="1"/>
  <c r="C122" i="9" s="1"/>
  <c r="F7" i="9"/>
  <c r="F11" i="9"/>
  <c r="E15" i="9"/>
  <c r="D125" i="6" l="1"/>
  <c r="D157" i="6"/>
  <c r="G100" i="6"/>
  <c r="G101" i="6" s="1"/>
  <c r="H15" i="6"/>
  <c r="I15" i="6" s="1"/>
  <c r="G14" i="6"/>
  <c r="H46" i="6"/>
  <c r="G85" i="6"/>
  <c r="D26" i="6"/>
  <c r="D133" i="6" s="1"/>
  <c r="D141" i="6" s="1"/>
  <c r="F126" i="6"/>
  <c r="F159" i="6"/>
  <c r="E108" i="6"/>
  <c r="E115" i="6"/>
  <c r="E116" i="6" s="1"/>
  <c r="E122" i="6" s="1"/>
  <c r="E107" i="6"/>
  <c r="E109" i="6"/>
  <c r="D110" i="6"/>
  <c r="D111" i="6"/>
  <c r="D112" i="6" s="1"/>
  <c r="I97" i="6"/>
  <c r="E126" i="6"/>
  <c r="E159" i="6"/>
  <c r="D20" i="4"/>
  <c r="D60" i="3"/>
  <c r="E60" i="3" s="1"/>
  <c r="G112" i="3"/>
  <c r="C61" i="3"/>
  <c r="C151" i="3"/>
  <c r="C157" i="3" s="1"/>
  <c r="I9" i="3"/>
  <c r="C49" i="3"/>
  <c r="C43" i="3"/>
  <c r="C46" i="3" s="1"/>
  <c r="C76" i="3"/>
  <c r="C110" i="3"/>
  <c r="C115" i="3" s="1"/>
  <c r="C70" i="3"/>
  <c r="C54" i="3"/>
  <c r="C62" i="3" s="1"/>
  <c r="C74" i="3"/>
  <c r="C72" i="3"/>
  <c r="G13" i="3"/>
  <c r="F12" i="3"/>
  <c r="F170" i="3"/>
  <c r="I170" i="3" s="1"/>
  <c r="F112" i="3"/>
  <c r="F123" i="3"/>
  <c r="D112" i="3"/>
  <c r="D123" i="3"/>
  <c r="F24" i="3"/>
  <c r="I178" i="3"/>
  <c r="E123" i="3"/>
  <c r="E112" i="3"/>
  <c r="C179" i="6"/>
  <c r="C175" i="6" s="1"/>
  <c r="C181" i="6" s="1"/>
  <c r="C128" i="6"/>
  <c r="F124" i="6"/>
  <c r="F156" i="6"/>
  <c r="C157" i="9"/>
  <c r="C35" i="3"/>
  <c r="C38" i="3"/>
  <c r="E18" i="3"/>
  <c r="E19" i="3" s="1"/>
  <c r="E21" i="4"/>
  <c r="E20" i="6"/>
  <c r="E16" i="6"/>
  <c r="C113" i="4"/>
  <c r="C83" i="4"/>
  <c r="C104" i="4" s="1"/>
  <c r="F20" i="6"/>
  <c r="F106" i="6"/>
  <c r="F27" i="6"/>
  <c r="H27" i="4"/>
  <c r="C76" i="4"/>
  <c r="C75" i="4"/>
  <c r="I9" i="4"/>
  <c r="D79" i="6"/>
  <c r="E39" i="6"/>
  <c r="D22" i="6"/>
  <c r="D159" i="9"/>
  <c r="D126" i="9"/>
  <c r="I10" i="4"/>
  <c r="F27" i="4"/>
  <c r="D80" i="6"/>
  <c r="E48" i="6"/>
  <c r="C43" i="4"/>
  <c r="C41" i="4"/>
  <c r="C112" i="4"/>
  <c r="G27" i="4"/>
  <c r="D18" i="3"/>
  <c r="D19" i="3" s="1"/>
  <c r="D21" i="4"/>
  <c r="D22" i="4" s="1"/>
  <c r="C77" i="6"/>
  <c r="C151" i="6"/>
  <c r="C149" i="6" s="1"/>
  <c r="C208" i="6" s="1"/>
  <c r="D53" i="4"/>
  <c r="D57" i="4" s="1"/>
  <c r="E51" i="4"/>
  <c r="F81" i="6"/>
  <c r="F152" i="6" s="1"/>
  <c r="G57" i="6"/>
  <c r="D128" i="6"/>
  <c r="D179" i="6"/>
  <c r="D175" i="6" s="1"/>
  <c r="E12" i="4"/>
  <c r="C83" i="3"/>
  <c r="C121" i="3"/>
  <c r="E92" i="9"/>
  <c r="E97" i="9"/>
  <c r="F88" i="6"/>
  <c r="F67" i="6"/>
  <c r="F16" i="6"/>
  <c r="F94" i="6" s="1"/>
  <c r="F95" i="6" s="1"/>
  <c r="C135" i="6"/>
  <c r="C143" i="6" s="1"/>
  <c r="C144" i="6" s="1"/>
  <c r="G10" i="6"/>
  <c r="H9" i="6"/>
  <c r="H10" i="6" s="1"/>
  <c r="E124" i="6"/>
  <c r="E156" i="6"/>
  <c r="D175" i="3"/>
  <c r="I171" i="3"/>
  <c r="H93" i="6"/>
  <c r="H98" i="6"/>
  <c r="H99" i="6" s="1"/>
  <c r="F14" i="4"/>
  <c r="F12" i="4" s="1"/>
  <c r="G15" i="4"/>
  <c r="C51" i="3"/>
  <c r="C112" i="6"/>
  <c r="C64" i="4"/>
  <c r="C85" i="4"/>
  <c r="C225" i="9"/>
  <c r="C179" i="9"/>
  <c r="C175" i="9" s="1"/>
  <c r="C128" i="9"/>
  <c r="C224" i="9"/>
  <c r="C158" i="9"/>
  <c r="C127" i="9"/>
  <c r="G9" i="9"/>
  <c r="F10" i="9"/>
  <c r="C135" i="9"/>
  <c r="C143" i="9" s="1"/>
  <c r="C144" i="9" s="1"/>
  <c r="D22" i="9"/>
  <c r="D26" i="9"/>
  <c r="D133" i="9" s="1"/>
  <c r="D141" i="9" s="1"/>
  <c r="C137" i="9"/>
  <c r="E83" i="9"/>
  <c r="E21" i="9" s="1"/>
  <c r="F91" i="9"/>
  <c r="F74" i="9"/>
  <c r="F75" i="9" s="1"/>
  <c r="G7" i="9"/>
  <c r="F73" i="9"/>
  <c r="E48" i="9"/>
  <c r="H19" i="9"/>
  <c r="H23" i="9" s="1"/>
  <c r="H213" i="9" s="1"/>
  <c r="G23" i="9"/>
  <c r="G213" i="9" s="1"/>
  <c r="D94" i="9"/>
  <c r="D95" i="9" s="1"/>
  <c r="C138" i="9"/>
  <c r="G46" i="9"/>
  <c r="F85" i="9"/>
  <c r="E14" i="9"/>
  <c r="E100" i="9"/>
  <c r="F15" i="9"/>
  <c r="D134" i="9"/>
  <c r="D142" i="9" s="1"/>
  <c r="C124" i="9"/>
  <c r="C156" i="9"/>
  <c r="C79" i="9"/>
  <c r="D39" i="9"/>
  <c r="E109" i="9"/>
  <c r="E108" i="9"/>
  <c r="E107" i="9"/>
  <c r="E115" i="9"/>
  <c r="E116" i="9" s="1"/>
  <c r="E122" i="9" s="1"/>
  <c r="F13" i="9"/>
  <c r="G11" i="9"/>
  <c r="H11" i="9" s="1"/>
  <c r="D156" i="9"/>
  <c r="D124" i="9"/>
  <c r="C169" i="9"/>
  <c r="D32" i="9"/>
  <c r="C209" i="9"/>
  <c r="D115" i="9"/>
  <c r="D116" i="9" s="1"/>
  <c r="D122" i="9" s="1"/>
  <c r="D109" i="9"/>
  <c r="D107" i="9"/>
  <c r="D108" i="9"/>
  <c r="F81" i="9"/>
  <c r="F152" i="9" s="1"/>
  <c r="G57" i="9"/>
  <c r="G124" i="6" l="1"/>
  <c r="G156" i="6"/>
  <c r="H85" i="6"/>
  <c r="I46" i="6"/>
  <c r="D158" i="6"/>
  <c r="D127" i="6"/>
  <c r="D129" i="6" s="1"/>
  <c r="E128" i="6"/>
  <c r="E179" i="6"/>
  <c r="E175" i="6" s="1"/>
  <c r="H100" i="6"/>
  <c r="H101" i="6" s="1"/>
  <c r="H14" i="6"/>
  <c r="E110" i="6"/>
  <c r="E111" i="6"/>
  <c r="G12" i="6"/>
  <c r="G16" i="6" s="1"/>
  <c r="G94" i="6" s="1"/>
  <c r="G95" i="6" s="1"/>
  <c r="G103" i="6"/>
  <c r="G104" i="6" s="1"/>
  <c r="C154" i="3"/>
  <c r="C114" i="3"/>
  <c r="F10" i="3"/>
  <c r="I172" i="3"/>
  <c r="H13" i="3"/>
  <c r="H12" i="3" s="1"/>
  <c r="H10" i="3" s="1"/>
  <c r="G12" i="3"/>
  <c r="G10" i="3" s="1"/>
  <c r="F59" i="3"/>
  <c r="I24" i="3"/>
  <c r="D24" i="4"/>
  <c r="D25" i="4" s="1"/>
  <c r="C135" i="3"/>
  <c r="F16" i="4"/>
  <c r="C94" i="4"/>
  <c r="C88" i="4"/>
  <c r="C158" i="6"/>
  <c r="C127" i="6"/>
  <c r="C129" i="6" s="1"/>
  <c r="D21" i="3"/>
  <c r="D22" i="3" s="1"/>
  <c r="G27" i="6"/>
  <c r="G134" i="6" s="1"/>
  <c r="G142" i="6" s="1"/>
  <c r="G106" i="6"/>
  <c r="G20" i="6"/>
  <c r="E79" i="6"/>
  <c r="F39" i="6"/>
  <c r="F108" i="6"/>
  <c r="F109" i="6"/>
  <c r="F115" i="6"/>
  <c r="F116" i="6" s="1"/>
  <c r="F122" i="6" s="1"/>
  <c r="F107" i="6"/>
  <c r="C36" i="3"/>
  <c r="C69" i="4"/>
  <c r="F125" i="6"/>
  <c r="F157" i="6"/>
  <c r="E93" i="9"/>
  <c r="E98" i="9"/>
  <c r="E99" i="9" s="1"/>
  <c r="E101" i="9" s="1"/>
  <c r="E16" i="4"/>
  <c r="E20" i="4"/>
  <c r="G81" i="6"/>
  <c r="G152" i="6" s="1"/>
  <c r="H57" i="6"/>
  <c r="D83" i="4"/>
  <c r="D113" i="4"/>
  <c r="F20" i="4"/>
  <c r="D151" i="6"/>
  <c r="D149" i="6" s="1"/>
  <c r="D208" i="6" s="1"/>
  <c r="D77" i="6"/>
  <c r="F34" i="6"/>
  <c r="E21" i="3"/>
  <c r="E25" i="3" s="1"/>
  <c r="H15" i="4"/>
  <c r="G14" i="4"/>
  <c r="G12" i="4" s="1"/>
  <c r="I9" i="6"/>
  <c r="C197" i="6"/>
  <c r="C145" i="6"/>
  <c r="G67" i="6"/>
  <c r="F82" i="6"/>
  <c r="C125" i="3"/>
  <c r="C126" i="3"/>
  <c r="C140" i="3"/>
  <c r="I27" i="4"/>
  <c r="I10" i="6"/>
  <c r="E94" i="6"/>
  <c r="E95" i="6" s="1"/>
  <c r="H156" i="6"/>
  <c r="H124" i="6"/>
  <c r="H27" i="6"/>
  <c r="H134" i="6" s="1"/>
  <c r="H142" i="6" s="1"/>
  <c r="H106" i="6"/>
  <c r="C84" i="3"/>
  <c r="C92" i="3"/>
  <c r="E57" i="4"/>
  <c r="E53" i="4"/>
  <c r="F51" i="4"/>
  <c r="G125" i="6"/>
  <c r="G157" i="6"/>
  <c r="C44" i="4"/>
  <c r="F54" i="6"/>
  <c r="F86" i="6" s="1"/>
  <c r="F83" i="6" s="1"/>
  <c r="E80" i="6"/>
  <c r="D24" i="6"/>
  <c r="D25" i="6"/>
  <c r="F134" i="6"/>
  <c r="F142" i="6" s="1"/>
  <c r="I27" i="6"/>
  <c r="E34" i="6"/>
  <c r="E22" i="6"/>
  <c r="F88" i="9"/>
  <c r="F67" i="9"/>
  <c r="C226" i="9"/>
  <c r="C197" i="9"/>
  <c r="C145" i="9"/>
  <c r="E225" i="9"/>
  <c r="E128" i="9"/>
  <c r="E179" i="9"/>
  <c r="E175" i="9" s="1"/>
  <c r="F100" i="9"/>
  <c r="G15" i="9"/>
  <c r="F14" i="9"/>
  <c r="F103" i="9" s="1"/>
  <c r="F104" i="9" s="1"/>
  <c r="C151" i="9"/>
  <c r="C149" i="9" s="1"/>
  <c r="C208" i="9" s="1"/>
  <c r="C77" i="9"/>
  <c r="H7" i="9"/>
  <c r="G73" i="9"/>
  <c r="G74" i="9"/>
  <c r="G91" i="9"/>
  <c r="I7" i="9"/>
  <c r="D24" i="9"/>
  <c r="G10" i="9"/>
  <c r="H9" i="9"/>
  <c r="H57" i="9"/>
  <c r="G81" i="9"/>
  <c r="G152" i="9" s="1"/>
  <c r="D168" i="9"/>
  <c r="C164" i="9"/>
  <c r="C181" i="9" s="1"/>
  <c r="E111" i="9"/>
  <c r="E110" i="9"/>
  <c r="D225" i="9"/>
  <c r="D240" i="9" s="1"/>
  <c r="D128" i="9"/>
  <c r="D179" i="9"/>
  <c r="D175" i="9" s="1"/>
  <c r="F119" i="9"/>
  <c r="F121" i="9" s="1"/>
  <c r="F118" i="9"/>
  <c r="F120" i="9" s="1"/>
  <c r="G13" i="9"/>
  <c r="C129" i="9"/>
  <c r="E103" i="9"/>
  <c r="E104" i="9" s="1"/>
  <c r="E12" i="9"/>
  <c r="G85" i="9"/>
  <c r="H46" i="9"/>
  <c r="E80" i="9"/>
  <c r="F54" i="9"/>
  <c r="F86" i="9" s="1"/>
  <c r="F83" i="9" s="1"/>
  <c r="F92" i="9"/>
  <c r="F97" i="9"/>
  <c r="D111" i="9"/>
  <c r="D110" i="9"/>
  <c r="E39" i="9"/>
  <c r="D79" i="9"/>
  <c r="D157" i="9"/>
  <c r="D125" i="9"/>
  <c r="I23" i="9"/>
  <c r="F106" i="9"/>
  <c r="F27" i="9"/>
  <c r="G159" i="6" l="1"/>
  <c r="G126" i="6"/>
  <c r="I14" i="6"/>
  <c r="H103" i="6"/>
  <c r="H104" i="6" s="1"/>
  <c r="H12" i="6"/>
  <c r="D130" i="6"/>
  <c r="D139" i="6" s="1"/>
  <c r="E112" i="6"/>
  <c r="I13" i="3"/>
  <c r="I12" i="3"/>
  <c r="H14" i="3"/>
  <c r="H17" i="3"/>
  <c r="G14" i="3"/>
  <c r="G17" i="3"/>
  <c r="F14" i="3"/>
  <c r="I10" i="3"/>
  <c r="F17" i="3"/>
  <c r="E22" i="3"/>
  <c r="I59" i="3"/>
  <c r="F60" i="3"/>
  <c r="G60" i="3" s="1"/>
  <c r="H60" i="3" s="1"/>
  <c r="I60" i="3" s="1"/>
  <c r="D32" i="4"/>
  <c r="E156" i="9"/>
  <c r="E124" i="9"/>
  <c r="G75" i="9"/>
  <c r="G88" i="9" s="1"/>
  <c r="D209" i="6"/>
  <c r="E32" i="6"/>
  <c r="D212" i="6"/>
  <c r="D214" i="6" s="1"/>
  <c r="D169" i="6"/>
  <c r="F48" i="6"/>
  <c r="C90" i="3"/>
  <c r="C98" i="3" s="1"/>
  <c r="C153" i="3" s="1"/>
  <c r="C85" i="3"/>
  <c r="F34" i="4"/>
  <c r="F128" i="6"/>
  <c r="F179" i="6"/>
  <c r="F175" i="6" s="1"/>
  <c r="C91" i="4"/>
  <c r="E24" i="6"/>
  <c r="E28" i="6" s="1"/>
  <c r="E35" i="6"/>
  <c r="F21" i="6"/>
  <c r="H109" i="6"/>
  <c r="H115" i="6"/>
  <c r="H116" i="6" s="1"/>
  <c r="H122" i="6" s="1"/>
  <c r="H107" i="6"/>
  <c r="H108" i="6"/>
  <c r="C145" i="3"/>
  <c r="H67" i="6"/>
  <c r="H82" i="6" s="1"/>
  <c r="G82" i="6"/>
  <c r="G16" i="4"/>
  <c r="G20" i="4"/>
  <c r="C97" i="4"/>
  <c r="C102" i="4"/>
  <c r="C107" i="4"/>
  <c r="C98" i="4"/>
  <c r="E83" i="4"/>
  <c r="E113" i="4"/>
  <c r="F12" i="9"/>
  <c r="F20" i="9" s="1"/>
  <c r="D28" i="6"/>
  <c r="C160" i="6"/>
  <c r="C146" i="6"/>
  <c r="H14" i="4"/>
  <c r="H12" i="4" s="1"/>
  <c r="I15" i="4"/>
  <c r="E57" i="3"/>
  <c r="E26" i="3"/>
  <c r="D104" i="4"/>
  <c r="D105" i="4" s="1"/>
  <c r="D86" i="4"/>
  <c r="D87" i="4" s="1"/>
  <c r="F111" i="6"/>
  <c r="F112" i="6" s="1"/>
  <c r="F110" i="6"/>
  <c r="F79" i="6"/>
  <c r="G39" i="6"/>
  <c r="G34" i="6"/>
  <c r="D25" i="3"/>
  <c r="C154" i="6"/>
  <c r="C162" i="6" s="1"/>
  <c r="F53" i="4"/>
  <c r="F57" i="4" s="1"/>
  <c r="G51" i="4"/>
  <c r="C99" i="3"/>
  <c r="E125" i="6"/>
  <c r="E157" i="6"/>
  <c r="C198" i="6"/>
  <c r="C203" i="6"/>
  <c r="C202" i="6"/>
  <c r="H81" i="6"/>
  <c r="H152" i="6" s="1"/>
  <c r="I57" i="6"/>
  <c r="J57" i="6" s="1"/>
  <c r="E22" i="4"/>
  <c r="E34" i="4"/>
  <c r="C68" i="4"/>
  <c r="E151" i="6"/>
  <c r="E149" i="6" s="1"/>
  <c r="E208" i="6" s="1"/>
  <c r="E77" i="6"/>
  <c r="G115" i="6"/>
  <c r="G116" i="6" s="1"/>
  <c r="G122" i="6" s="1"/>
  <c r="G108" i="6"/>
  <c r="G109" i="6"/>
  <c r="G107" i="6"/>
  <c r="D28" i="4"/>
  <c r="F21" i="9"/>
  <c r="F22" i="9" s="1"/>
  <c r="G92" i="9"/>
  <c r="G97" i="9"/>
  <c r="F82" i="9"/>
  <c r="G67" i="9"/>
  <c r="F134" i="9"/>
  <c r="F142" i="9" s="1"/>
  <c r="F48" i="9"/>
  <c r="E16" i="9"/>
  <c r="E20" i="9"/>
  <c r="F34" i="9" s="1"/>
  <c r="F108" i="9"/>
  <c r="F109" i="9"/>
  <c r="F107" i="9"/>
  <c r="F115" i="9"/>
  <c r="F116" i="9" s="1"/>
  <c r="F122" i="9" s="1"/>
  <c r="D77" i="9"/>
  <c r="D151" i="9"/>
  <c r="D149" i="9" s="1"/>
  <c r="D208" i="9" s="1"/>
  <c r="D112" i="9"/>
  <c r="F98" i="9"/>
  <c r="F99" i="9" s="1"/>
  <c r="F101" i="9" s="1"/>
  <c r="F93" i="9"/>
  <c r="H85" i="9"/>
  <c r="I46" i="9"/>
  <c r="E159" i="9"/>
  <c r="E126" i="9"/>
  <c r="H10" i="9"/>
  <c r="I9" i="9"/>
  <c r="F126" i="9"/>
  <c r="F159" i="9"/>
  <c r="C198" i="9"/>
  <c r="C203" i="9"/>
  <c r="C202" i="9"/>
  <c r="E79" i="9"/>
  <c r="F39" i="9"/>
  <c r="F16" i="9"/>
  <c r="F94" i="9" s="1"/>
  <c r="F95" i="9" s="1"/>
  <c r="G106" i="9"/>
  <c r="G27" i="9"/>
  <c r="G134" i="9" s="1"/>
  <c r="G142" i="9" s="1"/>
  <c r="H73" i="9"/>
  <c r="H74" i="9"/>
  <c r="H91" i="9"/>
  <c r="I91" i="9" s="1"/>
  <c r="G100" i="9"/>
  <c r="H15" i="9"/>
  <c r="I15" i="9" s="1"/>
  <c r="G14" i="9"/>
  <c r="G118" i="9"/>
  <c r="G120" i="9" s="1"/>
  <c r="G119" i="9"/>
  <c r="G121" i="9" s="1"/>
  <c r="G12" i="9"/>
  <c r="G20" i="9" s="1"/>
  <c r="H13" i="9"/>
  <c r="D28" i="9"/>
  <c r="E112" i="9"/>
  <c r="H81" i="9"/>
  <c r="H152" i="9" s="1"/>
  <c r="I57" i="9"/>
  <c r="J57" i="9" s="1"/>
  <c r="D25" i="9"/>
  <c r="C160" i="9"/>
  <c r="C154" i="9" s="1"/>
  <c r="C146" i="9"/>
  <c r="E25" i="6" l="1"/>
  <c r="E127" i="6"/>
  <c r="E129" i="6" s="1"/>
  <c r="E130" i="6" s="1"/>
  <c r="E139" i="6" s="1"/>
  <c r="E158" i="6"/>
  <c r="H159" i="6"/>
  <c r="H126" i="6"/>
  <c r="I12" i="6"/>
  <c r="H16" i="6"/>
  <c r="H20" i="6"/>
  <c r="I17" i="3"/>
  <c r="I14" i="3"/>
  <c r="F113" i="4"/>
  <c r="F83" i="4"/>
  <c r="C70" i="4"/>
  <c r="D29" i="4"/>
  <c r="G111" i="6"/>
  <c r="G110" i="6"/>
  <c r="E35" i="4"/>
  <c r="E24" i="4"/>
  <c r="E86" i="4"/>
  <c r="E87" i="4" s="1"/>
  <c r="E104" i="4"/>
  <c r="E105" i="4" s="1"/>
  <c r="I14" i="4"/>
  <c r="H110" i="6"/>
  <c r="H111" i="6"/>
  <c r="E135" i="6"/>
  <c r="E29" i="6"/>
  <c r="F18" i="3"/>
  <c r="F21" i="4"/>
  <c r="F22" i="6"/>
  <c r="E209" i="6"/>
  <c r="E169" i="6"/>
  <c r="E36" i="6"/>
  <c r="F32" i="6"/>
  <c r="E212" i="6"/>
  <c r="E214" i="6" s="1"/>
  <c r="F80" i="6"/>
  <c r="F151" i="6" s="1"/>
  <c r="F149" i="6" s="1"/>
  <c r="F208" i="6" s="1"/>
  <c r="G54" i="6"/>
  <c r="G86" i="6" s="1"/>
  <c r="G83" i="6" s="1"/>
  <c r="G48" i="6"/>
  <c r="E167" i="6"/>
  <c r="G179" i="6"/>
  <c r="G175" i="6" s="1"/>
  <c r="G128" i="6"/>
  <c r="F127" i="6"/>
  <c r="F158" i="6"/>
  <c r="H16" i="4"/>
  <c r="I16" i="4" s="1"/>
  <c r="H20" i="4"/>
  <c r="G53" i="4"/>
  <c r="G57" i="4" s="1"/>
  <c r="H51" i="4"/>
  <c r="D57" i="3"/>
  <c r="D26" i="3"/>
  <c r="H39" i="6"/>
  <c r="H79" i="6" s="1"/>
  <c r="G79" i="6"/>
  <c r="D96" i="4"/>
  <c r="E31" i="3"/>
  <c r="E32" i="3" s="1"/>
  <c r="C108" i="4"/>
  <c r="I12" i="4"/>
  <c r="H179" i="6"/>
  <c r="H175" i="6" s="1"/>
  <c r="H128" i="6"/>
  <c r="F129" i="6"/>
  <c r="C86" i="3"/>
  <c r="C200" i="6"/>
  <c r="D29" i="6"/>
  <c r="D135" i="6"/>
  <c r="D143" i="6" s="1"/>
  <c r="D144" i="6" s="1"/>
  <c r="G34" i="4"/>
  <c r="C90" i="4"/>
  <c r="D164" i="6"/>
  <c r="D181" i="6" s="1"/>
  <c r="E168" i="6"/>
  <c r="F168" i="6" s="1"/>
  <c r="G34" i="9"/>
  <c r="E151" i="9"/>
  <c r="E149" i="9" s="1"/>
  <c r="E208" i="9" s="1"/>
  <c r="E77" i="9"/>
  <c r="F111" i="9"/>
  <c r="F110" i="9"/>
  <c r="E94" i="9"/>
  <c r="E95" i="9" s="1"/>
  <c r="C249" i="9"/>
  <c r="D135" i="9"/>
  <c r="D29" i="9"/>
  <c r="H14" i="9"/>
  <c r="H103" i="9" s="1"/>
  <c r="H104" i="9" s="1"/>
  <c r="H100" i="9"/>
  <c r="I74" i="9"/>
  <c r="I75" i="9" s="1"/>
  <c r="I67" i="9" s="1"/>
  <c r="H75" i="9"/>
  <c r="H88" i="9" s="1"/>
  <c r="G115" i="9"/>
  <c r="G116" i="9" s="1"/>
  <c r="G122" i="9" s="1"/>
  <c r="G108" i="9"/>
  <c r="G107" i="9"/>
  <c r="G109" i="9"/>
  <c r="C200" i="9"/>
  <c r="H27" i="9"/>
  <c r="H106" i="9"/>
  <c r="I10" i="9"/>
  <c r="D127" i="9"/>
  <c r="D129" i="9" s="1"/>
  <c r="D130" i="9" s="1"/>
  <c r="D139" i="9" s="1"/>
  <c r="D224" i="9"/>
  <c r="D158" i="9"/>
  <c r="F225" i="9"/>
  <c r="F179" i="9"/>
  <c r="F175" i="9" s="1"/>
  <c r="F128" i="9"/>
  <c r="C257" i="9"/>
  <c r="C162" i="9"/>
  <c r="E127" i="9"/>
  <c r="E224" i="9"/>
  <c r="E158" i="9"/>
  <c r="F79" i="9"/>
  <c r="G39" i="9"/>
  <c r="F124" i="9"/>
  <c r="F156" i="9"/>
  <c r="D209" i="9"/>
  <c r="D169" i="9"/>
  <c r="D212" i="9"/>
  <c r="D214" i="9" s="1"/>
  <c r="E32" i="9"/>
  <c r="H12" i="9"/>
  <c r="H20" i="9" s="1"/>
  <c r="H119" i="9"/>
  <c r="H121" i="9" s="1"/>
  <c r="H118" i="9"/>
  <c r="H120" i="9" s="1"/>
  <c r="I13" i="9"/>
  <c r="G16" i="9"/>
  <c r="G94" i="9" s="1"/>
  <c r="G103" i="9"/>
  <c r="G104" i="9" s="1"/>
  <c r="I14" i="9"/>
  <c r="H97" i="9"/>
  <c r="I97" i="9" s="1"/>
  <c r="H92" i="9"/>
  <c r="F125" i="9"/>
  <c r="F157" i="9"/>
  <c r="E22" i="9"/>
  <c r="E34" i="9"/>
  <c r="F80" i="9"/>
  <c r="G54" i="9"/>
  <c r="G86" i="9" s="1"/>
  <c r="G83" i="9" s="1"/>
  <c r="G82" i="9"/>
  <c r="H67" i="9"/>
  <c r="H82" i="9" s="1"/>
  <c r="G93" i="9"/>
  <c r="G98" i="9"/>
  <c r="G99" i="9" s="1"/>
  <c r="G101" i="9" s="1"/>
  <c r="F24" i="9"/>
  <c r="F28" i="9" s="1"/>
  <c r="F35" i="9"/>
  <c r="F77" i="6" l="1"/>
  <c r="F130" i="6"/>
  <c r="F139" i="6" s="1"/>
  <c r="E143" i="6"/>
  <c r="E144" i="6" s="1"/>
  <c r="E197" i="6" s="1"/>
  <c r="E202" i="6" s="1"/>
  <c r="H34" i="6"/>
  <c r="I34" i="6" s="1"/>
  <c r="I20" i="6"/>
  <c r="H94" i="6"/>
  <c r="H95" i="6" s="1"/>
  <c r="I16" i="6"/>
  <c r="G113" i="4"/>
  <c r="G83" i="4"/>
  <c r="E96" i="4"/>
  <c r="E141" i="6"/>
  <c r="E145" i="6" s="1"/>
  <c r="D197" i="6"/>
  <c r="D145" i="6"/>
  <c r="D31" i="3"/>
  <c r="D27" i="3"/>
  <c r="E23" i="3" s="1"/>
  <c r="E27" i="3" s="1"/>
  <c r="F23" i="3" s="1"/>
  <c r="D28" i="3"/>
  <c r="H34" i="4"/>
  <c r="I34" i="4" s="1"/>
  <c r="G21" i="6"/>
  <c r="E136" i="6"/>
  <c r="I20" i="4"/>
  <c r="H53" i="4"/>
  <c r="H57" i="4" s="1"/>
  <c r="D30" i="6"/>
  <c r="D31" i="6"/>
  <c r="D136" i="6"/>
  <c r="D58" i="3"/>
  <c r="E58" i="3" s="1"/>
  <c r="F167" i="6"/>
  <c r="E164" i="6"/>
  <c r="E181" i="6" s="1"/>
  <c r="F22" i="4"/>
  <c r="E203" i="6"/>
  <c r="D30" i="4"/>
  <c r="E26" i="4" s="1"/>
  <c r="D61" i="4"/>
  <c r="D38" i="4"/>
  <c r="D72" i="4"/>
  <c r="D31" i="4"/>
  <c r="F104" i="4"/>
  <c r="F105" i="4" s="1"/>
  <c r="F86" i="4"/>
  <c r="F87" i="4" s="1"/>
  <c r="H54" i="6"/>
  <c r="H86" i="6" s="1"/>
  <c r="H83" i="6" s="1"/>
  <c r="H21" i="6" s="1"/>
  <c r="H48" i="6"/>
  <c r="G80" i="6"/>
  <c r="F24" i="6"/>
  <c r="F25" i="6" s="1"/>
  <c r="F35" i="6"/>
  <c r="E28" i="4"/>
  <c r="G95" i="9"/>
  <c r="G125" i="9" s="1"/>
  <c r="C92" i="4"/>
  <c r="E49" i="3"/>
  <c r="E51" i="3" s="1"/>
  <c r="E151" i="3"/>
  <c r="E81" i="3"/>
  <c r="E110" i="3"/>
  <c r="E115" i="3" s="1"/>
  <c r="E43" i="3"/>
  <c r="E46" i="3" s="1"/>
  <c r="E39" i="3"/>
  <c r="E54" i="3"/>
  <c r="G151" i="6"/>
  <c r="G149" i="6" s="1"/>
  <c r="G208" i="6" s="1"/>
  <c r="G77" i="6"/>
  <c r="F19" i="3"/>
  <c r="H112" i="6"/>
  <c r="E25" i="4"/>
  <c r="G112" i="6"/>
  <c r="H34" i="9"/>
  <c r="I34" i="9" s="1"/>
  <c r="I20" i="9"/>
  <c r="G179" i="9"/>
  <c r="G175" i="9" s="1"/>
  <c r="G128" i="9"/>
  <c r="G225" i="9"/>
  <c r="E168" i="9"/>
  <c r="D164" i="9"/>
  <c r="D181" i="9" s="1"/>
  <c r="G124" i="9"/>
  <c r="G156" i="9"/>
  <c r="G21" i="9"/>
  <c r="E167" i="9"/>
  <c r="H159" i="9"/>
  <c r="H126" i="9"/>
  <c r="D143" i="9"/>
  <c r="D144" i="9" s="1"/>
  <c r="F112" i="9"/>
  <c r="F29" i="9"/>
  <c r="F135" i="9"/>
  <c r="H93" i="9"/>
  <c r="H98" i="9"/>
  <c r="H99" i="9" s="1"/>
  <c r="H101" i="9" s="1"/>
  <c r="F151" i="9"/>
  <c r="F149" i="9" s="1"/>
  <c r="F208" i="9" s="1"/>
  <c r="F77" i="9"/>
  <c r="H134" i="9"/>
  <c r="H142" i="9" s="1"/>
  <c r="I27" i="9"/>
  <c r="E157" i="9"/>
  <c r="E125" i="9"/>
  <c r="E129" i="9" s="1"/>
  <c r="E130" i="9" s="1"/>
  <c r="E139" i="9" s="1"/>
  <c r="F25" i="9"/>
  <c r="H16" i="9"/>
  <c r="H94" i="9" s="1"/>
  <c r="H95" i="9" s="1"/>
  <c r="I12" i="9"/>
  <c r="G111" i="9"/>
  <c r="G110" i="9"/>
  <c r="D136" i="9"/>
  <c r="D30" i="9"/>
  <c r="D31" i="9"/>
  <c r="G48" i="9"/>
  <c r="E35" i="9"/>
  <c r="E24" i="9"/>
  <c r="G126" i="9"/>
  <c r="G159" i="9"/>
  <c r="H39" i="9"/>
  <c r="H79" i="9" s="1"/>
  <c r="G79" i="9"/>
  <c r="H115" i="9"/>
  <c r="H116" i="9" s="1"/>
  <c r="H122" i="9" s="1"/>
  <c r="H107" i="9"/>
  <c r="H109" i="9"/>
  <c r="H108" i="9"/>
  <c r="H125" i="6" l="1"/>
  <c r="H157" i="6"/>
  <c r="I83" i="6"/>
  <c r="G32" i="6"/>
  <c r="F212" i="6"/>
  <c r="F214" i="6" s="1"/>
  <c r="F36" i="6"/>
  <c r="F169" i="6"/>
  <c r="F209" i="6"/>
  <c r="E135" i="3"/>
  <c r="E114" i="3"/>
  <c r="D137" i="6"/>
  <c r="E26" i="6"/>
  <c r="D35" i="3"/>
  <c r="D38" i="3"/>
  <c r="E28" i="3"/>
  <c r="F96" i="4"/>
  <c r="H158" i="6"/>
  <c r="H127" i="6"/>
  <c r="H129" i="6" s="1"/>
  <c r="E121" i="3"/>
  <c r="E83" i="3"/>
  <c r="E92" i="3" s="1"/>
  <c r="E99" i="3" s="1"/>
  <c r="H18" i="3"/>
  <c r="H19" i="3" s="1"/>
  <c r="H21" i="4"/>
  <c r="H22" i="4" s="1"/>
  <c r="H22" i="6"/>
  <c r="D43" i="4"/>
  <c r="D112" i="4"/>
  <c r="D41" i="4"/>
  <c r="G18" i="3"/>
  <c r="G21" i="4"/>
  <c r="G22" i="6"/>
  <c r="I21" i="6"/>
  <c r="D160" i="6"/>
  <c r="D154" i="6" s="1"/>
  <c r="D162" i="6" s="1"/>
  <c r="D146" i="6"/>
  <c r="E146" i="6" s="1"/>
  <c r="E32" i="4"/>
  <c r="E36" i="4"/>
  <c r="H80" i="6"/>
  <c r="I54" i="6"/>
  <c r="E29" i="4"/>
  <c r="E31" i="4" s="1"/>
  <c r="F28" i="6"/>
  <c r="D85" i="4"/>
  <c r="G167" i="6"/>
  <c r="H113" i="4"/>
  <c r="H83" i="4"/>
  <c r="I57" i="4"/>
  <c r="D203" i="6"/>
  <c r="D202" i="6"/>
  <c r="G86" i="4"/>
  <c r="G87" i="4" s="1"/>
  <c r="G104" i="4"/>
  <c r="G105" i="4" s="1"/>
  <c r="E62" i="3"/>
  <c r="D76" i="4"/>
  <c r="D75" i="4"/>
  <c r="G157" i="9"/>
  <c r="I16" i="9"/>
  <c r="G127" i="6"/>
  <c r="G129" i="6" s="1"/>
  <c r="G130" i="6" s="1"/>
  <c r="G139" i="6" s="1"/>
  <c r="G158" i="6"/>
  <c r="F21" i="3"/>
  <c r="F22" i="3" s="1"/>
  <c r="E103" i="3"/>
  <c r="E105" i="3" s="1"/>
  <c r="E91" i="3"/>
  <c r="E157" i="3"/>
  <c r="E154" i="3"/>
  <c r="F35" i="4"/>
  <c r="F24" i="4"/>
  <c r="D138" i="6"/>
  <c r="E31" i="6"/>
  <c r="D32" i="3"/>
  <c r="E160" i="6"/>
  <c r="E154" i="6" s="1"/>
  <c r="E162" i="6" s="1"/>
  <c r="F141" i="6"/>
  <c r="H128" i="9"/>
  <c r="H225" i="9"/>
  <c r="H179" i="9"/>
  <c r="H175" i="9" s="1"/>
  <c r="H124" i="9"/>
  <c r="H156" i="9"/>
  <c r="E28" i="9"/>
  <c r="F158" i="9"/>
  <c r="F224" i="9"/>
  <c r="F127" i="9"/>
  <c r="F129" i="9" s="1"/>
  <c r="F130" i="9" s="1"/>
  <c r="F139" i="9" s="1"/>
  <c r="F143" i="9" s="1"/>
  <c r="F144" i="9" s="1"/>
  <c r="H110" i="9"/>
  <c r="H111" i="9"/>
  <c r="D138" i="9"/>
  <c r="H157" i="9"/>
  <c r="H125" i="9"/>
  <c r="D197" i="9"/>
  <c r="D226" i="9"/>
  <c r="E141" i="9"/>
  <c r="D145" i="9"/>
  <c r="E25" i="9"/>
  <c r="G112" i="9"/>
  <c r="F169" i="9"/>
  <c r="F209" i="9"/>
  <c r="G32" i="9"/>
  <c r="F212" i="9"/>
  <c r="F214" i="9" s="1"/>
  <c r="H54" i="9"/>
  <c r="H86" i="9" s="1"/>
  <c r="H83" i="9" s="1"/>
  <c r="G80" i="9"/>
  <c r="G77" i="9" s="1"/>
  <c r="E26" i="9"/>
  <c r="E133" i="9" s="1"/>
  <c r="D137" i="9"/>
  <c r="F136" i="9"/>
  <c r="G22" i="9"/>
  <c r="G168" i="6" l="1"/>
  <c r="G96" i="4"/>
  <c r="G151" i="9"/>
  <c r="G149" i="9" s="1"/>
  <c r="G208" i="9" s="1"/>
  <c r="H21" i="3"/>
  <c r="H25" i="3" s="1"/>
  <c r="E138" i="6"/>
  <c r="F28" i="4"/>
  <c r="H86" i="4"/>
  <c r="H87" i="4" s="1"/>
  <c r="H96" i="4" s="1"/>
  <c r="H104" i="4"/>
  <c r="H106" i="4" s="1"/>
  <c r="G106" i="4" s="1"/>
  <c r="F106" i="4" s="1"/>
  <c r="E106" i="4" s="1"/>
  <c r="D106" i="4" s="1"/>
  <c r="F135" i="6"/>
  <c r="F143" i="6" s="1"/>
  <c r="F144" i="6" s="1"/>
  <c r="F197" i="6" s="1"/>
  <c r="F29" i="6"/>
  <c r="D44" i="4"/>
  <c r="D36" i="3"/>
  <c r="B59" i="4"/>
  <c r="I113" i="4"/>
  <c r="B115" i="4" s="1"/>
  <c r="F25" i="3"/>
  <c r="H151" i="6"/>
  <c r="H149" i="6" s="1"/>
  <c r="H208" i="6" s="1"/>
  <c r="I208" i="6" s="1"/>
  <c r="H77" i="6"/>
  <c r="G25" i="6"/>
  <c r="G35" i="6"/>
  <c r="G24" i="6"/>
  <c r="I22" i="6"/>
  <c r="H35" i="6"/>
  <c r="H24" i="6"/>
  <c r="H28" i="6" s="1"/>
  <c r="E140" i="3"/>
  <c r="E145" i="3" s="1"/>
  <c r="E126" i="3"/>
  <c r="E125" i="3"/>
  <c r="E133" i="6"/>
  <c r="E30" i="6"/>
  <c r="G19" i="3"/>
  <c r="I18" i="3"/>
  <c r="E43" i="4"/>
  <c r="D43" i="3"/>
  <c r="D76" i="3"/>
  <c r="E76" i="3" s="1"/>
  <c r="D151" i="3"/>
  <c r="D54" i="3"/>
  <c r="D70" i="3"/>
  <c r="E70" i="3" s="1"/>
  <c r="D39" i="3"/>
  <c r="D81" i="3"/>
  <c r="D74" i="3"/>
  <c r="E74" i="3" s="1"/>
  <c r="D49" i="3"/>
  <c r="D72" i="3"/>
  <c r="E72" i="3" s="1"/>
  <c r="D110" i="3"/>
  <c r="F25" i="4"/>
  <c r="F164" i="6"/>
  <c r="F181" i="6" s="1"/>
  <c r="D94" i="4"/>
  <c r="D88" i="4"/>
  <c r="E72" i="4"/>
  <c r="E38" i="4"/>
  <c r="E61" i="4"/>
  <c r="E30" i="4"/>
  <c r="F26" i="4" s="1"/>
  <c r="G22" i="4"/>
  <c r="H35" i="4" s="1"/>
  <c r="I21" i="4"/>
  <c r="H25" i="4"/>
  <c r="H24" i="4"/>
  <c r="H28" i="4" s="1"/>
  <c r="H29" i="4" s="1"/>
  <c r="H130" i="6"/>
  <c r="H139" i="6" s="1"/>
  <c r="E38" i="3"/>
  <c r="E35" i="3"/>
  <c r="E36" i="3" s="1"/>
  <c r="H21" i="9"/>
  <c r="I83" i="9"/>
  <c r="D160" i="9"/>
  <c r="D154" i="9" s="1"/>
  <c r="D162" i="9" s="1"/>
  <c r="D146" i="9"/>
  <c r="G35" i="9"/>
  <c r="G24" i="9"/>
  <c r="G127" i="9"/>
  <c r="G129" i="9" s="1"/>
  <c r="G130" i="9" s="1"/>
  <c r="G139" i="9" s="1"/>
  <c r="G158" i="9"/>
  <c r="G224" i="9"/>
  <c r="H48" i="9"/>
  <c r="F197" i="9"/>
  <c r="F226" i="9"/>
  <c r="E209" i="9"/>
  <c r="E212" i="9"/>
  <c r="E214" i="9" s="1"/>
  <c r="E169" i="9"/>
  <c r="F32" i="9"/>
  <c r="E36" i="9"/>
  <c r="E135" i="9"/>
  <c r="E143" i="9" s="1"/>
  <c r="E144" i="9" s="1"/>
  <c r="E29" i="9"/>
  <c r="F36" i="9"/>
  <c r="D202" i="9"/>
  <c r="D203" i="9"/>
  <c r="H112" i="9"/>
  <c r="H25" i="6" l="1"/>
  <c r="F145" i="6"/>
  <c r="F146" i="6" s="1"/>
  <c r="E85" i="4"/>
  <c r="D91" i="4"/>
  <c r="F26" i="3"/>
  <c r="F57" i="3"/>
  <c r="B196" i="9"/>
  <c r="B83" i="4"/>
  <c r="B104" i="4" s="1"/>
  <c r="B96" i="4" s="1"/>
  <c r="B196" i="6"/>
  <c r="B203" i="6" s="1"/>
  <c r="B62" i="4"/>
  <c r="G141" i="6"/>
  <c r="F160" i="6"/>
  <c r="F154" i="6" s="1"/>
  <c r="F162" i="6" s="1"/>
  <c r="H105" i="4"/>
  <c r="E41" i="4"/>
  <c r="E112" i="4"/>
  <c r="D97" i="4"/>
  <c r="D107" i="4"/>
  <c r="D102" i="4"/>
  <c r="D98" i="4"/>
  <c r="F32" i="4"/>
  <c r="F36" i="4"/>
  <c r="D115" i="3"/>
  <c r="D114" i="3"/>
  <c r="D83" i="3"/>
  <c r="D121" i="3"/>
  <c r="D157" i="3"/>
  <c r="D154" i="3"/>
  <c r="G21" i="3"/>
  <c r="G22" i="3" s="1"/>
  <c r="I19" i="3"/>
  <c r="H135" i="6"/>
  <c r="H143" i="6" s="1"/>
  <c r="H144" i="6" s="1"/>
  <c r="H197" i="6" s="1"/>
  <c r="H29" i="6"/>
  <c r="G28" i="6"/>
  <c r="I24" i="6"/>
  <c r="F29" i="4"/>
  <c r="D61" i="3"/>
  <c r="E61" i="3" s="1"/>
  <c r="D62" i="3"/>
  <c r="E75" i="4"/>
  <c r="I35" i="6"/>
  <c r="F136" i="6"/>
  <c r="F30" i="6"/>
  <c r="F31" i="6"/>
  <c r="H57" i="3"/>
  <c r="H26" i="3"/>
  <c r="H32" i="4"/>
  <c r="H36" i="6"/>
  <c r="H169" i="6"/>
  <c r="H209" i="6"/>
  <c r="H212" i="6"/>
  <c r="H214" i="6" s="1"/>
  <c r="H72" i="4"/>
  <c r="H38" i="4"/>
  <c r="H61" i="4"/>
  <c r="G35" i="4"/>
  <c r="I35" i="4" s="1"/>
  <c r="G24" i="4"/>
  <c r="G25" i="4" s="1"/>
  <c r="I22" i="4"/>
  <c r="D51" i="3"/>
  <c r="D46" i="3"/>
  <c r="E137" i="6"/>
  <c r="F26" i="6"/>
  <c r="F133" i="6" s="1"/>
  <c r="G36" i="6"/>
  <c r="I36" i="6" s="1"/>
  <c r="G212" i="6"/>
  <c r="G214" i="6" s="1"/>
  <c r="G169" i="6"/>
  <c r="H32" i="6"/>
  <c r="G209" i="6"/>
  <c r="I209" i="6" s="1"/>
  <c r="I210" i="6" s="1"/>
  <c r="I25" i="6"/>
  <c r="D118" i="4"/>
  <c r="D119" i="4" s="1"/>
  <c r="H118" i="4"/>
  <c r="C118" i="4"/>
  <c r="C119" i="4" s="1"/>
  <c r="E118" i="4"/>
  <c r="E119" i="4" s="1"/>
  <c r="G118" i="4"/>
  <c r="F118" i="4"/>
  <c r="E44" i="4"/>
  <c r="F203" i="6"/>
  <c r="F202" i="6"/>
  <c r="H22" i="3"/>
  <c r="E164" i="9"/>
  <c r="E181" i="9" s="1"/>
  <c r="F168" i="9"/>
  <c r="G168" i="9" s="1"/>
  <c r="F203" i="9"/>
  <c r="F202" i="9"/>
  <c r="G28" i="9"/>
  <c r="H22" i="9"/>
  <c r="I21" i="9"/>
  <c r="H158" i="9"/>
  <c r="H224" i="9"/>
  <c r="H127" i="9"/>
  <c r="H129" i="9" s="1"/>
  <c r="H130" i="9" s="1"/>
  <c r="H139" i="9" s="1"/>
  <c r="I54" i="9"/>
  <c r="H80" i="9"/>
  <c r="G25" i="9"/>
  <c r="E30" i="9"/>
  <c r="E136" i="9"/>
  <c r="E31" i="9"/>
  <c r="E226" i="9"/>
  <c r="E197" i="9"/>
  <c r="F167" i="9"/>
  <c r="E145" i="9"/>
  <c r="E146" i="9" s="1"/>
  <c r="I22" i="3" l="1"/>
  <c r="G36" i="4"/>
  <c r="G32" i="4"/>
  <c r="I25" i="4"/>
  <c r="H36" i="4"/>
  <c r="B74" i="4"/>
  <c r="H62" i="4"/>
  <c r="H63" i="4" s="1"/>
  <c r="H74" i="4" s="1"/>
  <c r="G62" i="4"/>
  <c r="G63" i="4" s="1"/>
  <c r="G74" i="4" s="1"/>
  <c r="E62" i="4"/>
  <c r="E63" i="4" s="1"/>
  <c r="D62" i="4"/>
  <c r="D63" i="4" s="1"/>
  <c r="F62" i="4"/>
  <c r="F63" i="4" s="1"/>
  <c r="I32" i="6"/>
  <c r="H167" i="6"/>
  <c r="D91" i="3"/>
  <c r="D103" i="3"/>
  <c r="H64" i="4"/>
  <c r="H85" i="4"/>
  <c r="H136" i="6"/>
  <c r="G25" i="3"/>
  <c r="I21" i="3"/>
  <c r="D126" i="3"/>
  <c r="D140" i="3"/>
  <c r="D125" i="3"/>
  <c r="D135" i="3"/>
  <c r="B204" i="6"/>
  <c r="F58" i="3"/>
  <c r="I32" i="4"/>
  <c r="H168" i="6"/>
  <c r="G164" i="6"/>
  <c r="G181" i="6" s="1"/>
  <c r="G28" i="4"/>
  <c r="I24" i="4"/>
  <c r="H41" i="4"/>
  <c r="I46" i="4" s="1"/>
  <c r="H112" i="4"/>
  <c r="H119" i="4" s="1"/>
  <c r="H31" i="3"/>
  <c r="H32" i="3" s="1"/>
  <c r="F137" i="6"/>
  <c r="G26" i="6"/>
  <c r="G133" i="6" s="1"/>
  <c r="F72" i="4"/>
  <c r="F61" i="4"/>
  <c r="F30" i="4"/>
  <c r="G26" i="4" s="1"/>
  <c r="F38" i="4"/>
  <c r="F31" i="4"/>
  <c r="H203" i="6"/>
  <c r="H202" i="6"/>
  <c r="H198" i="6"/>
  <c r="D92" i="3"/>
  <c r="D84" i="3"/>
  <c r="F27" i="3"/>
  <c r="G23" i="3" s="1"/>
  <c r="F31" i="3"/>
  <c r="F28" i="3"/>
  <c r="F138" i="6"/>
  <c r="G135" i="6"/>
  <c r="G143" i="6" s="1"/>
  <c r="G144" i="6" s="1"/>
  <c r="G197" i="6" s="1"/>
  <c r="G29" i="6"/>
  <c r="G31" i="6" s="1"/>
  <c r="I28" i="6"/>
  <c r="E227" i="9"/>
  <c r="I214" i="6"/>
  <c r="H75" i="4"/>
  <c r="H76" i="4"/>
  <c r="D108" i="4"/>
  <c r="G145" i="6"/>
  <c r="B228" i="9"/>
  <c r="B203" i="9"/>
  <c r="B204" i="9" s="1"/>
  <c r="D90" i="4"/>
  <c r="E94" i="4"/>
  <c r="E88" i="4"/>
  <c r="F164" i="9"/>
  <c r="F181" i="9" s="1"/>
  <c r="G167" i="9"/>
  <c r="F26" i="9"/>
  <c r="E137" i="9"/>
  <c r="F31" i="9"/>
  <c r="E138" i="9"/>
  <c r="H151" i="9"/>
  <c r="H149" i="9" s="1"/>
  <c r="H208" i="9" s="1"/>
  <c r="I208" i="9" s="1"/>
  <c r="H77" i="9"/>
  <c r="H24" i="9"/>
  <c r="H35" i="9"/>
  <c r="I35" i="9" s="1"/>
  <c r="I22" i="9"/>
  <c r="E198" i="9"/>
  <c r="E202" i="9"/>
  <c r="E203" i="9"/>
  <c r="F146" i="9"/>
  <c r="E160" i="9"/>
  <c r="E154" i="9" s="1"/>
  <c r="E162" i="9" s="1"/>
  <c r="F141" i="9"/>
  <c r="F145" i="9" s="1"/>
  <c r="G36" i="9"/>
  <c r="G169" i="9"/>
  <c r="G212" i="9"/>
  <c r="G214" i="9" s="1"/>
  <c r="G209" i="9"/>
  <c r="H32" i="9"/>
  <c r="I32" i="9" s="1"/>
  <c r="G135" i="9"/>
  <c r="G143" i="9" s="1"/>
  <c r="G144" i="9" s="1"/>
  <c r="G29" i="9"/>
  <c r="I36" i="4" l="1"/>
  <c r="G138" i="6"/>
  <c r="H31" i="6"/>
  <c r="E97" i="4"/>
  <c r="E98" i="4"/>
  <c r="E102" i="4"/>
  <c r="E107" i="4"/>
  <c r="C227" i="9"/>
  <c r="D227" i="9"/>
  <c r="F227" i="9"/>
  <c r="G136" i="6"/>
  <c r="G30" i="6"/>
  <c r="I29" i="6"/>
  <c r="F35" i="3"/>
  <c r="F38" i="3"/>
  <c r="F85" i="4"/>
  <c r="F64" i="4"/>
  <c r="H88" i="4"/>
  <c r="H94" i="4"/>
  <c r="H164" i="6"/>
  <c r="H181" i="6" s="1"/>
  <c r="F74" i="4"/>
  <c r="F198" i="9"/>
  <c r="F198" i="6"/>
  <c r="D99" i="3"/>
  <c r="I92" i="3"/>
  <c r="I114" i="4"/>
  <c r="I49" i="4"/>
  <c r="H141" i="6"/>
  <c r="H145" i="6" s="1"/>
  <c r="H160" i="6" s="1"/>
  <c r="H154" i="6" s="1"/>
  <c r="H162" i="6" s="1"/>
  <c r="G160" i="6"/>
  <c r="G154" i="6" s="1"/>
  <c r="G162" i="6" s="1"/>
  <c r="G146" i="6"/>
  <c r="G203" i="6"/>
  <c r="I203" i="6" s="1"/>
  <c r="G198" i="6"/>
  <c r="G202" i="6"/>
  <c r="I202" i="6" s="1"/>
  <c r="I204" i="6" s="1"/>
  <c r="I199" i="6"/>
  <c r="I197" i="6"/>
  <c r="E84" i="3"/>
  <c r="D85" i="3"/>
  <c r="D90" i="3"/>
  <c r="D98" i="3" s="1"/>
  <c r="D153" i="3" s="1"/>
  <c r="F43" i="4"/>
  <c r="G31" i="4"/>
  <c r="F75" i="4"/>
  <c r="F76" i="4"/>
  <c r="H49" i="3"/>
  <c r="H51" i="3" s="1"/>
  <c r="H54" i="3"/>
  <c r="H43" i="3"/>
  <c r="H46" i="3" s="1"/>
  <c r="H151" i="3"/>
  <c r="H39" i="3"/>
  <c r="H81" i="3"/>
  <c r="H110" i="3"/>
  <c r="G29" i="4"/>
  <c r="I28" i="4"/>
  <c r="I206" i="6"/>
  <c r="G57" i="3"/>
  <c r="I57" i="3" s="1"/>
  <c r="G26" i="3"/>
  <c r="G28" i="3" s="1"/>
  <c r="I25" i="3"/>
  <c r="D74" i="4"/>
  <c r="D64" i="4"/>
  <c r="D198" i="6"/>
  <c r="D198" i="9"/>
  <c r="D200" i="9" s="1"/>
  <c r="E200" i="9" s="1"/>
  <c r="I80" i="4"/>
  <c r="E91" i="4"/>
  <c r="D92" i="4"/>
  <c r="F32" i="3"/>
  <c r="F41" i="4"/>
  <c r="F112" i="4"/>
  <c r="F119" i="4" s="1"/>
  <c r="D145" i="3"/>
  <c r="D105" i="3"/>
  <c r="E74" i="4"/>
  <c r="E76" i="4" s="1"/>
  <c r="E198" i="6"/>
  <c r="E64" i="4"/>
  <c r="G136" i="9"/>
  <c r="G226" i="9"/>
  <c r="G227" i="9" s="1"/>
  <c r="G197" i="9"/>
  <c r="H28" i="9"/>
  <c r="I24" i="9"/>
  <c r="H168" i="9"/>
  <c r="F160" i="9"/>
  <c r="F154" i="9" s="1"/>
  <c r="F162" i="9" s="1"/>
  <c r="G141" i="9"/>
  <c r="G145" i="9" s="1"/>
  <c r="G146" i="9" s="1"/>
  <c r="H25" i="9"/>
  <c r="F138" i="9"/>
  <c r="G31" i="9"/>
  <c r="H167" i="9"/>
  <c r="G164" i="9"/>
  <c r="G181" i="9" s="1"/>
  <c r="F133" i="9"/>
  <c r="F30" i="9"/>
  <c r="I205" i="6" l="1"/>
  <c r="H157" i="3"/>
  <c r="H154" i="3"/>
  <c r="H31" i="4"/>
  <c r="G43" i="4"/>
  <c r="G38" i="3"/>
  <c r="H28" i="3"/>
  <c r="G35" i="3"/>
  <c r="G36" i="3" s="1"/>
  <c r="H138" i="6"/>
  <c r="I31" i="6"/>
  <c r="J206" i="6"/>
  <c r="J206" i="9"/>
  <c r="G61" i="4"/>
  <c r="G72" i="4"/>
  <c r="G30" i="4"/>
  <c r="H26" i="4" s="1"/>
  <c r="H30" i="4" s="1"/>
  <c r="I30" i="4" s="1"/>
  <c r="G38" i="4"/>
  <c r="I29" i="4"/>
  <c r="I66" i="4"/>
  <c r="H83" i="3"/>
  <c r="H92" i="3" s="1"/>
  <c r="H99" i="3" s="1"/>
  <c r="H121" i="3"/>
  <c r="H91" i="3"/>
  <c r="H103" i="3"/>
  <c r="H105" i="3" s="1"/>
  <c r="G44" i="4"/>
  <c r="F44" i="4"/>
  <c r="F36" i="3"/>
  <c r="D69" i="4"/>
  <c r="H146" i="6"/>
  <c r="H107" i="4"/>
  <c r="H98" i="4"/>
  <c r="H102" i="4"/>
  <c r="H108" i="4" s="1"/>
  <c r="H97" i="4"/>
  <c r="F88" i="4"/>
  <c r="F91" i="4" s="1"/>
  <c r="F94" i="4"/>
  <c r="E85" i="3"/>
  <c r="E86" i="3" s="1"/>
  <c r="E90" i="3"/>
  <c r="E98" i="3" s="1"/>
  <c r="E153" i="3" s="1"/>
  <c r="H115" i="3"/>
  <c r="H135" i="3" s="1"/>
  <c r="H114" i="3"/>
  <c r="F54" i="3"/>
  <c r="F43" i="3"/>
  <c r="F72" i="3"/>
  <c r="F81" i="3"/>
  <c r="F74" i="3"/>
  <c r="F39" i="3"/>
  <c r="F70" i="3"/>
  <c r="F110" i="3"/>
  <c r="F49" i="3"/>
  <c r="F76" i="3"/>
  <c r="F151" i="3"/>
  <c r="E90" i="4"/>
  <c r="I198" i="6"/>
  <c r="D200" i="6"/>
  <c r="E200" i="6" s="1"/>
  <c r="F200" i="6" s="1"/>
  <c r="G200" i="6" s="1"/>
  <c r="G31" i="3"/>
  <c r="G27" i="3"/>
  <c r="H23" i="3" s="1"/>
  <c r="H27" i="3" s="1"/>
  <c r="I27" i="3" s="1"/>
  <c r="I26" i="3"/>
  <c r="H62" i="3"/>
  <c r="D86" i="3"/>
  <c r="G137" i="6"/>
  <c r="H26" i="6"/>
  <c r="E108" i="4"/>
  <c r="G58" i="3"/>
  <c r="H58" i="3" s="1"/>
  <c r="I58" i="3" s="1"/>
  <c r="F200" i="9"/>
  <c r="G203" i="9"/>
  <c r="G202" i="9"/>
  <c r="G198" i="9"/>
  <c r="F137" i="9"/>
  <c r="G26" i="9"/>
  <c r="G138" i="9"/>
  <c r="H141" i="9"/>
  <c r="G160" i="9"/>
  <c r="G154" i="9" s="1"/>
  <c r="G162" i="9" s="1"/>
  <c r="H135" i="9"/>
  <c r="H143" i="9" s="1"/>
  <c r="H144" i="9" s="1"/>
  <c r="H29" i="9"/>
  <c r="I28" i="9"/>
  <c r="H169" i="9"/>
  <c r="H164" i="9" s="1"/>
  <c r="H181" i="9" s="1"/>
  <c r="H212" i="9"/>
  <c r="H214" i="9" s="1"/>
  <c r="I214" i="9" s="1"/>
  <c r="H209" i="9"/>
  <c r="I209" i="9" s="1"/>
  <c r="I210" i="9" s="1"/>
  <c r="H36" i="9"/>
  <c r="I36" i="9" s="1"/>
  <c r="I25" i="9"/>
  <c r="F90" i="4" l="1"/>
  <c r="G64" i="4"/>
  <c r="I64" i="4" s="1"/>
  <c r="G85" i="4"/>
  <c r="I61" i="4"/>
  <c r="G32" i="3"/>
  <c r="I31" i="3"/>
  <c r="F154" i="3"/>
  <c r="F157" i="3"/>
  <c r="H125" i="3"/>
  <c r="H140" i="3"/>
  <c r="H145" i="3" s="1"/>
  <c r="H126" i="3"/>
  <c r="G112" i="4"/>
  <c r="G41" i="4"/>
  <c r="I41" i="4" s="1"/>
  <c r="I38" i="4"/>
  <c r="H133" i="6"/>
  <c r="H30" i="6"/>
  <c r="F92" i="4"/>
  <c r="E92" i="4"/>
  <c r="F114" i="3"/>
  <c r="F115" i="3"/>
  <c r="F83" i="3"/>
  <c r="F121" i="3"/>
  <c r="H35" i="3"/>
  <c r="H38" i="3"/>
  <c r="I28" i="3"/>
  <c r="G201" i="6"/>
  <c r="I201" i="6" s="1"/>
  <c r="H200" i="6"/>
  <c r="F46" i="3"/>
  <c r="D68" i="4"/>
  <c r="E69" i="4"/>
  <c r="F51" i="3"/>
  <c r="F62" i="3"/>
  <c r="F61" i="3"/>
  <c r="F107" i="4"/>
  <c r="F98" i="4"/>
  <c r="F97" i="4"/>
  <c r="F102" i="4"/>
  <c r="J199" i="6"/>
  <c r="J199" i="9"/>
  <c r="G76" i="4"/>
  <c r="I76" i="4" s="1"/>
  <c r="G75" i="4"/>
  <c r="I75" i="4" s="1"/>
  <c r="I77" i="4" s="1"/>
  <c r="I72" i="4"/>
  <c r="H36" i="3"/>
  <c r="H43" i="4"/>
  <c r="H44" i="4" s="1"/>
  <c r="I31" i="4"/>
  <c r="H136" i="9"/>
  <c r="I29" i="9"/>
  <c r="H226" i="9"/>
  <c r="H227" i="9" s="1"/>
  <c r="I227" i="9" s="1"/>
  <c r="H197" i="9"/>
  <c r="H31" i="9"/>
  <c r="G133" i="9"/>
  <c r="G30" i="9"/>
  <c r="H145" i="9"/>
  <c r="G200" i="9"/>
  <c r="I78" i="4" l="1"/>
  <c r="I38" i="3"/>
  <c r="F92" i="3"/>
  <c r="F99" i="3" s="1"/>
  <c r="F84" i="3"/>
  <c r="J197" i="6"/>
  <c r="J197" i="9"/>
  <c r="F126" i="3"/>
  <c r="F140" i="3"/>
  <c r="F125" i="3"/>
  <c r="I30" i="6"/>
  <c r="H137" i="6"/>
  <c r="I112" i="4"/>
  <c r="G119" i="4"/>
  <c r="I119" i="4" s="1"/>
  <c r="I120" i="4" s="1"/>
  <c r="G43" i="3"/>
  <c r="G110" i="3"/>
  <c r="G70" i="3"/>
  <c r="H70" i="3" s="1"/>
  <c r="G151" i="3"/>
  <c r="G72" i="3"/>
  <c r="H72" i="3" s="1"/>
  <c r="G39" i="3"/>
  <c r="G76" i="3"/>
  <c r="H76" i="3" s="1"/>
  <c r="G54" i="3"/>
  <c r="G74" i="3"/>
  <c r="H74" i="3" s="1"/>
  <c r="G49" i="3"/>
  <c r="G81" i="3"/>
  <c r="I67" i="3"/>
  <c r="I63" i="3"/>
  <c r="I32" i="3"/>
  <c r="J205" i="6"/>
  <c r="J205" i="9"/>
  <c r="F91" i="3"/>
  <c r="F103" i="3"/>
  <c r="I43" i="4"/>
  <c r="F108" i="4"/>
  <c r="F69" i="4"/>
  <c r="E68" i="4"/>
  <c r="I35" i="3"/>
  <c r="I37" i="3" s="1"/>
  <c r="G88" i="4"/>
  <c r="G94" i="4"/>
  <c r="I85" i="4"/>
  <c r="E70" i="4"/>
  <c r="D70" i="4"/>
  <c r="F135" i="3"/>
  <c r="J198" i="6"/>
  <c r="J198" i="9"/>
  <c r="H160" i="9"/>
  <c r="H154" i="9" s="1"/>
  <c r="H162" i="9" s="1"/>
  <c r="H146" i="9"/>
  <c r="H202" i="9"/>
  <c r="I202" i="9" s="1"/>
  <c r="I204" i="9" s="1"/>
  <c r="H203" i="9"/>
  <c r="I203" i="9" s="1"/>
  <c r="H198" i="9"/>
  <c r="I198" i="9" s="1"/>
  <c r="I197" i="9"/>
  <c r="I199" i="9"/>
  <c r="I206" i="9"/>
  <c r="G137" i="9"/>
  <c r="H26" i="9"/>
  <c r="G201" i="9"/>
  <c r="H138" i="9"/>
  <c r="I31" i="9"/>
  <c r="G62" i="3" l="1"/>
  <c r="I62" i="3" s="1"/>
  <c r="G61" i="3"/>
  <c r="H61" i="3" s="1"/>
  <c r="I61" i="3" s="1"/>
  <c r="I54" i="3"/>
  <c r="G157" i="3"/>
  <c r="I157" i="3" s="1"/>
  <c r="G154" i="3"/>
  <c r="I154" i="3" s="1"/>
  <c r="I151" i="3"/>
  <c r="G91" i="4"/>
  <c r="I88" i="4"/>
  <c r="G83" i="3"/>
  <c r="G84" i="3" s="1"/>
  <c r="G121" i="3"/>
  <c r="F145" i="3"/>
  <c r="G97" i="4"/>
  <c r="I97" i="4" s="1"/>
  <c r="I99" i="4" s="1"/>
  <c r="I100" i="4" s="1"/>
  <c r="G102" i="4"/>
  <c r="G98" i="4"/>
  <c r="I98" i="4" s="1"/>
  <c r="G107" i="4"/>
  <c r="I107" i="4" s="1"/>
  <c r="I94" i="4"/>
  <c r="F68" i="4"/>
  <c r="G69" i="4"/>
  <c r="F105" i="3"/>
  <c r="G51" i="3"/>
  <c r="I51" i="3" s="1"/>
  <c r="I49" i="3"/>
  <c r="G115" i="3"/>
  <c r="G114" i="3"/>
  <c r="I114" i="3" s="1"/>
  <c r="I116" i="3" s="1"/>
  <c r="I110" i="3"/>
  <c r="F90" i="3"/>
  <c r="F98" i="3" s="1"/>
  <c r="F153" i="3" s="1"/>
  <c r="F85" i="3"/>
  <c r="G46" i="3"/>
  <c r="I46" i="3" s="1"/>
  <c r="I43" i="3"/>
  <c r="H200" i="9"/>
  <c r="I201" i="9" s="1"/>
  <c r="I205" i="9"/>
  <c r="H133" i="9"/>
  <c r="H30" i="9"/>
  <c r="H84" i="3" l="1"/>
  <c r="G90" i="3"/>
  <c r="G98" i="3" s="1"/>
  <c r="G153" i="3" s="1"/>
  <c r="G85" i="3"/>
  <c r="G86" i="3" s="1"/>
  <c r="H69" i="4"/>
  <c r="H68" i="4" s="1"/>
  <c r="G68" i="4"/>
  <c r="G70" i="4" s="1"/>
  <c r="G108" i="4"/>
  <c r="I108" i="4" s="1"/>
  <c r="I109" i="4" s="1"/>
  <c r="I102" i="4"/>
  <c r="H91" i="4"/>
  <c r="H90" i="4" s="1"/>
  <c r="G90" i="4"/>
  <c r="F86" i="3"/>
  <c r="G135" i="3"/>
  <c r="I135" i="3" s="1"/>
  <c r="I115" i="3"/>
  <c r="G91" i="3"/>
  <c r="I91" i="3" s="1"/>
  <c r="G103" i="3"/>
  <c r="G125" i="3"/>
  <c r="I125" i="3" s="1"/>
  <c r="G126" i="3"/>
  <c r="I126" i="3" s="1"/>
  <c r="G140" i="3"/>
  <c r="I128" i="3"/>
  <c r="I129" i="3"/>
  <c r="I121" i="3"/>
  <c r="G92" i="3"/>
  <c r="G99" i="3" s="1"/>
  <c r="I99" i="3" s="1"/>
  <c r="I83" i="3"/>
  <c r="F70" i="4"/>
  <c r="H137" i="9"/>
  <c r="I30" i="9"/>
  <c r="I117" i="3" l="1"/>
  <c r="I134" i="3" s="1"/>
  <c r="I136" i="3" s="1"/>
  <c r="I127" i="3"/>
  <c r="G145" i="3"/>
  <c r="I142" i="3"/>
  <c r="I140" i="3"/>
  <c r="H85" i="3"/>
  <c r="H86" i="3" s="1"/>
  <c r="H90" i="3"/>
  <c r="G105" i="3"/>
  <c r="I105" i="3" s="1"/>
  <c r="I103" i="3"/>
  <c r="H92" i="4"/>
  <c r="G92" i="4"/>
  <c r="I90" i="4" s="1"/>
  <c r="H70" i="4"/>
  <c r="I68" i="4" s="1"/>
  <c r="I85" i="3" l="1"/>
  <c r="J201" i="6"/>
  <c r="J201" i="9"/>
  <c r="I106" i="3"/>
  <c r="I90" i="3"/>
  <c r="H98" i="3"/>
  <c r="I148" i="3"/>
  <c r="I145" i="3"/>
  <c r="I93" i="3" l="1"/>
  <c r="I94" i="3"/>
  <c r="H153" i="3"/>
  <c r="I160" i="3" s="1"/>
  <c r="I98" i="3"/>
  <c r="I100" i="3" s="1"/>
  <c r="I163" i="3" l="1"/>
  <c r="I161" i="3"/>
  <c r="E161" i="3" l="1"/>
  <c r="E162" i="3" s="1"/>
  <c r="F161" i="3"/>
  <c r="F162" i="3" s="1"/>
  <c r="H161" i="3"/>
  <c r="H162" i="3" s="1"/>
  <c r="G161" i="3"/>
  <c r="G162" i="3" s="1"/>
  <c r="D161" i="3"/>
  <c r="D162" i="3" s="1"/>
  <c r="I162" i="3" l="1"/>
</calcChain>
</file>

<file path=xl/sharedStrings.xml><?xml version="1.0" encoding="utf-8"?>
<sst xmlns="http://schemas.openxmlformats.org/spreadsheetml/2006/main" count="1536" uniqueCount="622">
  <si>
    <t>Y1</t>
  </si>
  <si>
    <t>Y2</t>
  </si>
  <si>
    <t>Y3</t>
  </si>
  <si>
    <t>Y4</t>
  </si>
  <si>
    <t>Y5</t>
  </si>
  <si>
    <t>Y0</t>
  </si>
  <si>
    <t>Fixed costs</t>
  </si>
  <si>
    <t>Total for the period</t>
  </si>
  <si>
    <t>Average price</t>
  </si>
  <si>
    <t>Average cost</t>
  </si>
  <si>
    <t>NPV</t>
  </si>
  <si>
    <t>Cumulative production of units</t>
  </si>
  <si>
    <t>http://www.calkoo.com/?lang=3&amp;page=99</t>
  </si>
  <si>
    <t>http://zarapov.ru/soft/multilingual-excel-functions/</t>
  </si>
  <si>
    <r>
      <t>Calculated as 1 + NPV / | Initial Investment (</t>
    </r>
    <r>
      <rPr>
        <b/>
        <sz val="14"/>
        <color rgb="FFFF0000"/>
        <rFont val="Calibri"/>
        <family val="2"/>
        <charset val="204"/>
        <scheme val="minor"/>
      </rPr>
      <t>Y0</t>
    </r>
    <r>
      <rPr>
        <b/>
        <sz val="12"/>
        <color theme="1"/>
        <rFont val="Calibri"/>
        <family val="2"/>
        <charset val="204"/>
        <scheme val="minor"/>
      </rPr>
      <t>) Non-Discounted |</t>
    </r>
  </si>
  <si>
    <t>English Term</t>
  </si>
  <si>
    <t>Russian Term</t>
  </si>
  <si>
    <t>Текущая стоимость</t>
  </si>
  <si>
    <t>English Definition</t>
  </si>
  <si>
    <t>Russian Definition</t>
  </si>
  <si>
    <t>Total balance of all cash inflows and outflows.</t>
  </si>
  <si>
    <t>Дисконтированная/приведенная стоимость</t>
  </si>
  <si>
    <t>Сумма будущих денежных потоков от проекта, приведенная (исходя из временной стоимости денег) к настоящему моменту.</t>
  </si>
  <si>
    <t>Период/срок/точка окупаемости инвестиций/капиталовложений</t>
  </si>
  <si>
    <t>Сумма всех спрогнозированных денежных потоков от проекта в будущем.</t>
  </si>
  <si>
    <t>Чистая приведенная стоимость (ЧПС); Чистая текущая стоимость; Чистый приведенный эффект; Чистый дисконтированный доход (ЧДД)</t>
  </si>
  <si>
    <t>Recalculated total amount of future cash flows (in accordance with Time value of Money Idea).</t>
  </si>
  <si>
    <t>The sum of the present values of all regular future cash flows generated by the Project.</t>
  </si>
  <si>
    <t>Сумма текущих стоимостей всех спрогнозированных, с учетом барьерной ставки (ставки дисконтирования), будущих денежных потоков от проекта.</t>
  </si>
  <si>
    <t>Время, которое требуется, чтобы инвестиция обеспечила достаточные поступления денег для возмещения инвестиционных расходов, при этом учитывается временная стоимость денег.</t>
  </si>
  <si>
    <t>Время, которое требуется, чтобы проект обеспечил поступление денег в абсолютной сумме, равной сумме инвестиционных расходов.</t>
  </si>
  <si>
    <t>Time period for the Project's cumulative cash flow (absolute numbers) to reach the amount equal to the Initial investment.</t>
  </si>
  <si>
    <t>Time period for the Project's cumulative cash flow (discounted numbers) to reach the amount equal to the Initial investment.</t>
  </si>
  <si>
    <t>Дисконтированный срок окупаемости инвестиций/капиталовложений</t>
  </si>
  <si>
    <t>Это дисконт-фактор, при котором чистая текущая стоимость инвестиции равна нулю.</t>
  </si>
  <si>
    <t>Внутренняя норма доходности/прибыли; внутренний коэффициент окупаемости</t>
  </si>
  <si>
    <t>The Discount rate when the Project's NPV is equal to zero.</t>
  </si>
  <si>
    <t>(Дисконтированный) индекс доходности/рентабельности</t>
  </si>
  <si>
    <t>Отношение суммы всех дисконтированных денежных потоков (доходов от инвестиций), к дисконтированному инвестиционному расходу.</t>
  </si>
  <si>
    <t xml:space="preserve">The quotient of summarized discounted cash inflows to summarized discounted cash outflows. </t>
  </si>
  <si>
    <t>Чистая/маржинальная норма доходности</t>
  </si>
  <si>
    <t>Норма доходности исходя из отношения чистой текущей стоимости (NPV) денежных потоков и суммы денежных оттоков.</t>
  </si>
  <si>
    <t>Average rate of return used for the investment with variation of positive and negative cash flows.</t>
  </si>
  <si>
    <t>Средневзвешенный срок погашения</t>
  </si>
  <si>
    <t>Comments</t>
  </si>
  <si>
    <t>Project Profitability Ratios</t>
  </si>
  <si>
    <t>MIRR (Modified Internal Rate of Return)</t>
  </si>
  <si>
    <t>Скорректированная с учетом барьерной ставки и нормы реинвестиции внутренняя норма доходности.</t>
  </si>
  <si>
    <t>Модифицированная внутренняя норма доходности/рентабельности, Модифицированная внутренняя норма доходности с реинвестицией по цене барьерной ставки</t>
  </si>
  <si>
    <t>Recalculated Internal Rate of Return which contains the reinvestment of positive cash inflow and discounting of negative cash outflow.</t>
  </si>
  <si>
    <r>
      <rPr>
        <b/>
        <sz val="12"/>
        <color theme="1"/>
        <rFont val="Calibri"/>
        <family val="2"/>
        <charset val="204"/>
        <scheme val="minor"/>
      </rPr>
      <t>Модифицированная:</t>
    </r>
    <r>
      <rPr>
        <sz val="11"/>
        <color theme="1"/>
        <rFont val="Calibri"/>
        <family val="2"/>
        <charset val="204"/>
        <scheme val="minor"/>
      </rPr>
      <t xml:space="preserve"> Чистая приведенная стоимость (ЧПС); Чистая текущая стоимость; Чистый приведенный эффект; Чистый дисконтированный доход (ЧДД)</t>
    </r>
  </si>
  <si>
    <t>Сумма текущих стоимостей всех спрогнозированных, с учетом барьерной ставки и уровня реинвестиций, денежных потоков.</t>
  </si>
  <si>
    <t>The sum of the present values of all regular future cash flows generated by the Project with intermediary reinvestment of positive inflows.</t>
  </si>
  <si>
    <r>
      <rPr>
        <b/>
        <sz val="14"/>
        <color theme="1"/>
        <rFont val="Calibri"/>
        <family val="2"/>
        <charset val="204"/>
        <scheme val="minor"/>
      </rPr>
      <t>NCF</t>
    </r>
    <r>
      <rPr>
        <sz val="11"/>
        <color theme="1"/>
        <rFont val="Calibri"/>
        <family val="2"/>
        <charset val="204"/>
        <scheme val="minor"/>
      </rPr>
      <t xml:space="preserve"> (Net Cash Flow), NV (Net Value), CFAT (Cash Flow After Tax)</t>
    </r>
  </si>
  <si>
    <r>
      <rPr>
        <b/>
        <sz val="14"/>
        <color theme="1"/>
        <rFont val="Calibri"/>
        <family val="2"/>
        <charset val="204"/>
        <scheme val="minor"/>
      </rPr>
      <t>PV</t>
    </r>
    <r>
      <rPr>
        <sz val="11"/>
        <color theme="1"/>
        <rFont val="Calibri"/>
        <family val="2"/>
        <charset val="204"/>
        <scheme val="minor"/>
      </rPr>
      <t xml:space="preserve"> (Present Value)</t>
    </r>
  </si>
  <si>
    <r>
      <rPr>
        <b/>
        <sz val="14"/>
        <color theme="1"/>
        <rFont val="Calibri"/>
        <family val="2"/>
        <charset val="204"/>
        <scheme val="minor"/>
      </rPr>
      <t>PP</t>
    </r>
    <r>
      <rPr>
        <sz val="11"/>
        <color theme="1"/>
        <rFont val="Calibri"/>
        <family val="2"/>
        <charset val="204"/>
        <scheme val="minor"/>
      </rPr>
      <t xml:space="preserve"> (Payback period), POT (Pay-out time)</t>
    </r>
  </si>
  <si>
    <r>
      <rPr>
        <b/>
        <sz val="14"/>
        <color theme="1"/>
        <rFont val="Calibri"/>
        <family val="2"/>
        <charset val="204"/>
        <scheme val="minor"/>
      </rPr>
      <t>NPV</t>
    </r>
    <r>
      <rPr>
        <sz val="11"/>
        <color theme="1"/>
        <rFont val="Calibri"/>
        <family val="2"/>
        <charset val="204"/>
        <scheme val="minor"/>
      </rPr>
      <t xml:space="preserve"> (Net Present Value), NPW (Net Present Worth)</t>
    </r>
  </si>
  <si>
    <r>
      <rPr>
        <b/>
        <sz val="14"/>
        <color theme="1"/>
        <rFont val="Calibri"/>
        <family val="2"/>
        <charset val="204"/>
        <scheme val="minor"/>
      </rPr>
      <t>DPP</t>
    </r>
    <r>
      <rPr>
        <sz val="11"/>
        <color theme="1"/>
        <rFont val="Calibri"/>
        <family val="2"/>
        <charset val="204"/>
        <scheme val="minor"/>
      </rPr>
      <t xml:space="preserve"> (Discounted Payback Period), PVP (Present Value Payback)</t>
    </r>
  </si>
  <si>
    <r>
      <rPr>
        <b/>
        <sz val="14"/>
        <color theme="1"/>
        <rFont val="Calibri"/>
        <family val="2"/>
        <charset val="204"/>
        <scheme val="minor"/>
      </rPr>
      <t>IRR</t>
    </r>
    <r>
      <rPr>
        <sz val="11"/>
        <color theme="1"/>
        <rFont val="Calibri"/>
        <family val="2"/>
        <charset val="204"/>
        <scheme val="minor"/>
      </rPr>
      <t xml:space="preserve"> (Internal Rate of Return), ERR (Economic Rate of Return)</t>
    </r>
  </si>
  <si>
    <r>
      <rPr>
        <b/>
        <sz val="14"/>
        <color theme="1"/>
        <rFont val="Calibri"/>
        <family val="2"/>
        <charset val="204"/>
        <scheme val="minor"/>
      </rPr>
      <t>DPI</t>
    </r>
    <r>
      <rPr>
        <sz val="11"/>
        <color theme="1"/>
        <rFont val="Calibri"/>
        <family val="2"/>
        <charset val="204"/>
        <scheme val="minor"/>
      </rPr>
      <t xml:space="preserve"> (Discounted Profitability Index), PVI (Present Value Index, PV-index), Benefit to Cost Ratio (BCR), Profit-Investment Ratio (PIR), NPWI (Net Present Worth Index)</t>
    </r>
  </si>
  <si>
    <r>
      <rPr>
        <b/>
        <sz val="14"/>
        <color theme="1"/>
        <rFont val="Calibri"/>
        <family val="2"/>
        <charset val="204"/>
        <scheme val="minor"/>
      </rPr>
      <t>NRR</t>
    </r>
    <r>
      <rPr>
        <sz val="11"/>
        <color theme="1"/>
        <rFont val="Calibri"/>
        <family val="2"/>
        <charset val="204"/>
        <scheme val="minor"/>
      </rPr>
      <t xml:space="preserve"> (Net Rate of Return)</t>
    </r>
  </si>
  <si>
    <r>
      <rPr>
        <b/>
        <sz val="14"/>
        <color theme="1"/>
        <rFont val="Calibri"/>
        <family val="2"/>
        <charset val="204"/>
        <scheme val="minor"/>
      </rPr>
      <t>D</t>
    </r>
    <r>
      <rPr>
        <sz val="11"/>
        <color theme="1"/>
        <rFont val="Calibri"/>
        <family val="2"/>
        <charset val="204"/>
        <scheme val="minor"/>
      </rPr>
      <t xml:space="preserve"> (Duration)</t>
    </r>
  </si>
  <si>
    <r>
      <rPr>
        <b/>
        <sz val="14"/>
        <color theme="1"/>
        <rFont val="Calibri"/>
        <family val="2"/>
        <charset val="204"/>
        <scheme val="minor"/>
      </rPr>
      <t>ROI</t>
    </r>
    <r>
      <rPr>
        <sz val="11"/>
        <color theme="1"/>
        <rFont val="Calibri"/>
        <family val="2"/>
        <charset val="204"/>
        <scheme val="minor"/>
      </rPr>
      <t xml:space="preserve"> (Return on Investment), ROR (Rate of Return)</t>
    </r>
  </si>
  <si>
    <r>
      <rPr>
        <b/>
        <sz val="14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 xml:space="preserve"> (Modified Internal Rate of Return), RIRR (Reinvestment-rate adjusted Internal Rate of Return)</t>
    </r>
  </si>
  <si>
    <r>
      <rPr>
        <b/>
        <sz val="14"/>
        <color theme="1"/>
        <rFont val="Calibri"/>
        <family val="2"/>
        <charset val="204"/>
        <scheme val="minor"/>
      </rPr>
      <t>MNPV</t>
    </r>
    <r>
      <rPr>
        <sz val="11"/>
        <color theme="1"/>
        <rFont val="Calibri"/>
        <family val="2"/>
        <charset val="204"/>
        <scheme val="minor"/>
      </rPr>
      <t xml:space="preserve"> (Modified Net Present Value), MNPW (Modified Net Present Worth)</t>
    </r>
  </si>
  <si>
    <t>Норма доходности исходя из отношения модифицированной чистой текущей стоимости (MNPV) денежных потоков и суммы денежных оттоков.</t>
  </si>
  <si>
    <r>
      <rPr>
        <b/>
        <sz val="14"/>
        <color theme="1"/>
        <rFont val="Calibri"/>
        <family val="2"/>
        <charset val="204"/>
        <scheme val="minor"/>
      </rPr>
      <t>MNRR</t>
    </r>
    <r>
      <rPr>
        <sz val="11"/>
        <color theme="1"/>
        <rFont val="Calibri"/>
        <family val="2"/>
        <charset val="204"/>
        <scheme val="minor"/>
      </rPr>
      <t xml:space="preserve"> (Modified Net Rate of Return)</t>
    </r>
  </si>
  <si>
    <r>
      <rPr>
        <b/>
        <sz val="12"/>
        <color theme="1"/>
        <rFont val="Calibri"/>
        <family val="2"/>
        <charset val="204"/>
        <scheme val="minor"/>
      </rPr>
      <t xml:space="preserve">Модифицированная: </t>
    </r>
    <r>
      <rPr>
        <sz val="11"/>
        <color theme="1"/>
        <rFont val="Calibri"/>
        <family val="2"/>
        <charset val="204"/>
        <scheme val="minor"/>
      </rPr>
      <t>Чистая/маржинальная норма доходности</t>
    </r>
  </si>
  <si>
    <t>Average rate of return used for the investment with variation of positive and negative cash flows with reinvestment of inflows.</t>
  </si>
  <si>
    <t>DPP (Discounted Payback Period)</t>
  </si>
  <si>
    <t>MNPV (Modified Net Present Value)</t>
  </si>
  <si>
    <r>
      <rPr>
        <b/>
        <sz val="14"/>
        <color theme="1"/>
        <rFont val="Calibri"/>
        <family val="2"/>
        <charset val="204"/>
        <scheme val="minor"/>
      </rPr>
      <t>NFV</t>
    </r>
    <r>
      <rPr>
        <sz val="11"/>
        <color theme="1"/>
        <rFont val="Calibri"/>
        <family val="2"/>
        <charset val="204"/>
        <scheme val="minor"/>
      </rPr>
      <t xml:space="preserve"> (Net Future Value)</t>
    </r>
  </si>
  <si>
    <t>Чистая будущая стоимость</t>
  </si>
  <si>
    <t>Эквивалентная ежегодная рента, эквивалентный аннуитет</t>
  </si>
  <si>
    <t>Пересчет чистой текущей стоимости в эквивалент аннуитета</t>
  </si>
  <si>
    <t>Recalculation of NPV to equal annual cash flows</t>
  </si>
  <si>
    <r>
      <rPr>
        <b/>
        <sz val="14"/>
        <color theme="1"/>
        <rFont val="Calibri"/>
        <family val="2"/>
        <charset val="204"/>
        <scheme val="minor"/>
      </rPr>
      <t>ANPV</t>
    </r>
    <r>
      <rPr>
        <sz val="11"/>
        <color theme="1"/>
        <rFont val="Calibri"/>
        <family val="2"/>
        <charset val="204"/>
        <scheme val="minor"/>
      </rPr>
      <t xml:space="preserve"> (Annualized Net Present Value), NUS (Net Uniform Sries), EAC (Equivalent annual cost), EAA (Equivalent Annual Annuity)</t>
    </r>
  </si>
  <si>
    <t>The sum of the future values of all cash flows generated by the Project if reinvested immediately after receiving.</t>
  </si>
  <si>
    <t>Сумма будущих стоимостей всех спрогнозированных денежных потоков при мгновенной реинвестиции под барьерную ставку.</t>
  </si>
  <si>
    <t>Hurdle rate and Compound factor</t>
  </si>
  <si>
    <t>Средневзвешенный срок жизненного цикла инвестиционного проекта, как мера чувствительности к изменению барьерной ставки.</t>
  </si>
  <si>
    <t>Average weighted term of the Project life cycle linked to changes of the hurdle rate.</t>
  </si>
  <si>
    <t>NPV (Net Present Value)</t>
  </si>
  <si>
    <t>Number of period</t>
  </si>
  <si>
    <t>Formula</t>
  </si>
  <si>
    <t>Различные коэффициенты окупаемости инвестиций, применяемые к бухгалтерской отчетности и не применяющие методы дисконтирования будущих потоков. В оценке проектов используются в качестве коэффициентов, применямых к прогнозным балансам и отчетам о прибылях и убытках.</t>
  </si>
  <si>
    <t>Various ratios of company profitability based on the analysis of accounts which don't apply discounting methods. In projecting ROI is used for valuation of future balance sheet and P&amp;L of the entity.</t>
  </si>
  <si>
    <t>ROI = (Gains from Investment – Cost of Investment) / Cost of Investment</t>
  </si>
  <si>
    <t>Excel Formula</t>
  </si>
  <si>
    <t>Коэффициент окупаемости инвестиций</t>
  </si>
  <si>
    <t>No direct function</t>
  </si>
  <si>
    <r>
      <rPr>
        <b/>
        <sz val="14"/>
        <color theme="1"/>
        <rFont val="Calibri"/>
        <family val="2"/>
        <charset val="204"/>
        <scheme val="minor"/>
      </rPr>
      <t>NTV</t>
    </r>
    <r>
      <rPr>
        <sz val="11"/>
        <color theme="1"/>
        <rFont val="Calibri"/>
        <family val="2"/>
        <charset val="204"/>
        <scheme val="minor"/>
      </rPr>
      <t xml:space="preserve"> (Net Terminal Value)</t>
    </r>
  </si>
  <si>
    <r>
      <rPr>
        <b/>
        <sz val="14"/>
        <color theme="1"/>
        <rFont val="Calibri"/>
        <family val="2"/>
        <charset val="204"/>
        <scheme val="minor"/>
      </rPr>
      <t>WACC</t>
    </r>
    <r>
      <rPr>
        <sz val="11"/>
        <color theme="1"/>
        <rFont val="Calibri"/>
        <family val="2"/>
        <charset val="204"/>
        <scheme val="minor"/>
      </rPr>
      <t xml:space="preserve"> (Weighted Average Cost of Capital)</t>
    </r>
  </si>
  <si>
    <t>Средневзвешенная стоимость капитала</t>
  </si>
  <si>
    <t>Чистая терминальная стоимость</t>
  </si>
  <si>
    <t>ASSETS</t>
  </si>
  <si>
    <t>Property, plant, equipment</t>
  </si>
  <si>
    <t>Other non-current assets</t>
  </si>
  <si>
    <t>Current assets</t>
  </si>
  <si>
    <t xml:space="preserve">   including:</t>
  </si>
  <si>
    <t>Non-current assets</t>
  </si>
  <si>
    <t>Inventories</t>
  </si>
  <si>
    <t>Goods for resale</t>
  </si>
  <si>
    <t>Accounts receivable</t>
  </si>
  <si>
    <t>Advances paid</t>
  </si>
  <si>
    <t>Cash &amp; cash equivalents</t>
  </si>
  <si>
    <t>Other current assets</t>
  </si>
  <si>
    <t>TOTAL ASSETS</t>
  </si>
  <si>
    <t xml:space="preserve"> EQUITY AND LIABILITIES</t>
  </si>
  <si>
    <t>Shareholders' equity</t>
  </si>
  <si>
    <t>Paid-up equity</t>
  </si>
  <si>
    <t>Reserves</t>
  </si>
  <si>
    <t>Reatined earnings of previous years</t>
  </si>
  <si>
    <t>Reatined earnings of current year</t>
  </si>
  <si>
    <t>Long-term loans</t>
  </si>
  <si>
    <t>Long-term leasing</t>
  </si>
  <si>
    <t>Other long-term liabilities</t>
  </si>
  <si>
    <t>Short-term liabilities</t>
  </si>
  <si>
    <t>Long-term liabilities</t>
  </si>
  <si>
    <t>Short-term loans</t>
  </si>
  <si>
    <t>Short-term leasing</t>
  </si>
  <si>
    <t>Accounts payable</t>
  </si>
  <si>
    <t>Other short-term liabilities</t>
  </si>
  <si>
    <t>TOTAL EQUITY AND LIABILITIES</t>
  </si>
  <si>
    <t>Fixed assets</t>
  </si>
  <si>
    <t>Group 1. Biuldings</t>
  </si>
  <si>
    <t>Depreciation method</t>
  </si>
  <si>
    <t>Amount (USD, thous)</t>
  </si>
  <si>
    <t>Salvage (Residual) Value, (USD, thous.)</t>
  </si>
  <si>
    <t>Group 3. Software (Intangible assets)</t>
  </si>
  <si>
    <t>Year of going into operations</t>
  </si>
  <si>
    <t>Estimated useful life (years)</t>
  </si>
  <si>
    <t>Straight-line</t>
  </si>
  <si>
    <t>Declining balance</t>
  </si>
  <si>
    <t>Group 2. Equipment 1</t>
  </si>
  <si>
    <t>Sum-of-year-digits</t>
  </si>
  <si>
    <t>Group 4. Equipment 2</t>
  </si>
  <si>
    <t>Units-of-production</t>
  </si>
  <si>
    <t>Yearly depreciation expense (USD, thous)</t>
  </si>
  <si>
    <t>Yearly depreciation rate (%)</t>
  </si>
  <si>
    <t>Year of going into operations (beginning of year)</t>
  </si>
  <si>
    <t>Nominal Yearly depreciation rate (% of FA value of previous year)</t>
  </si>
  <si>
    <t>Last year balance of depreciation expense to reach a salvage value</t>
  </si>
  <si>
    <t>Last year re-calculated annual rate</t>
  </si>
  <si>
    <t>Yearly depreciation equivalent of annual rate (%)</t>
  </si>
  <si>
    <t>Depreciable Cost (USD, thous.)</t>
  </si>
  <si>
    <t>Amortizable Cost (USD, thous.)</t>
  </si>
  <si>
    <t>Amortization method</t>
  </si>
  <si>
    <t>Amortization rate for the period</t>
  </si>
  <si>
    <t>i</t>
  </si>
  <si>
    <t>Ri</t>
  </si>
  <si>
    <t>Ri =  (n-i+1)/((n^2+n)/2))</t>
  </si>
  <si>
    <t>Yearly amortization expense (USD, thous)</t>
  </si>
  <si>
    <t>Estimated useful life  (total number of produced units)</t>
  </si>
  <si>
    <t>More aggressive method than Straight-line Depreciation/Amortization</t>
  </si>
  <si>
    <t>Less aggressive method than Declining-Balance Derpeciation/Amortization</t>
  </si>
  <si>
    <t>Actually Produced Units (units)</t>
  </si>
  <si>
    <t>Total Depreciation/Amortization</t>
  </si>
  <si>
    <t>Depreciated Value of Fixed Assets</t>
  </si>
  <si>
    <t>The agressiveness of the method lays in defining of Estimated Total Production number</t>
  </si>
  <si>
    <t>The most neutral and conservative method</t>
  </si>
  <si>
    <t>including:</t>
  </si>
  <si>
    <t>Depreciation Expense</t>
  </si>
  <si>
    <t>To re-calculate Declining-Balance Depreciation Scheme to Straight-line Depreciation:</t>
  </si>
  <si>
    <r>
      <t xml:space="preserve">Annual Declining-Balance Depreciation Expense = </t>
    </r>
    <r>
      <rPr>
        <b/>
        <i/>
        <sz val="11"/>
        <color theme="1"/>
        <rFont val="Calibri"/>
        <family val="2"/>
        <charset val="204"/>
        <scheme val="minor"/>
      </rPr>
      <t>Double Straight-line rate</t>
    </r>
    <r>
      <rPr>
        <sz val="11"/>
        <color theme="1"/>
        <rFont val="Calibri"/>
        <family val="2"/>
        <charset val="204"/>
        <scheme val="minor"/>
      </rPr>
      <t xml:space="preserve"> applied to </t>
    </r>
    <r>
      <rPr>
        <b/>
        <i/>
        <sz val="11"/>
        <color theme="1"/>
        <rFont val="Calibri"/>
        <family val="2"/>
        <charset val="204"/>
        <scheme val="minor"/>
      </rPr>
      <t>remaining value of FA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b/>
        <i/>
        <sz val="11"/>
        <color theme="1"/>
        <rFont val="Calibri"/>
        <family val="2"/>
        <charset val="204"/>
        <scheme val="minor"/>
      </rPr>
      <t xml:space="preserve">last year expense </t>
    </r>
    <r>
      <rPr>
        <sz val="11"/>
        <color theme="1"/>
        <rFont val="Calibri"/>
        <family val="2"/>
        <charset val="204"/>
        <scheme val="minor"/>
      </rPr>
      <t>as a difference between the last year depreciated value and salvage value.</t>
    </r>
  </si>
  <si>
    <t>Produced Units</t>
  </si>
  <si>
    <t>Average production cycle, days/365</t>
  </si>
  <si>
    <t>Average monthly inventories in stock, USD thous.</t>
  </si>
  <si>
    <t>Goods for Resale</t>
  </si>
  <si>
    <t>Average monthly consumption of raw materials proportionally to produced units quantity, units</t>
  </si>
  <si>
    <t>Assumptions</t>
  </si>
  <si>
    <t>Variable costs of production are fully attributed to raw materials.</t>
  </si>
  <si>
    <t>The permanent stock of raw materials is sufficient to monthly production of units.</t>
  </si>
  <si>
    <r>
      <t>Average cost of production (</t>
    </r>
    <r>
      <rPr>
        <b/>
        <i/>
        <sz val="12"/>
        <color theme="1"/>
        <rFont val="Calibri"/>
        <family val="2"/>
        <charset val="204"/>
        <scheme val="minor"/>
      </rPr>
      <t>fixed + variables</t>
    </r>
    <r>
      <rPr>
        <sz val="12"/>
        <color theme="1"/>
        <rFont val="Calibri"/>
        <family val="2"/>
        <charset val="204"/>
        <scheme val="minor"/>
      </rPr>
      <t>), USD thous./unit</t>
    </r>
  </si>
  <si>
    <r>
      <t>Average cost of production (</t>
    </r>
    <r>
      <rPr>
        <b/>
        <i/>
        <sz val="12"/>
        <color theme="1"/>
        <rFont val="Calibri"/>
        <family val="2"/>
        <charset val="204"/>
        <scheme val="minor"/>
      </rPr>
      <t>variables</t>
    </r>
    <r>
      <rPr>
        <sz val="12"/>
        <color theme="1"/>
        <rFont val="Calibri"/>
        <family val="2"/>
        <charset val="204"/>
        <scheme val="minor"/>
      </rPr>
      <t>), USD thous./unit</t>
    </r>
  </si>
  <si>
    <t>Salaries and wages represent 70% of total fixed costs.</t>
  </si>
  <si>
    <t>Average monthly units in stock, units</t>
  </si>
  <si>
    <t>Average monthly demand of raw materials, USD thous.</t>
  </si>
  <si>
    <t>Average prepayment of raw materials, USD thous.</t>
  </si>
  <si>
    <t>Credit (open account) sales represent 30% of sales. Delay of payment - 90 days.</t>
  </si>
  <si>
    <t>30% of sales are paid within 30 days after supply.</t>
  </si>
  <si>
    <t>Share of monthly sales on Cash-against-documents basis, USD thous.</t>
  </si>
  <si>
    <t>Share of monthly sales on regular 30-days basis, USD thous.</t>
  </si>
  <si>
    <t>20% of sales are made on Cash-against-documents basis.</t>
  </si>
  <si>
    <t>No receivables appear</t>
  </si>
  <si>
    <t>3-months turnover or 1/4 year turnover is in receivables</t>
  </si>
  <si>
    <t>1-month turnover or 1/12 year turnover is in receivables</t>
  </si>
  <si>
    <t>Total stable amount of trade receivables, USD thous.</t>
  </si>
  <si>
    <t>Total Yearly sales, USD thous.</t>
  </si>
  <si>
    <t>Accounts receivable on regular 30-days sales, USD thous.</t>
  </si>
  <si>
    <t>Intangible assets</t>
  </si>
  <si>
    <t>Share of yearly sales on 30-days prepayment basis, USD thous.</t>
  </si>
  <si>
    <t>Accounts payable (advances received), USD thous.</t>
  </si>
  <si>
    <t>30% of fixed costs are maintenance costs</t>
  </si>
  <si>
    <t>Advances paid represent 2 months demand of raw materials.</t>
  </si>
  <si>
    <t>20% of sales are prepaid by buyers for the period 30 days till supply.</t>
  </si>
  <si>
    <t>Salaries (70% of fixed costs), USD thous.</t>
  </si>
  <si>
    <t>Maintenance costs (30% of fixed costs), USD thous.</t>
  </si>
  <si>
    <t>Advances received from buyers</t>
  </si>
  <si>
    <t>The salaries are paid on 15th day of each month</t>
  </si>
  <si>
    <t>Accounts payable (salaries), USD thous.</t>
  </si>
  <si>
    <t>Maintenance costs are paid within 20 days after month's end</t>
  </si>
  <si>
    <t>Accounts payable (maintenance costs), USD thous.</t>
  </si>
  <si>
    <t>Total stable amount of payables, USD thous.</t>
  </si>
  <si>
    <t>Current Assets/Liabilities</t>
  </si>
  <si>
    <t>Working Capital</t>
  </si>
  <si>
    <t>Accounts payable, USD thous.</t>
  </si>
  <si>
    <t>Inventories, USD thous.</t>
  </si>
  <si>
    <t>Goods for resale, USD thous.</t>
  </si>
  <si>
    <t>Advances paid, USD thous.</t>
  </si>
  <si>
    <t>Accounts receivable, USD thous.</t>
  </si>
  <si>
    <t>Total Working Capital</t>
  </si>
  <si>
    <t>Changes in Working Capital, USD thous.</t>
  </si>
  <si>
    <t>Average monthly goods for resale in stock, USD thous.</t>
  </si>
  <si>
    <t>Share of monthly sales on 60-days Credit (Open account) basis, USD thous.</t>
  </si>
  <si>
    <t>Accounts receivable on 60-days Credit (Open account) sales, USD thous.</t>
  </si>
  <si>
    <t>1 month</t>
  </si>
  <si>
    <r>
      <rPr>
        <b/>
        <sz val="20"/>
        <color theme="1"/>
        <rFont val="Calibri"/>
        <family val="2"/>
        <charset val="204"/>
        <scheme val="minor"/>
      </rPr>
      <t>Balance sheet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as it was on December 31, Y5</t>
    </r>
  </si>
  <si>
    <t>USD, thous.</t>
  </si>
  <si>
    <t>IRR (Internal Rate of Return)</t>
  </si>
  <si>
    <t>Коэффициент эффективности инвестиций</t>
  </si>
  <si>
    <r>
      <rPr>
        <b/>
        <sz val="14"/>
        <color theme="1"/>
        <rFont val="Calibri"/>
        <family val="2"/>
        <charset val="204"/>
        <scheme val="minor"/>
      </rPr>
      <t>AAR</t>
    </r>
    <r>
      <rPr>
        <sz val="11"/>
        <color theme="1"/>
        <rFont val="Calibri"/>
        <family val="2"/>
        <charset val="204"/>
        <scheme val="minor"/>
      </rPr>
      <t xml:space="preserve"> (Accounting Average Rate of Return), SRR (Simple Rate of Return)</t>
    </r>
  </si>
  <si>
    <t>The ratio of average net profit to average book value of the investment</t>
  </si>
  <si>
    <t>Отношение чистой прибыли к средней бухгалтерской стоимости инвестиции (с учетом амортизации)</t>
  </si>
  <si>
    <t>ARR = Net profit for the period / Average Book value of the Investment</t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</si>
  <si>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ПЛТ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PMT</t>
    </r>
    <r>
      <rPr>
        <sz val="12"/>
        <color theme="1"/>
        <rFont val="Calibri"/>
        <family val="2"/>
        <charset val="204"/>
        <scheme val="minor"/>
      </rPr>
      <t>"</t>
    </r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</si>
  <si>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ВСД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IRR</t>
    </r>
    <r>
      <rPr>
        <sz val="12"/>
        <color theme="1"/>
        <rFont val="Calibri"/>
        <family val="2"/>
        <charset val="204"/>
        <scheme val="minor"/>
      </rPr>
      <t>"</t>
    </r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</si>
  <si>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МВСД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MIRR</t>
    </r>
    <r>
      <rPr>
        <sz val="12"/>
        <color theme="1"/>
        <rFont val="Calibri"/>
        <family val="2"/>
        <charset val="204"/>
        <scheme val="minor"/>
      </rPr>
      <t>"</t>
    </r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</si>
  <si>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ЧПС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NPV</t>
    </r>
    <r>
      <rPr>
        <sz val="12"/>
        <color theme="1"/>
        <rFont val="Calibri"/>
        <family val="2"/>
        <charset val="204"/>
        <scheme val="minor"/>
      </rPr>
      <t>"</t>
    </r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</si>
  <si>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ПС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PV</t>
    </r>
    <r>
      <rPr>
        <sz val="12"/>
        <color theme="1"/>
        <rFont val="Calibri"/>
        <family val="2"/>
        <charset val="204"/>
        <scheme val="minor"/>
      </rPr>
      <t>"</t>
    </r>
  </si>
  <si>
    <t>The minimum level of return that a company has to earn in order to satisfy its creditors, owners, and other providers of capital, or they will invest elsewhere. </t>
  </si>
  <si>
    <t>Минимальный размер операционного дохода компании, который должен быть достаточен для покрытия стоимости капитала (WACC)</t>
  </si>
  <si>
    <t>Total Cash Accrued</t>
  </si>
  <si>
    <r>
      <t>Критерии экономической эффективности</t>
    </r>
    <r>
      <rPr>
        <b/>
        <sz val="18"/>
        <color theme="1"/>
        <rFont val="Calibri"/>
        <family val="2"/>
        <charset val="204"/>
        <scheme val="minor"/>
      </rPr>
      <t xml:space="preserve"> (фиксированные ставки)</t>
    </r>
  </si>
  <si>
    <t>Финансовый калькулятор</t>
  </si>
  <si>
    <t>Excel функции English/Русский</t>
  </si>
  <si>
    <t>Нулевая инфляция, Нулевой рост обменных курсов, Нет кредитов</t>
  </si>
  <si>
    <t>Ставка</t>
  </si>
  <si>
    <t>Всего за период</t>
  </si>
  <si>
    <t>Инвестиции</t>
  </si>
  <si>
    <t>Вложения в предприятие</t>
  </si>
  <si>
    <t>Произведенная продукция, единиц</t>
  </si>
  <si>
    <t>Количество периодов, лет</t>
  </si>
  <si>
    <t>Цена 1 единицы продукции</t>
  </si>
  <si>
    <t>Постоянные расходы</t>
  </si>
  <si>
    <t>Переменные расходы</t>
  </si>
  <si>
    <t>Средняя цена</t>
  </si>
  <si>
    <t>Себестоимость 1 единицы продукции, переменная</t>
  </si>
  <si>
    <t>Себестоимость 1 единицы продукции, переменная + постоянная</t>
  </si>
  <si>
    <t>Займы полученные</t>
  </si>
  <si>
    <t>Займы выплаченные</t>
  </si>
  <si>
    <t>Выручка (Revenues, Sales proceeds)</t>
  </si>
  <si>
    <t>Себестоимость (Cost of sales), включая:</t>
  </si>
  <si>
    <t>Амортизация (Depreciation)</t>
  </si>
  <si>
    <t>Уплаченные проценты</t>
  </si>
  <si>
    <t>Уплаченные налоги</t>
  </si>
  <si>
    <t>Cash, BoP (Beginning of period)                                                       Денежные средства на начало периода</t>
  </si>
  <si>
    <t>Cash outflow (Отток денежных средств)</t>
  </si>
  <si>
    <t>Cash inflow (Приток денежных средств)</t>
  </si>
  <si>
    <t>Cash flow for the period (Чистый денежный поток периода)</t>
  </si>
  <si>
    <t>Cash, EoP (End of period)                                                                   Денежные средства на конец периода</t>
  </si>
  <si>
    <t>Аккумулированный денежный поток (Cumulative cash flow)</t>
  </si>
  <si>
    <r>
      <t xml:space="preserve">NCF (Net Cash Flow) before tax                            </t>
    </r>
    <r>
      <rPr>
        <sz val="14"/>
        <color theme="1"/>
        <rFont val="Calibri"/>
        <family val="2"/>
        <charset val="204"/>
        <scheme val="minor"/>
      </rPr>
      <t>Чистый денежный поток до налога</t>
    </r>
  </si>
  <si>
    <r>
      <t xml:space="preserve">NCF (Net Cash Flow) after tax                         </t>
    </r>
    <r>
      <rPr>
        <sz val="14"/>
        <color theme="1"/>
        <rFont val="Calibri"/>
        <family val="2"/>
        <charset val="204"/>
        <scheme val="minor"/>
      </rPr>
      <t xml:space="preserve">  Чистый денежный поток после налога</t>
    </r>
  </si>
  <si>
    <r>
      <rPr>
        <b/>
        <i/>
        <sz val="11"/>
        <color theme="1"/>
        <rFont val="Calibri"/>
        <family val="2"/>
        <charset val="204"/>
        <scheme val="minor"/>
      </rPr>
      <t>Синонимы:</t>
    </r>
    <r>
      <rPr>
        <b/>
        <sz val="14"/>
        <color theme="1"/>
        <rFont val="Calibri"/>
        <family val="2"/>
        <charset val="204"/>
        <scheme val="minor"/>
      </rPr>
      <t xml:space="preserve"> NV - Net Value; CFAT - Cash Flow After Tax</t>
    </r>
  </si>
  <si>
    <r>
      <t xml:space="preserve">PP (Payback Period). </t>
    </r>
    <r>
      <rPr>
        <sz val="14"/>
        <color theme="1"/>
        <rFont val="Calibri"/>
        <family val="2"/>
        <charset val="204"/>
        <scheme val="minor"/>
      </rPr>
      <t>Период/срок/точка окупаемости инвестиций/капиталовложений.</t>
    </r>
    <r>
      <rPr>
        <b/>
        <sz val="14"/>
        <color theme="1"/>
        <rFont val="Calibri"/>
        <family val="2"/>
        <charset val="204"/>
        <scheme val="minor"/>
      </rPr>
      <t xml:space="preserve">                        </t>
    </r>
    <r>
      <rPr>
        <i/>
        <sz val="11"/>
        <color theme="1"/>
        <rFont val="Calibri"/>
        <family val="2"/>
        <charset val="204"/>
        <scheme val="minor"/>
      </rPr>
      <t>Доходы внутри года поступают равномерно</t>
    </r>
  </si>
  <si>
    <t>Точное значение РР. Точка окупаемости</t>
  </si>
  <si>
    <r>
      <t>PP,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в годах</t>
    </r>
  </si>
  <si>
    <r>
      <t>PP,</t>
    </r>
    <r>
      <rPr>
        <sz val="12"/>
        <color theme="1"/>
        <rFont val="Calibri"/>
        <family val="2"/>
        <charset val="204"/>
        <scheme val="minor"/>
      </rPr>
      <t xml:space="preserve"> в произведенных единицах продукции</t>
    </r>
  </si>
  <si>
    <t>NCF/unit, текущая стоимость после налога на единицу произведенной продукции</t>
  </si>
  <si>
    <t>Объем произведенной продукции аккумулированный (нарастающим итогом)</t>
  </si>
  <si>
    <r>
      <t xml:space="preserve">Нет специальной функции в </t>
    </r>
    <r>
      <rPr>
        <b/>
        <i/>
        <sz val="14"/>
        <color theme="1"/>
        <rFont val="Calibri"/>
        <family val="2"/>
        <charset val="204"/>
        <scheme val="minor"/>
      </rPr>
      <t>Excel</t>
    </r>
  </si>
  <si>
    <r>
      <t xml:space="preserve">Период </t>
    </r>
    <r>
      <rPr>
        <b/>
        <sz val="11"/>
        <color theme="1"/>
        <rFont val="Calibri"/>
        <family val="2"/>
        <charset val="204"/>
        <scheme val="minor"/>
      </rPr>
      <t>Y0</t>
    </r>
    <r>
      <rPr>
        <sz val="11"/>
        <color theme="1"/>
        <rFont val="Calibri"/>
        <family val="2"/>
        <charset val="204"/>
        <scheme val="minor"/>
      </rPr>
      <t xml:space="preserve"> - момент, когда производится первое вложение капитала, принимается, как первый год проекта. Вычисление Периода окупаемости может начинаться с периода </t>
    </r>
    <r>
      <rPr>
        <b/>
        <sz val="11"/>
        <color theme="1"/>
        <rFont val="Calibri"/>
        <family val="2"/>
        <charset val="204"/>
        <scheme val="minor"/>
      </rPr>
      <t>Y1</t>
    </r>
    <r>
      <rPr>
        <sz val="11"/>
        <color theme="1"/>
        <rFont val="Calibri"/>
        <family val="2"/>
        <charset val="204"/>
        <scheme val="minor"/>
      </rPr>
      <t>, тогда мы вычитаем 1 (единицу) из полученного результата</t>
    </r>
  </si>
  <si>
    <t>Ставка дисконтирования</t>
  </si>
  <si>
    <r>
      <t xml:space="preserve">PV (Present Value)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Приведенная стоимость после налога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</si>
  <si>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i/>
        <sz val="14"/>
        <color theme="1"/>
        <rFont val="Calibri"/>
        <family val="2"/>
        <charset val="204"/>
        <scheme val="minor"/>
      </rPr>
      <t>Русская версия -</t>
    </r>
    <r>
      <rPr>
        <b/>
        <i/>
        <sz val="14"/>
        <color theme="1"/>
        <rFont val="Calibri"/>
        <family val="2"/>
        <charset val="204"/>
        <scheme val="minor"/>
      </rPr>
      <t xml:space="preserve"> "ПС".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</si>
  <si>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i/>
        <sz val="14"/>
        <color theme="1"/>
        <rFont val="Calibri"/>
        <family val="2"/>
        <charset val="204"/>
        <scheme val="minor"/>
      </rPr>
      <t>Русская версия -</t>
    </r>
    <r>
      <rPr>
        <b/>
        <i/>
        <sz val="14"/>
        <color theme="1"/>
        <rFont val="Calibri"/>
        <family val="2"/>
        <charset val="204"/>
        <scheme val="minor"/>
      </rPr>
      <t xml:space="preserve"> "БС".</t>
    </r>
  </si>
  <si>
    <r>
      <t>Вычисляется с помощью функции "</t>
    </r>
    <r>
      <rPr>
        <b/>
        <sz val="12"/>
        <color theme="1"/>
        <rFont val="Calibri"/>
        <family val="2"/>
        <charset val="204"/>
        <scheme val="minor"/>
      </rPr>
      <t>ПС" при равных потоках в каждом периоде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PV</t>
    </r>
    <r>
      <rPr>
        <sz val="11"/>
        <color theme="1"/>
        <rFont val="Calibri"/>
        <family val="2"/>
        <charset val="204"/>
        <scheme val="minor"/>
      </rPr>
      <t>"</t>
    </r>
  </si>
  <si>
    <r>
      <t>Вычисляется с помощью функции "</t>
    </r>
    <r>
      <rPr>
        <b/>
        <sz val="12"/>
        <color theme="1"/>
        <rFont val="Calibri"/>
        <family val="2"/>
        <charset val="204"/>
        <scheme val="minor"/>
      </rPr>
      <t>БС" при равных потоках в каждом периоде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FV</t>
    </r>
    <r>
      <rPr>
        <sz val="11"/>
        <color theme="1"/>
        <rFont val="Calibri"/>
        <family val="2"/>
        <charset val="204"/>
        <scheme val="minor"/>
      </rPr>
      <t>"</t>
    </r>
  </si>
  <si>
    <t>Ставка реинвестирования (Compound factor)</t>
  </si>
  <si>
    <r>
      <t xml:space="preserve">FV (Future Value) Будущая стоимость денежного потока после налога, </t>
    </r>
    <r>
      <rPr>
        <sz val="11"/>
        <color theme="1"/>
        <rFont val="Calibri"/>
        <family val="2"/>
        <charset val="204"/>
        <scheme val="minor"/>
      </rPr>
      <t>начиная с периода Y1 полученные денежные средства реинвестируются под Ставку реинвестирования</t>
    </r>
  </si>
  <si>
    <t>Дисконтированный отток денежных средств (discounted cash outflow) за период</t>
  </si>
  <si>
    <t>Дисконтированный приток денежных средств (discounted cash inflow) за период</t>
  </si>
  <si>
    <t>Кумулятивный Дисконтированный отток денежных средств</t>
  </si>
  <si>
    <t>Кумулятивный Дисконтированный приток денежных средств</t>
  </si>
  <si>
    <r>
      <t xml:space="preserve">NPV (Net Present Value), </t>
    </r>
    <r>
      <rPr>
        <i/>
        <sz val="11"/>
        <color theme="1"/>
        <rFont val="Calibri"/>
        <family val="2"/>
        <charset val="204"/>
        <scheme val="minor"/>
      </rPr>
      <t>вычисленная путем отдельного дисконтирования: притоков и оттоков</t>
    </r>
  </si>
  <si>
    <r>
      <t xml:space="preserve">NPV (Net Present Value), </t>
    </r>
    <r>
      <rPr>
        <i/>
        <sz val="11"/>
        <color theme="1"/>
        <rFont val="Calibri"/>
        <family val="2"/>
        <charset val="204"/>
        <scheme val="minor"/>
      </rPr>
      <t>вычисленная путем отдельного дисконтирования агрегированного денежного потока</t>
    </r>
  </si>
  <si>
    <r>
      <t xml:space="preserve">NPV (Net Present Value), </t>
    </r>
    <r>
      <rPr>
        <i/>
        <sz val="11"/>
        <color theme="1"/>
        <rFont val="Calibri"/>
        <family val="2"/>
        <charset val="204"/>
        <scheme val="minor"/>
      </rPr>
      <t>вычисленная с помощью специальной функции Excel</t>
    </r>
  </si>
  <si>
    <r>
      <t>Вычисляется с помощью функции "</t>
    </r>
    <r>
      <rPr>
        <b/>
        <sz val="12"/>
        <color theme="1"/>
        <rFont val="Calibri"/>
        <family val="2"/>
        <charset val="204"/>
        <scheme val="minor"/>
      </rPr>
      <t>ЧПС"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NPV</t>
    </r>
    <r>
      <rPr>
        <sz val="11"/>
        <color theme="1"/>
        <rFont val="Calibri"/>
        <family val="2"/>
        <charset val="204"/>
        <scheme val="minor"/>
      </rPr>
      <t>"</t>
    </r>
  </si>
  <si>
    <r>
      <t>Термины на русском: "</t>
    </r>
    <r>
      <rPr>
        <b/>
        <i/>
        <sz val="14"/>
        <color theme="1"/>
        <rFont val="Calibri"/>
        <family val="2"/>
        <charset val="204"/>
        <scheme val="minor"/>
      </rPr>
      <t>Чистая приведенная стоимость (ЧПС); Чистая текущая стоимость; Чистый приведенный эффект; Чистый дисконтированный доход (ЧДД)</t>
    </r>
    <r>
      <rPr>
        <sz val="14"/>
        <color theme="1"/>
        <rFont val="Calibri"/>
        <family val="2"/>
        <charset val="204"/>
        <scheme val="minor"/>
      </rPr>
      <t>"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</si>
  <si>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i/>
        <sz val="14"/>
        <color theme="1"/>
        <rFont val="Calibri"/>
        <family val="2"/>
        <charset val="204"/>
        <scheme val="minor"/>
      </rPr>
      <t>Русская версия -</t>
    </r>
    <r>
      <rPr>
        <b/>
        <i/>
        <sz val="14"/>
        <color theme="1"/>
        <rFont val="Calibri"/>
        <family val="2"/>
        <charset val="204"/>
        <scheme val="minor"/>
      </rPr>
      <t xml:space="preserve"> "ЧПС".</t>
    </r>
  </si>
  <si>
    <r>
      <t xml:space="preserve">Если начальная инвестиция сделана внутри периода </t>
    </r>
    <r>
      <rPr>
        <b/>
        <sz val="14"/>
        <color theme="1"/>
        <rFont val="Calibri"/>
        <family val="2"/>
        <charset val="204"/>
        <scheme val="minor"/>
      </rPr>
      <t>Y0</t>
    </r>
    <r>
      <rPr>
        <b/>
        <sz val="12"/>
        <color theme="1"/>
        <rFont val="Calibri"/>
        <family val="2"/>
        <charset val="204"/>
        <scheme val="minor"/>
      </rPr>
      <t xml:space="preserve">, </t>
    </r>
    <r>
      <rPr>
        <sz val="12"/>
        <color theme="1"/>
        <rFont val="Calibri"/>
        <family val="2"/>
        <charset val="204"/>
        <scheme val="minor"/>
      </rPr>
      <t xml:space="preserve">мы вводим в формулу значения </t>
    </r>
    <r>
      <rPr>
        <b/>
        <sz val="14"/>
        <color theme="1"/>
        <rFont val="Calibri"/>
        <family val="2"/>
        <charset val="204"/>
        <scheme val="minor"/>
      </rPr>
      <t>Y1</t>
    </r>
    <r>
      <rPr>
        <sz val="12"/>
        <color theme="1"/>
        <rFont val="Calibri"/>
        <family val="2"/>
        <charset val="204"/>
        <scheme val="minor"/>
      </rPr>
      <t>-</t>
    </r>
    <r>
      <rPr>
        <b/>
        <sz val="14"/>
        <color theme="1"/>
        <rFont val="Calibri"/>
        <family val="2"/>
        <charset val="204"/>
        <scheme val="minor"/>
      </rPr>
      <t>Y5</t>
    </r>
    <r>
      <rPr>
        <sz val="12"/>
        <color theme="1"/>
        <rFont val="Calibri"/>
        <family val="2"/>
        <charset val="204"/>
        <scheme val="minor"/>
      </rPr>
      <t>, а затем вычитаем сумму первоначальной инвестиции со знаком "минус"</t>
    </r>
  </si>
  <si>
    <r>
      <t>Вычисляется с помощью функции "</t>
    </r>
    <r>
      <rPr>
        <b/>
        <sz val="12"/>
        <color theme="1"/>
        <rFont val="Calibri"/>
        <family val="2"/>
        <charset val="204"/>
        <scheme val="minor"/>
      </rPr>
      <t>ВСД"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IRR</t>
    </r>
    <r>
      <rPr>
        <sz val="11"/>
        <color theme="1"/>
        <rFont val="Calibri"/>
        <family val="2"/>
        <charset val="204"/>
        <scheme val="minor"/>
      </rPr>
      <t>"</t>
    </r>
  </si>
  <si>
    <r>
      <t>IRR (Internal Rate of Return),</t>
    </r>
    <r>
      <rPr>
        <i/>
        <sz val="12"/>
        <color theme="1"/>
        <rFont val="Calibri"/>
        <family val="2"/>
        <charset val="204"/>
        <scheme val="minor"/>
      </rPr>
      <t xml:space="preserve"> вычислено с помощью специальной функции Excel</t>
    </r>
  </si>
  <si>
    <t>Discount factor (Дисконт-фактор, Фактор дисконтирования)</t>
  </si>
  <si>
    <t>Итерации:</t>
  </si>
  <si>
    <t>Фактор дисконтирования</t>
  </si>
  <si>
    <t>ИЛИ:</t>
  </si>
  <si>
    <r>
      <t>Русские термины: "</t>
    </r>
    <r>
      <rPr>
        <b/>
        <i/>
        <sz val="14"/>
        <color theme="1"/>
        <rFont val="Calibri"/>
        <family val="2"/>
        <charset val="204"/>
        <scheme val="minor"/>
      </rPr>
      <t>Внутренняя норма доходности/прибыли; внутренний коэффициент окупаемости</t>
    </r>
    <r>
      <rPr>
        <sz val="14"/>
        <color theme="1"/>
        <rFont val="Calibri"/>
        <family val="2"/>
        <charset val="204"/>
        <scheme val="minor"/>
      </rPr>
      <t>"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</si>
  <si>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i/>
        <sz val="14"/>
        <color theme="1"/>
        <rFont val="Calibri"/>
        <family val="2"/>
        <charset val="204"/>
        <scheme val="minor"/>
      </rPr>
      <t>Русская версия -</t>
    </r>
    <r>
      <rPr>
        <b/>
        <i/>
        <sz val="14"/>
        <color theme="1"/>
        <rFont val="Calibri"/>
        <family val="2"/>
        <charset val="204"/>
        <scheme val="minor"/>
      </rPr>
      <t xml:space="preserve"> "ВСД".</t>
    </r>
  </si>
  <si>
    <r>
      <rPr>
        <b/>
        <i/>
        <sz val="11"/>
        <color theme="1"/>
        <rFont val="Calibri"/>
        <family val="2"/>
        <charset val="204"/>
        <scheme val="minor"/>
      </rPr>
      <t>Синоним:</t>
    </r>
    <r>
      <rPr>
        <b/>
        <sz val="14"/>
        <color theme="1"/>
        <rFont val="Calibri"/>
        <family val="2"/>
        <charset val="204"/>
        <scheme val="minor"/>
      </rPr>
      <t xml:space="preserve"> ERR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4"/>
        <color theme="1"/>
        <rFont val="Calibri"/>
        <family val="2"/>
        <charset val="204"/>
        <scheme val="minor"/>
      </rPr>
      <t>Economic Rate of Return</t>
    </r>
  </si>
  <si>
    <r>
      <t>DCF (Discounted Cash Flow),</t>
    </r>
    <r>
      <rPr>
        <sz val="14"/>
        <color theme="1"/>
        <rFont val="Calibri"/>
        <family val="2"/>
        <charset val="204"/>
        <scheme val="minor"/>
      </rPr>
      <t xml:space="preserve"> дисконтированный денежный поток</t>
    </r>
  </si>
  <si>
    <r>
      <rPr>
        <sz val="14"/>
        <color theme="1"/>
        <rFont val="Calibri"/>
        <family val="2"/>
        <charset val="204"/>
        <scheme val="minor"/>
      </rPr>
      <t>Cumulative DCF</t>
    </r>
    <r>
      <rPr>
        <b/>
        <sz val="14"/>
        <color theme="1"/>
        <rFont val="Calibri"/>
        <family val="2"/>
        <charset val="204"/>
        <scheme val="minor"/>
      </rPr>
      <t xml:space="preserve"> = NPV, </t>
    </r>
    <r>
      <rPr>
        <sz val="14"/>
        <color theme="1"/>
        <rFont val="Calibri"/>
        <family val="2"/>
        <charset val="204"/>
        <scheme val="minor"/>
      </rPr>
      <t>Аккумулированный дисконтированный денежный поток</t>
    </r>
  </si>
  <si>
    <t>Точное значение DРР. Дисконтированная точка окупаемости</t>
  </si>
  <si>
    <r>
      <rPr>
        <b/>
        <i/>
        <sz val="11"/>
        <color theme="1"/>
        <rFont val="Calibri"/>
        <family val="2"/>
        <charset val="204"/>
        <scheme val="minor"/>
      </rPr>
      <t>Синоним:</t>
    </r>
    <r>
      <rPr>
        <b/>
        <sz val="14"/>
        <color theme="1"/>
        <rFont val="Calibri"/>
        <family val="2"/>
        <charset val="204"/>
        <scheme val="minor"/>
      </rPr>
      <t xml:space="preserve"> PVP - Present Value Payback</t>
    </r>
  </si>
  <si>
    <r>
      <t xml:space="preserve">Дисконтированный денежный поток для периодов, начиная с </t>
    </r>
    <r>
      <rPr>
        <b/>
        <sz val="12"/>
        <color theme="1"/>
        <rFont val="Calibri"/>
        <family val="2"/>
        <charset val="204"/>
        <scheme val="minor"/>
      </rPr>
      <t>Y1</t>
    </r>
  </si>
  <si>
    <r>
      <rPr>
        <b/>
        <i/>
        <sz val="11"/>
        <color theme="1"/>
        <rFont val="Calibri"/>
        <family val="2"/>
        <charset val="204"/>
        <scheme val="minor"/>
      </rPr>
      <t>Синонимы:</t>
    </r>
    <r>
      <rPr>
        <b/>
        <sz val="14"/>
        <color theme="1"/>
        <rFont val="Calibri"/>
        <family val="2"/>
        <charset val="204"/>
        <scheme val="minor"/>
      </rPr>
      <t xml:space="preserve"> PVI (Present Value Index, PV-index), Benefit to Cost Ratio (BCR), Profit-Investment Ratio (PIR)</t>
    </r>
  </si>
  <si>
    <r>
      <t xml:space="preserve">DPI (Discounted Profitability Index) </t>
    </r>
    <r>
      <rPr>
        <sz val="14"/>
        <color theme="1"/>
        <rFont val="Calibri"/>
        <family val="2"/>
        <charset val="204"/>
        <scheme val="minor"/>
      </rPr>
      <t>Дисконтированный индекс доходности/рентабельности</t>
    </r>
  </si>
  <si>
    <t>Вычисляется, как: 1 + NPV / | Дисконтированные первоначальные инвестиции (по модулю) | = 1 + NPV / Дисконтированные денежные оттоки</t>
  </si>
  <si>
    <t>Традиционный расчет: будто инвестиции производятся в периоде Y0. В данном случае - не так!</t>
  </si>
  <si>
    <t>Поскольку инвестиции осуществляются в несколько периодов, то в знаменателе - денежные оттоки во все периоды, когда cash flow  - отрицателен.</t>
  </si>
  <si>
    <r>
      <t>NRR (Net Rate of Return),</t>
    </r>
    <r>
      <rPr>
        <sz val="14"/>
        <color theme="1"/>
        <rFont val="Calibri"/>
        <family val="2"/>
        <charset val="204"/>
        <scheme val="minor"/>
      </rPr>
      <t xml:space="preserve"> Чистая/маржинальная норма доходности</t>
    </r>
  </si>
  <si>
    <r>
      <t>DCF (Дисконтированный денежный поток),</t>
    </r>
    <r>
      <rPr>
        <b/>
        <sz val="14"/>
        <color theme="1"/>
        <rFont val="Calibri"/>
        <family val="2"/>
        <charset val="204"/>
        <scheme val="minor"/>
      </rPr>
      <t xml:space="preserve"> начиная с периода Y1</t>
    </r>
  </si>
  <si>
    <t>Номер периода</t>
  </si>
  <si>
    <r>
      <t>DCF (Дисконтированный денежный поток), умноженный на номер периода (</t>
    </r>
    <r>
      <rPr>
        <b/>
        <sz val="14"/>
        <color theme="1"/>
        <rFont val="Calibri"/>
        <family val="2"/>
        <charset val="204"/>
        <scheme val="minor"/>
      </rPr>
      <t>Y1</t>
    </r>
    <r>
      <rPr>
        <sz val="12"/>
        <color theme="1"/>
        <rFont val="Calibri"/>
        <family val="2"/>
        <charset val="204"/>
        <scheme val="minor"/>
      </rPr>
      <t xml:space="preserve"> = период № 1)</t>
    </r>
  </si>
  <si>
    <r>
      <t xml:space="preserve">D (Duration),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Дюрация</t>
    </r>
  </si>
  <si>
    <r>
      <t>Синоним: "</t>
    </r>
    <r>
      <rPr>
        <b/>
        <sz val="14"/>
        <color theme="1"/>
        <rFont val="Calibri"/>
        <family val="2"/>
        <charset val="204"/>
        <scheme val="minor"/>
      </rPr>
      <t>Средневзвешенный срок погашения</t>
    </r>
    <r>
      <rPr>
        <sz val="14"/>
        <color theme="1"/>
        <rFont val="Calibri"/>
        <family val="2"/>
        <charset val="204"/>
        <scheme val="minor"/>
      </rPr>
      <t>"</t>
    </r>
  </si>
  <si>
    <t>Не рекомендуется вычислять, когда денежные потоки в разных периодах (кроме периода Y0) имеют разный знак</t>
  </si>
  <si>
    <r>
      <t xml:space="preserve">Реинвестированные денежные потоки, в те периоды, когда денежный поток - </t>
    </r>
    <r>
      <rPr>
        <b/>
        <sz val="14"/>
        <color theme="1"/>
        <rFont val="Calibri"/>
        <family val="2"/>
        <charset val="204"/>
        <scheme val="minor"/>
      </rPr>
      <t>ПОЗИТИВНЫЙ</t>
    </r>
  </si>
  <si>
    <r>
      <t xml:space="preserve">Initial Investment (Outlay) Discounted - дисконтированные </t>
    </r>
    <r>
      <rPr>
        <b/>
        <sz val="14"/>
        <color theme="1"/>
        <rFont val="Calibri"/>
        <family val="2"/>
        <charset val="204"/>
        <scheme val="minor"/>
      </rPr>
      <t>НЕГАТИВНЫЕ</t>
    </r>
    <r>
      <rPr>
        <sz val="12"/>
        <color theme="1"/>
        <rFont val="Calibri"/>
        <family val="2"/>
        <charset val="204"/>
        <scheme val="minor"/>
      </rPr>
      <t xml:space="preserve"> денежные потоки среди всех периодов, начиная с</t>
    </r>
    <r>
      <rPr>
        <sz val="10"/>
        <color theme="1"/>
        <rFont val="Calibri"/>
        <family val="2"/>
        <charset val="204"/>
        <scheme val="minor"/>
      </rPr>
      <t xml:space="preserve"> Y0 (включительно)</t>
    </r>
  </si>
  <si>
    <t>Здесь применяется фактор: (1+Ставка дисконтирования)^(Общее количество периодов)</t>
  </si>
  <si>
    <r>
      <t xml:space="preserve">MIRR (Modified Internal Rate of Return),        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Модифицированная Внутренняя норма доходности</t>
    </r>
  </si>
  <si>
    <r>
      <t>Вычисляется с использованием функции "</t>
    </r>
    <r>
      <rPr>
        <b/>
        <sz val="12"/>
        <color theme="1"/>
        <rFont val="Calibri"/>
        <family val="2"/>
        <charset val="204"/>
        <scheme val="minor"/>
      </rPr>
      <t>МВСД"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>"</t>
    </r>
  </si>
  <si>
    <t xml:space="preserve"> =(Реинвестированные ПОЗИТИВНЫЕ денежные потоки/Дисконтированные НЕГАТИВНЫЕ денежные потоки)^(1/Количество периодов)-1</t>
  </si>
  <si>
    <r>
      <t xml:space="preserve">MIRR </t>
    </r>
    <r>
      <rPr>
        <b/>
        <sz val="11"/>
        <color rgb="FF00B050"/>
        <rFont val="Calibri"/>
        <family val="2"/>
        <charset val="204"/>
        <scheme val="minor"/>
      </rPr>
      <t>Ставка дисконтирования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(Модифицированная Внутренняя норма доходности с реинвестицией под Ставку дисконтирования</t>
    </r>
    <r>
      <rPr>
        <b/>
        <sz val="14"/>
        <color theme="1"/>
        <rFont val="Calibri"/>
        <family val="2"/>
        <charset val="204"/>
        <scheme val="minor"/>
      </rPr>
      <t>)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</si>
  <si>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b/>
        <i/>
        <sz val="14"/>
        <color theme="1"/>
        <rFont val="Calibri"/>
        <family val="2"/>
        <charset val="204"/>
        <scheme val="minor"/>
      </rPr>
      <t>"МВСД".</t>
    </r>
  </si>
  <si>
    <r>
      <t>Вариации: "</t>
    </r>
    <r>
      <rPr>
        <b/>
        <i/>
        <sz val="14"/>
        <color theme="1"/>
        <rFont val="Calibri"/>
        <family val="2"/>
        <charset val="204"/>
        <scheme val="minor"/>
      </rPr>
      <t>Модифицированная внутренняя норма доходности/рентабельности</t>
    </r>
    <r>
      <rPr>
        <sz val="14"/>
        <color theme="1"/>
        <rFont val="Calibri"/>
        <family val="2"/>
        <charset val="204"/>
        <scheme val="minor"/>
      </rPr>
      <t>"</t>
    </r>
  </si>
  <si>
    <r>
      <t xml:space="preserve">MNPV (Modified Net Present Value),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Модифицированная Чистая текущая стоимость</t>
    </r>
  </si>
  <si>
    <r>
      <t>Синонимы: "</t>
    </r>
    <r>
      <rPr>
        <b/>
        <sz val="14"/>
        <color theme="1"/>
        <rFont val="Calibri"/>
        <family val="2"/>
        <charset val="204"/>
        <scheme val="minor"/>
      </rPr>
      <t>Модифицированная чистая приведенная стоимость, модифицированный чистый дисконтированный доход/приведенный эффект</t>
    </r>
    <r>
      <rPr>
        <sz val="14"/>
        <color theme="1"/>
        <rFont val="Calibri"/>
        <family val="2"/>
        <charset val="204"/>
        <scheme val="minor"/>
      </rPr>
      <t>"</t>
    </r>
  </si>
  <si>
    <r>
      <rPr>
        <b/>
        <i/>
        <sz val="11"/>
        <color theme="1"/>
        <rFont val="Calibri"/>
        <family val="2"/>
        <charset val="204"/>
        <scheme val="minor"/>
      </rPr>
      <t>Синоним:</t>
    </r>
    <r>
      <rPr>
        <b/>
        <sz val="14"/>
        <color theme="1"/>
        <rFont val="Calibri"/>
        <family val="2"/>
        <charset val="204"/>
        <scheme val="minor"/>
      </rPr>
      <t xml:space="preserve"> RIRR (Reinvestment-rate adjusted Internal Rate of Return) </t>
    </r>
    <r>
      <rPr>
        <sz val="14"/>
        <color theme="1"/>
        <rFont val="Calibri"/>
        <family val="2"/>
        <charset val="204"/>
        <scheme val="minor"/>
      </rPr>
      <t>- Внутренняя норма доходности с реинвестированием</t>
    </r>
  </si>
  <si>
    <r>
      <t>Вариации: "</t>
    </r>
    <r>
      <rPr>
        <b/>
        <i/>
        <sz val="14"/>
        <color theme="1"/>
        <rFont val="Calibri"/>
        <family val="2"/>
        <charset val="204"/>
        <scheme val="minor"/>
      </rPr>
      <t>Модифицированная чистая норма доходности/рентабельности</t>
    </r>
    <r>
      <rPr>
        <sz val="14"/>
        <color theme="1"/>
        <rFont val="Calibri"/>
        <family val="2"/>
        <charset val="204"/>
        <scheme val="minor"/>
      </rPr>
      <t>"</t>
    </r>
  </si>
  <si>
    <r>
      <t xml:space="preserve">MNPV (Modified Net Present Value)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         Модифицированная Чистая норма доходности</t>
    </r>
  </si>
  <si>
    <t>Даты транзакций</t>
  </si>
  <si>
    <r>
      <t xml:space="preserve"> XIRR, </t>
    </r>
    <r>
      <rPr>
        <sz val="14"/>
        <color theme="1"/>
        <rFont val="Calibri"/>
        <family val="2"/>
        <charset val="204"/>
        <scheme val="minor"/>
      </rPr>
      <t>специальная функция для вычисления IRR для нерегулярных периодов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</si>
  <si>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b/>
        <i/>
        <sz val="14"/>
        <color theme="1"/>
        <rFont val="Calibri"/>
        <family val="2"/>
        <charset val="204"/>
        <scheme val="minor"/>
      </rPr>
      <t>"ЧИСТВНДОХ".</t>
    </r>
  </si>
  <si>
    <r>
      <t>Вычисляется с использованием функции "</t>
    </r>
    <r>
      <rPr>
        <b/>
        <sz val="12"/>
        <color theme="1"/>
        <rFont val="Calibri"/>
        <family val="2"/>
        <charset val="204"/>
        <scheme val="minor"/>
      </rPr>
      <t>ЧИСТВНДОХ"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4"/>
        <color theme="1"/>
        <rFont val="Calibri"/>
        <family val="2"/>
        <charset val="204"/>
        <scheme val="minor"/>
      </rPr>
      <t>XIRR</t>
    </r>
    <r>
      <rPr>
        <sz val="11"/>
        <color theme="1"/>
        <rFont val="Calibri"/>
        <family val="2"/>
        <charset val="204"/>
        <scheme val="minor"/>
      </rPr>
      <t>"</t>
    </r>
  </si>
  <si>
    <r>
      <t xml:space="preserve">XNPV, </t>
    </r>
    <r>
      <rPr>
        <sz val="14"/>
        <color theme="1"/>
        <rFont val="Calibri"/>
        <family val="2"/>
        <charset val="204"/>
        <scheme val="minor"/>
      </rPr>
      <t>специальная функция для вычисления NPV для нерегулярных периодов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</si>
  <si>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b/>
        <i/>
        <sz val="14"/>
        <color theme="1"/>
        <rFont val="Calibri"/>
        <family val="2"/>
        <charset val="204"/>
        <scheme val="minor"/>
      </rPr>
      <t>"ЧИСТНЗ".</t>
    </r>
  </si>
  <si>
    <r>
      <t>Вычисляется с использованием функции "</t>
    </r>
    <r>
      <rPr>
        <b/>
        <sz val="12"/>
        <color theme="1"/>
        <rFont val="Calibri"/>
        <family val="2"/>
        <charset val="204"/>
        <scheme val="minor"/>
      </rPr>
      <t>ЧИСТНЗ"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4"/>
        <color theme="1"/>
        <rFont val="Calibri"/>
        <family val="2"/>
        <charset val="204"/>
        <scheme val="minor"/>
      </rPr>
      <t>XNPV</t>
    </r>
    <r>
      <rPr>
        <sz val="11"/>
        <color theme="1"/>
        <rFont val="Calibri"/>
        <family val="2"/>
        <charset val="204"/>
        <scheme val="minor"/>
      </rPr>
      <t>"</t>
    </r>
  </si>
  <si>
    <r>
      <t xml:space="preserve">NFV (Net Future Value),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Чистая будущая стоимость</t>
    </r>
  </si>
  <si>
    <t>Не корректно из-за разного знака потоков</t>
  </si>
  <si>
    <t>Ставка дисконтирования и Ставка реинвестирования</t>
  </si>
  <si>
    <r>
      <t xml:space="preserve">ANPV (Annualized Net Present Value),           </t>
    </r>
    <r>
      <rPr>
        <sz val="14"/>
        <color theme="1"/>
        <rFont val="Calibri"/>
        <family val="2"/>
        <charset val="204"/>
        <scheme val="minor"/>
      </rPr>
      <t xml:space="preserve">   Эквивалентная ежегодная рента</t>
    </r>
  </si>
  <si>
    <t>Суммируются только ячейки, помеченные серым цветом</t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</si>
  <si>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"БС". </t>
    </r>
    <r>
      <rPr>
        <sz val="14"/>
        <color theme="1"/>
        <rFont val="Calibri"/>
        <family val="2"/>
        <charset val="204"/>
        <scheme val="minor"/>
      </rPr>
      <t>Специальные условия ввода данных!!!</t>
    </r>
  </si>
  <si>
    <r>
      <rPr>
        <b/>
        <i/>
        <sz val="11"/>
        <color theme="1"/>
        <rFont val="Calibri"/>
        <family val="2"/>
        <charset val="204"/>
        <scheme val="minor"/>
      </rPr>
      <t>Синонимы:</t>
    </r>
    <r>
      <rPr>
        <b/>
        <sz val="14"/>
        <color theme="1"/>
        <rFont val="Calibri"/>
        <family val="2"/>
        <charset val="204"/>
        <scheme val="minor"/>
      </rPr>
      <t xml:space="preserve"> NUS (Net Uniform Sеries) </t>
    </r>
    <r>
      <rPr>
        <sz val="14"/>
        <color theme="1"/>
        <rFont val="Calibri"/>
        <family val="2"/>
        <charset val="204"/>
        <scheme val="minor"/>
      </rPr>
      <t>- Чистые повторяющиеся потоки</t>
    </r>
    <r>
      <rPr>
        <b/>
        <sz val="14"/>
        <color theme="1"/>
        <rFont val="Calibri"/>
        <family val="2"/>
        <charset val="204"/>
        <scheme val="minor"/>
      </rPr>
      <t xml:space="preserve">, EAC (Equivalent annual cost) </t>
    </r>
    <r>
      <rPr>
        <sz val="14"/>
        <color theme="1"/>
        <rFont val="Calibri"/>
        <family val="2"/>
        <charset val="204"/>
        <scheme val="minor"/>
      </rPr>
      <t>- Ежегодная эквивалентная стоимость</t>
    </r>
    <r>
      <rPr>
        <b/>
        <sz val="14"/>
        <color theme="1"/>
        <rFont val="Calibri"/>
        <family val="2"/>
        <charset val="204"/>
        <scheme val="minor"/>
      </rPr>
      <t xml:space="preserve">, EAA (Equivalent Annual Annuity) </t>
    </r>
    <r>
      <rPr>
        <sz val="14"/>
        <color theme="1"/>
        <rFont val="Calibri"/>
        <family val="2"/>
        <charset val="204"/>
        <scheme val="minor"/>
      </rPr>
      <t>- Ежегодный эквивалентный аннуитет</t>
    </r>
  </si>
  <si>
    <t>Калькулирование NFV (Чистой будущей стоимости) и D (Дюрации), когда потоки - только ПОЗИТИВНЫЕ</t>
  </si>
  <si>
    <r>
      <t xml:space="preserve">NPV </t>
    </r>
    <r>
      <rPr>
        <b/>
        <sz val="12"/>
        <color theme="1"/>
        <rFont val="Calibri"/>
        <family val="2"/>
        <charset val="204"/>
        <scheme val="minor"/>
      </rPr>
      <t>(только для ПОЗИТИВНЫХ денежных потоков)</t>
    </r>
  </si>
  <si>
    <r>
      <t>DCF, умноженный на Номер периода (</t>
    </r>
    <r>
      <rPr>
        <b/>
        <sz val="14"/>
        <color theme="1"/>
        <rFont val="Calibri"/>
        <family val="2"/>
        <charset val="204"/>
        <scheme val="minor"/>
      </rPr>
      <t>Y1</t>
    </r>
    <r>
      <rPr>
        <sz val="12"/>
        <color theme="1"/>
        <rFont val="Calibri"/>
        <family val="2"/>
        <charset val="204"/>
        <scheme val="minor"/>
      </rPr>
      <t xml:space="preserve"> - считается периодом № 1)</t>
    </r>
  </si>
  <si>
    <r>
      <t>DCF,</t>
    </r>
    <r>
      <rPr>
        <b/>
        <sz val="14"/>
        <color theme="1"/>
        <rFont val="Calibri"/>
        <family val="2"/>
        <charset val="204"/>
        <scheme val="minor"/>
      </rPr>
      <t xml:space="preserve"> начиная с периода Y1</t>
    </r>
  </si>
  <si>
    <r>
      <t xml:space="preserve">D (Duration),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Дюрация</t>
    </r>
  </si>
  <si>
    <r>
      <t xml:space="preserve">NFV (Net Future Value),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Чистая будущая стоимость</t>
    </r>
  </si>
  <si>
    <r>
      <t xml:space="preserve">NFV (Net Future Value),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Чистая будущая стоимость, как функция от NPV</t>
    </r>
  </si>
  <si>
    <t xml:space="preserve"> =NPV*(1+Ставка дисконтирования)^Число периодов</t>
  </si>
  <si>
    <r>
      <t>Критерии экономической эффективности</t>
    </r>
    <r>
      <rPr>
        <b/>
        <sz val="18"/>
        <color theme="1"/>
        <rFont val="Calibri"/>
        <family val="2"/>
        <charset val="204"/>
        <scheme val="minor"/>
      </rPr>
      <t xml:space="preserve"> (варьирующиеся ставки)</t>
    </r>
  </si>
  <si>
    <t>Рост продажной цены производимых изделий, % p.a.</t>
  </si>
  <si>
    <t>Цена 1 изделия</t>
  </si>
  <si>
    <t>Выручка от продаж</t>
  </si>
  <si>
    <t>Инфляция всех затрат на производство продукции, % p.a.</t>
  </si>
  <si>
    <r>
      <t>Полученные займы (</t>
    </r>
    <r>
      <rPr>
        <b/>
        <sz val="11"/>
        <color theme="1"/>
        <rFont val="Calibri"/>
        <family val="2"/>
        <charset val="204"/>
        <scheme val="minor"/>
      </rPr>
      <t>внутригодовые, полностью выплачиваются к 31/12 каждого года, срок использования - 360 дней</t>
    </r>
    <r>
      <rPr>
        <sz val="11"/>
        <color theme="1"/>
        <rFont val="Calibri"/>
        <family val="2"/>
        <charset val="204"/>
        <scheme val="minor"/>
      </rPr>
      <t>)</t>
    </r>
  </si>
  <si>
    <t>Выплаченные займы</t>
  </si>
  <si>
    <t>Процентная ставка по займам, % p.a.</t>
  </si>
  <si>
    <t>Дивиденды начисленные, но не выплаченные (25% чистой прибыли)</t>
  </si>
  <si>
    <t>Ожидаемый рост (вся экономика)</t>
  </si>
  <si>
    <t>EBITDA рост y-o-y</t>
  </si>
  <si>
    <t>EBIT рост y-o-y</t>
  </si>
  <si>
    <t>Чистая прибыль рост y-o-y</t>
  </si>
  <si>
    <r>
      <t xml:space="preserve">NPV (Net Present Value), </t>
    </r>
    <r>
      <rPr>
        <sz val="14"/>
        <color theme="1"/>
        <rFont val="Calibri"/>
        <family val="2"/>
        <charset val="204"/>
        <scheme val="minor"/>
      </rPr>
      <t>Чистая приведенная (дисконтированная) стоимость</t>
    </r>
  </si>
  <si>
    <r>
      <t xml:space="preserve">NPV (Net Present Value),                                       </t>
    </r>
    <r>
      <rPr>
        <sz val="14"/>
        <color theme="1"/>
        <rFont val="Calibri"/>
        <family val="2"/>
        <charset val="204"/>
        <scheme val="minor"/>
      </rPr>
      <t>Чистая приведенная (дисконтированная) стоимость</t>
    </r>
  </si>
  <si>
    <r>
      <t xml:space="preserve">PP (Payback Period). </t>
    </r>
    <r>
      <rPr>
        <i/>
        <sz val="11"/>
        <color theme="1"/>
        <rFont val="Calibri"/>
        <family val="2"/>
        <charset val="204"/>
        <scheme val="minor"/>
      </rPr>
      <t>Доходы поступают равномерно в течение года</t>
    </r>
  </si>
  <si>
    <t>Точная дата Точки окупаемости</t>
  </si>
  <si>
    <r>
      <t xml:space="preserve">CF (Cash Flow) </t>
    </r>
    <r>
      <rPr>
        <sz val="14"/>
        <color theme="1"/>
        <rFont val="Calibri"/>
        <family val="2"/>
        <charset val="204"/>
        <scheme val="minor"/>
      </rPr>
      <t>в последний год прогнозирования/последний год реализации проекта</t>
    </r>
  </si>
  <si>
    <t>Темп роста компании/проекта</t>
  </si>
  <si>
    <r>
      <t xml:space="preserve">Net Terminal Value (NTV), </t>
    </r>
    <r>
      <rPr>
        <sz val="14"/>
        <color theme="1"/>
        <rFont val="Calibri"/>
        <family val="2"/>
        <charset val="204"/>
        <scheme val="minor"/>
      </rPr>
      <t>Чистая терминальная стоимость</t>
    </r>
  </si>
  <si>
    <r>
      <t xml:space="preserve">WACC </t>
    </r>
    <r>
      <rPr>
        <b/>
        <sz val="20"/>
        <color theme="0"/>
        <rFont val="Calibri"/>
        <family val="2"/>
        <charset val="204"/>
        <scheme val="minor"/>
      </rPr>
      <t xml:space="preserve">(Weighted Average Cost of Capital), </t>
    </r>
    <r>
      <rPr>
        <sz val="18"/>
        <color theme="0"/>
        <rFont val="Calibri"/>
        <family val="2"/>
        <charset val="204"/>
        <scheme val="minor"/>
      </rPr>
      <t>Средневзвешенная стоимость капитала</t>
    </r>
  </si>
  <si>
    <r>
      <t xml:space="preserve">NTV </t>
    </r>
    <r>
      <rPr>
        <b/>
        <sz val="20"/>
        <color theme="0"/>
        <rFont val="Calibri"/>
        <family val="2"/>
        <charset val="204"/>
        <scheme val="minor"/>
      </rPr>
      <t>(Net Terminal Value),</t>
    </r>
    <r>
      <rPr>
        <b/>
        <sz val="24"/>
        <color theme="0"/>
        <rFont val="Calibri"/>
        <family val="2"/>
        <charset val="204"/>
        <scheme val="minor"/>
      </rPr>
      <t xml:space="preserve"> </t>
    </r>
    <r>
      <rPr>
        <sz val="18"/>
        <color theme="0"/>
        <rFont val="Calibri"/>
        <family val="2"/>
        <charset val="204"/>
        <scheme val="minor"/>
      </rPr>
      <t>Чистая терминальная стоимость</t>
    </r>
  </si>
  <si>
    <r>
      <t xml:space="preserve">PP </t>
    </r>
    <r>
      <rPr>
        <b/>
        <sz val="20"/>
        <color theme="0"/>
        <rFont val="Calibri"/>
        <family val="2"/>
        <charset val="204"/>
        <scheme val="minor"/>
      </rPr>
      <t xml:space="preserve">(Payback period) </t>
    </r>
    <r>
      <rPr>
        <b/>
        <sz val="24"/>
        <color theme="0"/>
        <rFont val="Calibri"/>
        <family val="2"/>
        <charset val="204"/>
        <scheme val="minor"/>
      </rPr>
      <t xml:space="preserve">                                           </t>
    </r>
    <r>
      <rPr>
        <sz val="18"/>
        <color theme="0"/>
        <rFont val="Calibri"/>
        <family val="2"/>
        <charset val="204"/>
        <scheme val="minor"/>
      </rPr>
      <t xml:space="preserve"> Период/срок/точка окупаемости инвестиций/капиталовложений</t>
    </r>
  </si>
  <si>
    <r>
      <t>NPV</t>
    </r>
    <r>
      <rPr>
        <b/>
        <sz val="20"/>
        <color theme="0"/>
        <rFont val="Calibri"/>
        <family val="2"/>
        <charset val="204"/>
        <scheme val="minor"/>
      </rPr>
      <t xml:space="preserve"> (Net Present Value)</t>
    </r>
    <r>
      <rPr>
        <b/>
        <sz val="24"/>
        <color theme="0"/>
        <rFont val="Calibri"/>
        <family val="2"/>
        <charset val="204"/>
        <scheme val="minor"/>
      </rPr>
      <t xml:space="preserve">, </t>
    </r>
    <r>
      <rPr>
        <sz val="18"/>
        <color theme="0"/>
        <rFont val="Calibri"/>
        <family val="2"/>
        <charset val="204"/>
        <scheme val="minor"/>
      </rPr>
      <t>Чистая приведенная (дисконтированная) стоимость</t>
    </r>
  </si>
  <si>
    <t>Присутствует инфляция, меняющиеся валютные курсы, есть займы, выплачиваются дивиденды</t>
  </si>
  <si>
    <r>
      <t xml:space="preserve">NCF </t>
    </r>
    <r>
      <rPr>
        <b/>
        <sz val="20"/>
        <color theme="0"/>
        <rFont val="Calibri"/>
        <family val="2"/>
        <charset val="204"/>
        <scheme val="minor"/>
      </rPr>
      <t>(Net Cash Flow)</t>
    </r>
    <r>
      <rPr>
        <b/>
        <sz val="24"/>
        <color theme="0"/>
        <rFont val="Calibri"/>
        <family val="2"/>
        <charset val="204"/>
        <scheme val="minor"/>
      </rPr>
      <t xml:space="preserve">             </t>
    </r>
    <r>
      <rPr>
        <sz val="24"/>
        <color theme="0"/>
        <rFont val="Calibri"/>
        <family val="2"/>
        <charset val="204"/>
        <scheme val="minor"/>
      </rPr>
      <t xml:space="preserve">                       </t>
    </r>
    <r>
      <rPr>
        <sz val="18"/>
        <color theme="0"/>
        <rFont val="Calibri"/>
        <family val="2"/>
        <charset val="204"/>
        <scheme val="minor"/>
      </rPr>
      <t>(Текущая стоимость)</t>
    </r>
  </si>
  <si>
    <r>
      <t xml:space="preserve">PP </t>
    </r>
    <r>
      <rPr>
        <b/>
        <sz val="20"/>
        <color theme="0"/>
        <rFont val="Calibri"/>
        <family val="2"/>
        <charset val="204"/>
        <scheme val="minor"/>
      </rPr>
      <t xml:space="preserve">(Payback period) </t>
    </r>
    <r>
      <rPr>
        <b/>
        <sz val="24"/>
        <color theme="0"/>
        <rFont val="Calibri"/>
        <family val="2"/>
        <charset val="204"/>
        <scheme val="minor"/>
      </rPr>
      <t xml:space="preserve">                                    </t>
    </r>
    <r>
      <rPr>
        <sz val="24"/>
        <color theme="0"/>
        <rFont val="Calibri"/>
        <family val="2"/>
        <charset val="204"/>
        <scheme val="minor"/>
      </rPr>
      <t xml:space="preserve">       </t>
    </r>
    <r>
      <rPr>
        <sz val="18"/>
        <color theme="0"/>
        <rFont val="Calibri"/>
        <family val="2"/>
        <charset val="204"/>
        <scheme val="minor"/>
      </rPr>
      <t xml:space="preserve"> Период/срок/точка окупаемости инвестиций/капиталовложений</t>
    </r>
  </si>
  <si>
    <r>
      <t xml:space="preserve">PV </t>
    </r>
    <r>
      <rPr>
        <b/>
        <sz val="20"/>
        <color theme="0"/>
        <rFont val="Calibri"/>
        <family val="2"/>
        <charset val="204"/>
        <scheme val="minor"/>
      </rPr>
      <t>(Present Value)</t>
    </r>
    <r>
      <rPr>
        <b/>
        <sz val="24"/>
        <color theme="0"/>
        <rFont val="Calibri"/>
        <family val="2"/>
        <charset val="204"/>
        <scheme val="minor"/>
      </rPr>
      <t xml:space="preserve">,                               </t>
    </r>
    <r>
      <rPr>
        <sz val="24"/>
        <color theme="0"/>
        <rFont val="Calibri"/>
        <family val="2"/>
        <charset val="204"/>
        <scheme val="minor"/>
      </rPr>
      <t xml:space="preserve">              </t>
    </r>
    <r>
      <rPr>
        <sz val="18"/>
        <color theme="0"/>
        <rFont val="Calibri"/>
        <family val="2"/>
        <charset val="204"/>
        <scheme val="minor"/>
      </rPr>
      <t>Дисконтированная/приведенная стоимость</t>
    </r>
  </si>
  <si>
    <r>
      <t>FV</t>
    </r>
    <r>
      <rPr>
        <b/>
        <sz val="20"/>
        <color theme="0"/>
        <rFont val="Calibri"/>
        <family val="2"/>
        <charset val="204"/>
        <scheme val="minor"/>
      </rPr>
      <t xml:space="preserve"> (Future Value)</t>
    </r>
    <r>
      <rPr>
        <b/>
        <sz val="24"/>
        <color theme="0"/>
        <rFont val="Calibri"/>
        <family val="2"/>
        <charset val="204"/>
        <scheme val="minor"/>
      </rPr>
      <t>,</t>
    </r>
    <r>
      <rPr>
        <b/>
        <sz val="18"/>
        <color theme="0"/>
        <rFont val="Calibri"/>
        <family val="2"/>
        <charset val="204"/>
        <scheme val="minor"/>
      </rPr>
      <t xml:space="preserve">                                    </t>
    </r>
    <r>
      <rPr>
        <sz val="18"/>
        <color theme="0"/>
        <rFont val="Calibri"/>
        <family val="2"/>
        <charset val="204"/>
        <scheme val="minor"/>
      </rPr>
      <t xml:space="preserve">                           Будущая стоимость</t>
    </r>
  </si>
  <si>
    <r>
      <t xml:space="preserve">IRR </t>
    </r>
    <r>
      <rPr>
        <b/>
        <sz val="20"/>
        <color theme="0"/>
        <rFont val="Calibri"/>
        <family val="2"/>
        <charset val="204"/>
        <scheme val="minor"/>
      </rPr>
      <t>(Internal Rate of Return)</t>
    </r>
    <r>
      <rPr>
        <b/>
        <sz val="24"/>
        <color theme="0"/>
        <rFont val="Calibri"/>
        <family val="2"/>
        <charset val="204"/>
        <scheme val="minor"/>
      </rPr>
      <t xml:space="preserve">,               </t>
    </r>
    <r>
      <rPr>
        <sz val="24"/>
        <color theme="0"/>
        <rFont val="Calibri"/>
        <family val="2"/>
        <charset val="204"/>
        <scheme val="minor"/>
      </rPr>
      <t xml:space="preserve">             </t>
    </r>
    <r>
      <rPr>
        <sz val="18"/>
        <color theme="0"/>
        <rFont val="Calibri"/>
        <family val="2"/>
        <charset val="204"/>
        <scheme val="minor"/>
      </rPr>
      <t>Внутренняя норма доходности</t>
    </r>
  </si>
  <si>
    <r>
      <t xml:space="preserve">DPP </t>
    </r>
    <r>
      <rPr>
        <b/>
        <sz val="20"/>
        <color theme="0"/>
        <rFont val="Calibri"/>
        <family val="2"/>
        <charset val="204"/>
        <scheme val="minor"/>
      </rPr>
      <t xml:space="preserve">(Discounted Payback Period)                </t>
    </r>
    <r>
      <rPr>
        <sz val="20"/>
        <color theme="0"/>
        <rFont val="Calibri"/>
        <family val="2"/>
        <charset val="204"/>
        <scheme val="minor"/>
      </rPr>
      <t xml:space="preserve">              </t>
    </r>
    <r>
      <rPr>
        <sz val="18"/>
        <color theme="0"/>
        <rFont val="Calibri"/>
        <family val="2"/>
        <charset val="204"/>
        <scheme val="minor"/>
      </rPr>
      <t>Дисконтированный период окупаемости</t>
    </r>
  </si>
  <si>
    <r>
      <t xml:space="preserve">DPI </t>
    </r>
    <r>
      <rPr>
        <b/>
        <sz val="20"/>
        <color theme="0"/>
        <rFont val="Calibri"/>
        <family val="2"/>
        <charset val="204"/>
        <scheme val="minor"/>
      </rPr>
      <t xml:space="preserve">(Discounted Profitability Index)              </t>
    </r>
    <r>
      <rPr>
        <sz val="20"/>
        <color theme="0"/>
        <rFont val="Calibri"/>
        <family val="2"/>
        <charset val="204"/>
        <scheme val="minor"/>
      </rPr>
      <t xml:space="preserve">                                </t>
    </r>
    <r>
      <rPr>
        <sz val="18"/>
        <color theme="0"/>
        <rFont val="Calibri"/>
        <family val="2"/>
        <charset val="204"/>
        <scheme val="minor"/>
      </rPr>
      <t>Дисконтированный индекс доходности/рентабельности</t>
    </r>
  </si>
  <si>
    <r>
      <t xml:space="preserve">NRR </t>
    </r>
    <r>
      <rPr>
        <b/>
        <sz val="20"/>
        <color theme="0"/>
        <rFont val="Calibri"/>
        <family val="2"/>
        <charset val="204"/>
        <scheme val="minor"/>
      </rPr>
      <t>(Net Rate of Return)</t>
    </r>
    <r>
      <rPr>
        <b/>
        <sz val="24"/>
        <color theme="0"/>
        <rFont val="Calibri"/>
        <family val="2"/>
        <charset val="204"/>
        <scheme val="minor"/>
      </rPr>
      <t xml:space="preserve">, </t>
    </r>
    <r>
      <rPr>
        <sz val="18"/>
        <color theme="0"/>
        <rFont val="Calibri"/>
        <family val="2"/>
        <charset val="204"/>
        <scheme val="minor"/>
      </rPr>
      <t>Чистая/маржинальная норма доходности</t>
    </r>
  </si>
  <si>
    <r>
      <t xml:space="preserve">D </t>
    </r>
    <r>
      <rPr>
        <b/>
        <sz val="20"/>
        <color theme="0"/>
        <rFont val="Calibri"/>
        <family val="2"/>
        <charset val="204"/>
        <scheme val="minor"/>
      </rPr>
      <t xml:space="preserve">(Duration),              </t>
    </r>
    <r>
      <rPr>
        <sz val="20"/>
        <color theme="0"/>
        <rFont val="Calibri"/>
        <family val="2"/>
        <charset val="204"/>
        <scheme val="minor"/>
      </rPr>
      <t xml:space="preserve">                     </t>
    </r>
    <r>
      <rPr>
        <sz val="18"/>
        <color theme="0"/>
        <rFont val="Calibri"/>
        <family val="2"/>
        <charset val="204"/>
        <scheme val="minor"/>
      </rPr>
      <t>Дюрация</t>
    </r>
  </si>
  <si>
    <r>
      <t>MNPV</t>
    </r>
    <r>
      <rPr>
        <b/>
        <sz val="20"/>
        <color theme="0"/>
        <rFont val="Calibri"/>
        <family val="2"/>
        <charset val="204"/>
        <scheme val="minor"/>
      </rPr>
      <t xml:space="preserve"> (Modified Net Present Value),                     </t>
    </r>
    <r>
      <rPr>
        <sz val="20"/>
        <color theme="0"/>
        <rFont val="Calibri"/>
        <family val="2"/>
        <charset val="204"/>
        <scheme val="minor"/>
      </rPr>
      <t xml:space="preserve">                         </t>
    </r>
    <r>
      <rPr>
        <sz val="18"/>
        <color theme="0"/>
        <rFont val="Calibri"/>
        <family val="2"/>
        <charset val="204"/>
        <scheme val="minor"/>
      </rPr>
      <t>Модифицированная Чистая текущая стоимость</t>
    </r>
  </si>
  <si>
    <r>
      <t xml:space="preserve">MIRR </t>
    </r>
    <r>
      <rPr>
        <b/>
        <sz val="20"/>
        <color theme="0"/>
        <rFont val="Calibri"/>
        <family val="2"/>
        <charset val="204"/>
        <scheme val="minor"/>
      </rPr>
      <t xml:space="preserve">(Modified Internal Rate of Return),                </t>
    </r>
    <r>
      <rPr>
        <sz val="20"/>
        <color theme="0"/>
        <rFont val="Calibri"/>
        <family val="2"/>
        <charset val="204"/>
        <scheme val="minor"/>
      </rPr>
      <t xml:space="preserve">                               </t>
    </r>
    <r>
      <rPr>
        <sz val="18"/>
        <color theme="0"/>
        <rFont val="Calibri"/>
        <family val="2"/>
        <charset val="204"/>
        <scheme val="minor"/>
      </rPr>
      <t>Модифицированная Внутренняя норма доходности</t>
    </r>
  </si>
  <si>
    <r>
      <t>MNPV</t>
    </r>
    <r>
      <rPr>
        <b/>
        <sz val="20"/>
        <color theme="0"/>
        <rFont val="Calibri"/>
        <family val="2"/>
        <charset val="204"/>
        <scheme val="minor"/>
      </rPr>
      <t xml:space="preserve"> (Modified Net Present Value)                            </t>
    </r>
    <r>
      <rPr>
        <sz val="20"/>
        <color theme="0"/>
        <rFont val="Calibri"/>
        <family val="2"/>
        <charset val="204"/>
        <scheme val="minor"/>
      </rPr>
      <t xml:space="preserve">                  Модифицированная Чистая норма доходности</t>
    </r>
  </si>
  <si>
    <r>
      <t xml:space="preserve"> XIRR, </t>
    </r>
    <r>
      <rPr>
        <sz val="18"/>
        <color theme="0"/>
        <rFont val="Calibri"/>
        <family val="2"/>
        <charset val="204"/>
        <scheme val="minor"/>
      </rPr>
      <t>специальная функция для вычисления IRR для нерегулярных периодов</t>
    </r>
  </si>
  <si>
    <r>
      <t xml:space="preserve">XNPV, </t>
    </r>
    <r>
      <rPr>
        <sz val="18"/>
        <color theme="0"/>
        <rFont val="Calibri"/>
        <family val="2"/>
        <charset val="204"/>
        <scheme val="minor"/>
      </rPr>
      <t>специальная функция для вычисления NPV для нерегулярных периодов</t>
    </r>
  </si>
  <si>
    <r>
      <t>NFV</t>
    </r>
    <r>
      <rPr>
        <b/>
        <sz val="20"/>
        <color theme="0"/>
        <rFont val="Calibri"/>
        <family val="2"/>
        <charset val="204"/>
        <scheme val="minor"/>
      </rPr>
      <t xml:space="preserve"> (Net Future Value),       </t>
    </r>
    <r>
      <rPr>
        <sz val="20"/>
        <color theme="0"/>
        <rFont val="Calibri"/>
        <family val="2"/>
        <charset val="204"/>
        <scheme val="minor"/>
      </rPr>
      <t xml:space="preserve">       </t>
    </r>
    <r>
      <rPr>
        <sz val="18"/>
        <color theme="0"/>
        <rFont val="Calibri"/>
        <family val="2"/>
        <charset val="204"/>
        <scheme val="minor"/>
      </rPr>
      <t>Чистая будущая стоимость</t>
    </r>
  </si>
  <si>
    <r>
      <t>ANPV</t>
    </r>
    <r>
      <rPr>
        <b/>
        <sz val="20"/>
        <color theme="0"/>
        <rFont val="Calibri"/>
        <family val="2"/>
        <charset val="204"/>
        <scheme val="minor"/>
      </rPr>
      <t xml:space="preserve"> (Annualized Net Present Value)</t>
    </r>
    <r>
      <rPr>
        <b/>
        <sz val="24"/>
        <color theme="0"/>
        <rFont val="Calibri"/>
        <family val="2"/>
        <charset val="204"/>
        <scheme val="minor"/>
      </rPr>
      <t xml:space="preserve">,          </t>
    </r>
    <r>
      <rPr>
        <sz val="24"/>
        <color theme="0"/>
        <rFont val="Calibri"/>
        <family val="2"/>
        <charset val="204"/>
        <scheme val="minor"/>
      </rPr>
      <t xml:space="preserve">    </t>
    </r>
    <r>
      <rPr>
        <sz val="18"/>
        <color theme="0"/>
        <rFont val="Calibri"/>
        <family val="2"/>
        <charset val="204"/>
        <scheme val="minor"/>
      </rPr>
      <t>Эквивалентная ежегодная рента</t>
    </r>
  </si>
  <si>
    <r>
      <t xml:space="preserve">D </t>
    </r>
    <r>
      <rPr>
        <b/>
        <sz val="20"/>
        <color theme="0"/>
        <rFont val="Calibri"/>
        <family val="2"/>
        <charset val="204"/>
        <scheme val="minor"/>
      </rPr>
      <t>(Duration)</t>
    </r>
    <r>
      <rPr>
        <b/>
        <sz val="24"/>
        <color theme="0"/>
        <rFont val="Calibri"/>
        <family val="2"/>
        <charset val="204"/>
        <scheme val="minor"/>
      </rPr>
      <t xml:space="preserve">,                             </t>
    </r>
    <r>
      <rPr>
        <sz val="24"/>
        <color theme="0"/>
        <rFont val="Calibri"/>
        <family val="2"/>
        <charset val="204"/>
        <scheme val="minor"/>
      </rPr>
      <t xml:space="preserve">               </t>
    </r>
    <r>
      <rPr>
        <sz val="18"/>
        <color theme="0"/>
        <rFont val="Calibri"/>
        <family val="2"/>
        <charset val="204"/>
        <scheme val="minor"/>
      </rPr>
      <t>Дюрация</t>
    </r>
  </si>
  <si>
    <t>Собственный капитал (Equity)</t>
  </si>
  <si>
    <r>
      <t xml:space="preserve">Прямой платный долг </t>
    </r>
    <r>
      <rPr>
        <b/>
        <sz val="11"/>
        <color theme="1"/>
        <rFont val="Calibri"/>
        <family val="2"/>
        <charset val="204"/>
        <scheme val="minor"/>
      </rPr>
      <t xml:space="preserve">(среднегодовой) </t>
    </r>
    <r>
      <rPr>
        <b/>
        <sz val="14"/>
        <color theme="1"/>
        <rFont val="Calibri"/>
        <family val="2"/>
        <charset val="204"/>
        <scheme val="minor"/>
      </rPr>
      <t>(Debt)</t>
    </r>
  </si>
  <si>
    <r>
      <t>Капитал всего</t>
    </r>
    <r>
      <rPr>
        <sz val="14"/>
        <color theme="1"/>
        <rFont val="Calibri"/>
        <family val="2"/>
        <charset val="204"/>
        <scheme val="minor"/>
      </rPr>
      <t xml:space="preserve"> (Долг + Собственный капитал) </t>
    </r>
    <r>
      <rPr>
        <b/>
        <sz val="16"/>
        <color theme="1"/>
        <rFont val="Calibri"/>
        <family val="2"/>
        <charset val="204"/>
        <scheme val="minor"/>
      </rPr>
      <t>(Cap)</t>
    </r>
  </si>
  <si>
    <t>Доля Чистой прибыли, выплачиваемая в виде дивидендов</t>
  </si>
  <si>
    <t>Налог на прибыль</t>
  </si>
  <si>
    <r>
      <t xml:space="preserve">WACC (Weighted Average Cost of Capital), </t>
    </r>
    <r>
      <rPr>
        <sz val="14"/>
        <color theme="1"/>
        <rFont val="Calibri"/>
        <family val="2"/>
        <charset val="204"/>
        <scheme val="minor"/>
      </rPr>
      <t>Средневзвешенная стоимость капитала</t>
    </r>
  </si>
  <si>
    <t>Средняя за период</t>
  </si>
  <si>
    <r>
      <t>NPV</t>
    </r>
    <r>
      <rPr>
        <b/>
        <sz val="20"/>
        <color rgb="FFFFFF00"/>
        <rFont val="Calibri"/>
        <family val="2"/>
        <charset val="204"/>
        <scheme val="minor"/>
      </rPr>
      <t xml:space="preserve"> (Net Present Value)</t>
    </r>
    <r>
      <rPr>
        <b/>
        <sz val="24"/>
        <color rgb="FFFFFF00"/>
        <rFont val="Calibri"/>
        <family val="2"/>
        <charset val="204"/>
        <scheme val="minor"/>
      </rPr>
      <t xml:space="preserve">, </t>
    </r>
    <r>
      <rPr>
        <sz val="18"/>
        <color rgb="FFFFFF00"/>
        <rFont val="Calibri"/>
        <family val="2"/>
        <charset val="204"/>
        <scheme val="minor"/>
      </rPr>
      <t>Чистая приведенная (дисконтированная) стоимость</t>
    </r>
  </si>
  <si>
    <r>
      <t xml:space="preserve">IRR </t>
    </r>
    <r>
      <rPr>
        <b/>
        <sz val="20"/>
        <color rgb="FFFFFF00"/>
        <rFont val="Calibri"/>
        <family val="2"/>
        <charset val="204"/>
        <scheme val="minor"/>
      </rPr>
      <t>(Internal Rate of Return)</t>
    </r>
    <r>
      <rPr>
        <b/>
        <sz val="24"/>
        <color rgb="FFFFFF00"/>
        <rFont val="Calibri"/>
        <family val="2"/>
        <charset val="204"/>
        <scheme val="minor"/>
      </rPr>
      <t xml:space="preserve">,               </t>
    </r>
    <r>
      <rPr>
        <sz val="24"/>
        <color rgb="FFFFFF00"/>
        <rFont val="Calibri"/>
        <family val="2"/>
        <charset val="204"/>
        <scheme val="minor"/>
      </rPr>
      <t xml:space="preserve">             </t>
    </r>
    <r>
      <rPr>
        <sz val="18"/>
        <color rgb="FFFFFF00"/>
        <rFont val="Calibri"/>
        <family val="2"/>
        <charset val="204"/>
        <scheme val="minor"/>
      </rPr>
      <t>Внутренняя норма доходности</t>
    </r>
  </si>
  <si>
    <r>
      <t xml:space="preserve">DPP </t>
    </r>
    <r>
      <rPr>
        <b/>
        <sz val="20"/>
        <color rgb="FFFFFF00"/>
        <rFont val="Calibri"/>
        <family val="2"/>
        <charset val="204"/>
        <scheme val="minor"/>
      </rPr>
      <t xml:space="preserve">(Discounted Payback Period)                </t>
    </r>
    <r>
      <rPr>
        <sz val="20"/>
        <color rgb="FFFFFF00"/>
        <rFont val="Calibri"/>
        <family val="2"/>
        <charset val="204"/>
        <scheme val="minor"/>
      </rPr>
      <t xml:space="preserve">              </t>
    </r>
    <r>
      <rPr>
        <sz val="18"/>
        <color rgb="FFFFFF00"/>
        <rFont val="Calibri"/>
        <family val="2"/>
        <charset val="204"/>
        <scheme val="minor"/>
      </rPr>
      <t>Дисконтированный период окупаемости</t>
    </r>
  </si>
  <si>
    <r>
      <t>MNPV</t>
    </r>
    <r>
      <rPr>
        <b/>
        <sz val="20"/>
        <color rgb="FFFFFF00"/>
        <rFont val="Calibri"/>
        <family val="2"/>
        <charset val="204"/>
        <scheme val="minor"/>
      </rPr>
      <t xml:space="preserve"> (Modified Net Present Value),                     </t>
    </r>
    <r>
      <rPr>
        <sz val="20"/>
        <color rgb="FFFFFF00"/>
        <rFont val="Calibri"/>
        <family val="2"/>
        <charset val="204"/>
        <scheme val="minor"/>
      </rPr>
      <t xml:space="preserve">                         </t>
    </r>
    <r>
      <rPr>
        <sz val="18"/>
        <color rgb="FFFFFF00"/>
        <rFont val="Calibri"/>
        <family val="2"/>
        <charset val="204"/>
        <scheme val="minor"/>
      </rPr>
      <t>Модифицированная Чистая текущая стоимость</t>
    </r>
  </si>
  <si>
    <r>
      <t xml:space="preserve">MIRR </t>
    </r>
    <r>
      <rPr>
        <b/>
        <sz val="20"/>
        <color rgb="FFFFFF00"/>
        <rFont val="Calibri"/>
        <family val="2"/>
        <charset val="204"/>
        <scheme val="minor"/>
      </rPr>
      <t xml:space="preserve">(Modified Internal Rate of Return),                </t>
    </r>
    <r>
      <rPr>
        <sz val="20"/>
        <color rgb="FFFFFF00"/>
        <rFont val="Calibri"/>
        <family val="2"/>
        <charset val="204"/>
        <scheme val="minor"/>
      </rPr>
      <t xml:space="preserve">                               </t>
    </r>
    <r>
      <rPr>
        <sz val="18"/>
        <color rgb="FFFFFF00"/>
        <rFont val="Calibri"/>
        <family val="2"/>
        <charset val="204"/>
        <scheme val="minor"/>
      </rPr>
      <t>Модифицированная Внутренняя норма доходности</t>
    </r>
  </si>
  <si>
    <r>
      <rPr>
        <b/>
        <sz val="20"/>
        <color rgb="FFFFFF00"/>
        <rFont val="Calibri"/>
        <family val="2"/>
        <charset val="204"/>
        <scheme val="minor"/>
      </rPr>
      <t xml:space="preserve">Ключевые критерии </t>
    </r>
    <r>
      <rPr>
        <sz val="14"/>
        <color rgb="FFFFFF00"/>
        <rFont val="Calibri"/>
        <family val="2"/>
        <charset val="204"/>
        <scheme val="minor"/>
      </rPr>
      <t xml:space="preserve">экономической эффективности при </t>
    </r>
    <r>
      <rPr>
        <b/>
        <sz val="18"/>
        <color rgb="FFFFFF00"/>
        <rFont val="Calibri"/>
        <family val="2"/>
        <charset val="204"/>
        <scheme val="minor"/>
      </rPr>
      <t>варьирующемся</t>
    </r>
    <r>
      <rPr>
        <sz val="14"/>
        <color rgb="FFFFFF00"/>
        <rFont val="Calibri"/>
        <family val="2"/>
        <charset val="204"/>
        <scheme val="minor"/>
      </rPr>
      <t xml:space="preserve"> WACC в качестве ставки дисконтирования</t>
    </r>
  </si>
  <si>
    <r>
      <rPr>
        <b/>
        <sz val="20"/>
        <color rgb="FFFFFF00"/>
        <rFont val="Calibri"/>
        <family val="2"/>
        <charset val="204"/>
        <scheme val="minor"/>
      </rPr>
      <t xml:space="preserve">Ключевые критерии </t>
    </r>
    <r>
      <rPr>
        <sz val="14"/>
        <color rgb="FFFFFF00"/>
        <rFont val="Calibri"/>
        <family val="2"/>
        <charset val="204"/>
        <scheme val="minor"/>
      </rPr>
      <t xml:space="preserve">экономической эффективности при </t>
    </r>
    <r>
      <rPr>
        <b/>
        <sz val="18"/>
        <color rgb="FFFFFF00"/>
        <rFont val="Calibri"/>
        <family val="2"/>
        <charset val="204"/>
        <scheme val="minor"/>
      </rPr>
      <t>постоянном</t>
    </r>
    <r>
      <rPr>
        <sz val="14"/>
        <color rgb="FFFFFF00"/>
        <rFont val="Calibri"/>
        <family val="2"/>
        <charset val="204"/>
        <scheme val="minor"/>
      </rPr>
      <t xml:space="preserve"> WACC в качестве ставки дисконтирования</t>
    </r>
  </si>
  <si>
    <t>Дисконт-фактор</t>
  </si>
  <si>
    <r>
      <t xml:space="preserve">IRR (Internal Rate of Return),                                </t>
    </r>
    <r>
      <rPr>
        <sz val="14"/>
        <color theme="1"/>
        <rFont val="Calibri"/>
        <family val="2"/>
        <charset val="204"/>
        <scheme val="minor"/>
      </rPr>
      <t>Внутренняя норма доходности</t>
    </r>
    <r>
      <rPr>
        <b/>
        <sz val="14"/>
        <color theme="1"/>
        <rFont val="Calibri"/>
        <family val="2"/>
        <charset val="204"/>
        <scheme val="minor"/>
      </rPr>
      <t>,</t>
    </r>
    <r>
      <rPr>
        <i/>
        <sz val="12"/>
        <color theme="1"/>
        <rFont val="Calibri"/>
        <family val="2"/>
        <charset val="204"/>
        <scheme val="minor"/>
      </rPr>
      <t xml:space="preserve"> вычисленная с помощью формулы Excel</t>
    </r>
  </si>
  <si>
    <r>
      <t xml:space="preserve">DPP (Discounted Payback Period). </t>
    </r>
    <r>
      <rPr>
        <i/>
        <sz val="11"/>
        <color theme="1"/>
        <rFont val="Calibri"/>
        <family val="2"/>
        <charset val="204"/>
        <scheme val="minor"/>
      </rPr>
      <t>Доходы поступают равномерно внутри года</t>
    </r>
  </si>
  <si>
    <t>Ставка реинвестирования</t>
  </si>
  <si>
    <t>Дисконтированная сумма ПОЗИТИВНЫХ денежных потоков</t>
  </si>
  <si>
    <t>Ставка дисконтирования = Ставка реинвестирования</t>
  </si>
  <si>
    <t>Фактор реинвестирования</t>
  </si>
  <si>
    <r>
      <t>CF (Cash Flow),</t>
    </r>
    <r>
      <rPr>
        <sz val="14"/>
        <color theme="1"/>
        <rFont val="Calibri"/>
        <family val="2"/>
        <charset val="204"/>
        <scheme val="minor"/>
      </rPr>
      <t xml:space="preserve"> прямой недисконтированный денежный поток</t>
    </r>
  </si>
  <si>
    <r>
      <t xml:space="preserve">Оценка компании, </t>
    </r>
    <r>
      <rPr>
        <sz val="18"/>
        <color theme="0"/>
        <rFont val="Calibri"/>
        <family val="2"/>
        <charset val="204"/>
        <scheme val="minor"/>
      </rPr>
      <t>основанная на WACC в качестве ставки дисконтирования</t>
    </r>
  </si>
  <si>
    <t>Дисконт-фактор (специальная ставка)</t>
  </si>
  <si>
    <r>
      <t>Дисконтированный Cash Flow</t>
    </r>
    <r>
      <rPr>
        <b/>
        <sz val="11"/>
        <color theme="1"/>
        <rFont val="Calibri"/>
        <family val="2"/>
        <charset val="204"/>
        <scheme val="minor"/>
      </rPr>
      <t xml:space="preserve"> (специальная ставка)</t>
    </r>
  </si>
  <si>
    <t>Стоимость компании</t>
  </si>
  <si>
    <r>
      <t>Критерии экономической эффективности</t>
    </r>
    <r>
      <rPr>
        <b/>
        <sz val="18"/>
        <color theme="1"/>
        <rFont val="Calibri"/>
        <family val="2"/>
        <charset val="204"/>
        <scheme val="minor"/>
      </rPr>
      <t xml:space="preserve"> (уточненный денежный поток (Adjusted cash flow))</t>
    </r>
  </si>
  <si>
    <t>Предшествующие вычисления</t>
  </si>
  <si>
    <r>
      <t xml:space="preserve">Fixed assets,                           </t>
    </r>
    <r>
      <rPr>
        <sz val="18"/>
        <color theme="0"/>
        <rFont val="Calibri"/>
        <family val="2"/>
        <charset val="204"/>
        <scheme val="minor"/>
      </rPr>
      <t>Основные средства</t>
    </r>
  </si>
  <si>
    <t>Группа 1. Здания и сооружения</t>
  </si>
  <si>
    <t>Группа 3. Нематериальные активы (Intangible assets)</t>
  </si>
  <si>
    <t>Группа 4. Оборудование 2 класс</t>
  </si>
  <si>
    <t>Группа 2. Оборудование 1 класс</t>
  </si>
  <si>
    <t>Принцип начисления амортизации</t>
  </si>
  <si>
    <t>Линейный (Straight-line)</t>
  </si>
  <si>
    <t>Наиболее нетральный и консервативный метод</t>
  </si>
  <si>
    <r>
      <t xml:space="preserve">Амортизированная стоимость </t>
    </r>
    <r>
      <rPr>
        <sz val="8"/>
        <color theme="1"/>
        <rFont val="Calibri"/>
        <family val="2"/>
        <charset val="204"/>
        <scheme val="minor"/>
      </rPr>
      <t>(USD, thous)</t>
    </r>
  </si>
  <si>
    <r>
      <t xml:space="preserve">Ожидаемый срок полезного использования </t>
    </r>
    <r>
      <rPr>
        <sz val="8"/>
        <color theme="1"/>
        <rFont val="Calibri"/>
        <family val="2"/>
        <charset val="204"/>
        <scheme val="minor"/>
      </rPr>
      <t>(в годах)</t>
    </r>
  </si>
  <si>
    <r>
      <t xml:space="preserve">Остаточная стоимость (Salvage (Residual) Value), </t>
    </r>
    <r>
      <rPr>
        <sz val="8"/>
        <color theme="1"/>
        <rFont val="Calibri"/>
        <family val="2"/>
        <charset val="204"/>
        <scheme val="minor"/>
      </rPr>
      <t>(USD, thous.)</t>
    </r>
  </si>
  <si>
    <r>
      <t xml:space="preserve">Год ввода в эксплуатацию </t>
    </r>
    <r>
      <rPr>
        <sz val="8"/>
        <color theme="1"/>
        <rFont val="Calibri"/>
        <family val="2"/>
        <charset val="204"/>
        <scheme val="minor"/>
      </rPr>
      <t>(Здесь: всегда - в начале года)</t>
    </r>
  </si>
  <si>
    <r>
      <t xml:space="preserve">Амортизируемая стоимость </t>
    </r>
    <r>
      <rPr>
        <sz val="8"/>
        <color theme="1"/>
        <rFont val="Calibri"/>
        <family val="2"/>
        <charset val="204"/>
        <scheme val="minor"/>
      </rPr>
      <t>(USD, thous)</t>
    </r>
  </si>
  <si>
    <r>
      <t xml:space="preserve">Норма амортизации ежегодная </t>
    </r>
    <r>
      <rPr>
        <sz val="8"/>
        <color theme="1"/>
        <rFont val="Calibri"/>
        <family val="2"/>
        <charset val="204"/>
        <scheme val="minor"/>
      </rPr>
      <t>(%)</t>
    </r>
  </si>
  <si>
    <r>
      <t>Ежегодные амортизационные отчисления</t>
    </r>
    <r>
      <rPr>
        <sz val="8"/>
        <color theme="1"/>
        <rFont val="Calibri"/>
        <family val="2"/>
        <charset val="204"/>
        <scheme val="minor"/>
      </rPr>
      <t xml:space="preserve"> (USD, thous)</t>
    </r>
  </si>
  <si>
    <t>Ставка амортизации для конкретного периода</t>
  </si>
  <si>
    <t>Менее агрессивный метод, чем Метод уменьшающегося баланса (Declining-Balance)</t>
  </si>
  <si>
    <t>Более агрессивный метод, чем Линейный метод (Straight-line)</t>
  </si>
  <si>
    <t>Уменьшающегося баланса (Declining balance)</t>
  </si>
  <si>
    <t>Суммы лет (Sum-of-year-digits)</t>
  </si>
  <si>
    <t>Произведенной продукции (Units-of-production)</t>
  </si>
  <si>
    <t>Агрессивность данного метода основана на определении ожидаемого объема выпуска: чем меньше данный объем, тем выше амортизационные отчисления</t>
  </si>
  <si>
    <r>
      <t xml:space="preserve">Ожидемый срок полезного использования </t>
    </r>
    <r>
      <rPr>
        <sz val="8"/>
        <color theme="1"/>
        <rFont val="Calibri"/>
        <family val="2"/>
        <charset val="204"/>
        <scheme val="minor"/>
      </rPr>
      <t>(в единицах производимой продукции)</t>
    </r>
  </si>
  <si>
    <r>
      <t>Реально произведенный объем продукции</t>
    </r>
    <r>
      <rPr>
        <sz val="8"/>
        <color theme="1"/>
        <rFont val="Calibri"/>
        <family val="2"/>
        <charset val="204"/>
        <scheme val="minor"/>
      </rPr>
      <t xml:space="preserve"> (единиц производимой продукции)</t>
    </r>
  </si>
  <si>
    <t>Кумулятивный объем произведенной продукции</t>
  </si>
  <si>
    <t>Итоговая амортизация</t>
  </si>
  <si>
    <t>Итоговая амортизированная стоимость всех основных средств</t>
  </si>
  <si>
    <t>включая:</t>
  </si>
  <si>
    <t>Группа 3. Нематериальные активы</t>
  </si>
  <si>
    <t>Амортизационные отчисления</t>
  </si>
  <si>
    <t>Оборотные активы/Текущие обязательства</t>
  </si>
  <si>
    <r>
      <t xml:space="preserve">Произведенная продукция, </t>
    </r>
    <r>
      <rPr>
        <sz val="8"/>
        <color theme="1"/>
        <rFont val="Calibri"/>
        <family val="2"/>
        <charset val="204"/>
        <scheme val="minor"/>
      </rPr>
      <t>(единиц)</t>
    </r>
  </si>
  <si>
    <r>
      <t xml:space="preserve">Усредненный производственный цикл, </t>
    </r>
    <r>
      <rPr>
        <sz val="8"/>
        <color theme="1"/>
        <rFont val="Calibri"/>
        <family val="2"/>
        <charset val="204"/>
        <scheme val="minor"/>
      </rPr>
      <t>(дней/365)</t>
    </r>
  </si>
  <si>
    <r>
      <t xml:space="preserve">Среднемесячный объем запасов произведенной продукции на складе, </t>
    </r>
    <r>
      <rPr>
        <sz val="8"/>
        <color theme="1"/>
        <rFont val="Calibri"/>
        <family val="2"/>
        <charset val="204"/>
        <scheme val="minor"/>
      </rPr>
      <t>(единиц)</t>
    </r>
  </si>
  <si>
    <r>
      <t xml:space="preserve">Earnings before interest, tax and depreciation (EBITDA)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      Чистый доход до уплаты процентов, налогов и амортизации</t>
    </r>
  </si>
  <si>
    <r>
      <t xml:space="preserve">Earnings before interest &amp; tax (EBIT)                      </t>
    </r>
    <r>
      <rPr>
        <sz val="12"/>
        <color theme="1"/>
        <rFont val="Calibri"/>
        <family val="2"/>
        <charset val="204"/>
        <scheme val="minor"/>
      </rPr>
      <t xml:space="preserve">      Чистый доход до уплаты процентов и налогов</t>
    </r>
  </si>
  <si>
    <r>
      <t xml:space="preserve">Себестоимость 1 единицы продукции, переменная + постоянная </t>
    </r>
    <r>
      <rPr>
        <sz val="8"/>
        <color theme="1"/>
        <rFont val="Calibri"/>
        <family val="2"/>
        <charset val="204"/>
        <scheme val="minor"/>
      </rPr>
      <t>(USD/единица продукции)</t>
    </r>
  </si>
  <si>
    <r>
      <t xml:space="preserve">Среднемесячный объем запасов произведенной продукции на складе, </t>
    </r>
    <r>
      <rPr>
        <sz val="8"/>
        <color theme="1"/>
        <rFont val="Calibri"/>
        <family val="2"/>
        <charset val="204"/>
        <scheme val="minor"/>
      </rPr>
      <t>(USD)</t>
    </r>
  </si>
  <si>
    <r>
      <t xml:space="preserve">Net profit (Earnings) for the period                   </t>
    </r>
    <r>
      <rPr>
        <sz val="12"/>
        <color theme="1"/>
        <rFont val="Calibri"/>
        <family val="2"/>
        <charset val="204"/>
        <scheme val="minor"/>
      </rPr>
      <t xml:space="preserve">           Чистая прибыль периода</t>
    </r>
  </si>
  <si>
    <t>Запасы (Inventories)</t>
  </si>
  <si>
    <t>Авансы уплаченные (Advances paid)</t>
  </si>
  <si>
    <r>
      <t xml:space="preserve">Ежемесячная потребность в закупаемых материалах,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</si>
  <si>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Ежемесячно уплачиваемые авансы на закупку используемых материалов, </t>
    </r>
    <r>
      <rPr>
        <sz val="8"/>
        <color theme="1"/>
        <rFont val="Calibri"/>
        <family val="2"/>
        <charset val="204"/>
        <scheme val="minor"/>
      </rPr>
      <t>(USD thous.)</t>
    </r>
  </si>
  <si>
    <t>1 месяц</t>
  </si>
  <si>
    <t>Дебиторская задолженность (Accounts receivable)</t>
  </si>
  <si>
    <t>Кредиторская задолженность (Accounts payable)</t>
  </si>
  <si>
    <r>
      <t xml:space="preserve">Выручка по годам,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</si>
  <si>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Ежемесячная доля продаж на условиях Деньги-против документов (Cash-against-documents basis),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</si>
  <si>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Ежемесячная доля продаж на условиях 60-дневной отсрочки платежа (Open account),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</si>
  <si>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Ежемесячная доля продаж на условиях последующей оплаты в течение 30 дней,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</si>
  <si>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Дебиторская задолженность по 60-дневной отсрочке,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</si>
  <si>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Дебиторская задолженность по 30-дневной отсрочке,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</si>
  <si>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Общая сумма средней дебиторской задолженности внутри периода, </t>
    </r>
    <r>
      <rPr>
        <b/>
        <i/>
        <sz val="8"/>
        <color theme="1"/>
        <rFont val="Calibri"/>
        <family val="2"/>
        <charset val="204"/>
        <scheme val="minor"/>
      </rPr>
      <t>(USD thous.)</t>
    </r>
  </si>
  <si>
    <t>1-месячный оборот или 1/12 ежегодного оборота дебиторской задолженности</t>
  </si>
  <si>
    <t>3-месячный оборот или 1/4 ежегодного оборота дебиторской задолженности</t>
  </si>
  <si>
    <t>Дебиторская задолженность не появляется в балансе</t>
  </si>
  <si>
    <t>Авансы, полученные от покупателей</t>
  </si>
  <si>
    <r>
      <t xml:space="preserve">Доля продаж на условиях 30-дневной предоплаты,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</si>
  <si>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Кредиторская задолженность (авансы полученные),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</si>
  <si>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Заработная плата работников (70% от общей суммы постоянных расходов),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</si>
  <si>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Эксплуатационные расходы (30% от общей суммы постоянных расходов),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</si>
  <si>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Кредиторская задолженность по заработной плате,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</si>
  <si>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Кредиторская задолженность по эксплуатационным расходам,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</si>
  <si>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Общая сумма средней кредиторской задолженности внутри периода, </t>
    </r>
    <r>
      <rPr>
        <b/>
        <i/>
        <sz val="8"/>
        <color theme="1"/>
        <rFont val="Calibri"/>
        <family val="2"/>
        <charset val="204"/>
        <scheme val="minor"/>
      </rPr>
      <t>(USD thous.)</t>
    </r>
  </si>
  <si>
    <r>
      <t xml:space="preserve">Рабочий (оборотный) капитал </t>
    </r>
    <r>
      <rPr>
        <sz val="18"/>
        <color theme="0"/>
        <rFont val="Calibri"/>
        <family val="2"/>
        <charset val="204"/>
        <scheme val="minor"/>
      </rPr>
      <t>(Working capital)</t>
    </r>
  </si>
  <si>
    <r>
      <t xml:space="preserve">Запасы, </t>
    </r>
    <r>
      <rPr>
        <sz val="8"/>
        <color theme="1"/>
        <rFont val="Calibri"/>
        <family val="2"/>
        <charset val="204"/>
        <scheme val="minor"/>
      </rPr>
      <t>(USD thous.)</t>
    </r>
  </si>
  <si>
    <t>Готовая продукция (Goods for Resale)</t>
  </si>
  <si>
    <r>
      <t xml:space="preserve">Готовая продукция,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</si>
  <si>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Авансы уплаченные,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</si>
  <si>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Дебиторская задолженность,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</si>
  <si>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Кредиторская задолженность,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</si>
  <si>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>Чистый рабочий капитал всего</t>
    </r>
    <r>
      <rPr>
        <sz val="14"/>
        <color theme="0"/>
        <rFont val="Calibri"/>
        <family val="2"/>
        <charset val="204"/>
        <scheme val="minor"/>
      </rPr>
      <t xml:space="preserve"> (Net Working Capital)</t>
    </r>
  </si>
  <si>
    <r>
      <t xml:space="preserve">Изменения в Чистом рабочем капитале, </t>
    </r>
    <r>
      <rPr>
        <b/>
        <i/>
        <sz val="8"/>
        <color theme="1"/>
        <rFont val="Calibri"/>
        <family val="2"/>
        <charset val="204"/>
        <scheme val="minor"/>
      </rPr>
      <t>(USD thous.)</t>
    </r>
  </si>
  <si>
    <r>
      <t>Движение денежных средств</t>
    </r>
    <r>
      <rPr>
        <sz val="18"/>
        <color theme="0"/>
        <rFont val="Calibri"/>
        <family val="2"/>
        <charset val="204"/>
        <scheme val="minor"/>
      </rPr>
      <t xml:space="preserve"> (Cash Flow)</t>
    </r>
  </si>
  <si>
    <t>Изначально исчисленный денежный поток</t>
  </si>
  <si>
    <t>Уточненный денежный поток</t>
  </si>
  <si>
    <r>
      <rPr>
        <b/>
        <sz val="20"/>
        <color theme="1"/>
        <rFont val="Calibri"/>
        <family val="2"/>
        <charset val="204"/>
        <scheme val="minor"/>
      </rPr>
      <t>Баланс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на 31 декабря, Y5</t>
    </r>
  </si>
  <si>
    <t>АКТИВЫ</t>
  </si>
  <si>
    <t>Внеоборотные активы</t>
  </si>
  <si>
    <t xml:space="preserve">    включая:</t>
  </si>
  <si>
    <t>Здания, сооружения и оборудование</t>
  </si>
  <si>
    <t>Нематериальные активы</t>
  </si>
  <si>
    <t>Прочие внеоборотные активы</t>
  </si>
  <si>
    <t>Оборотные активы</t>
  </si>
  <si>
    <t>Запасы</t>
  </si>
  <si>
    <t>Готовая продукция</t>
  </si>
  <si>
    <t>Дебиторская задолженность</t>
  </si>
  <si>
    <t>Авансы уплаченные</t>
  </si>
  <si>
    <t>Денежные средства и их эквиваленты</t>
  </si>
  <si>
    <t>Прочие оборотные активы</t>
  </si>
  <si>
    <t>АКТИВЫ ВСЕГО</t>
  </si>
  <si>
    <t>ПАССИВЫ</t>
  </si>
  <si>
    <t>Капитал компании</t>
  </si>
  <si>
    <t>Краткосрочные обязательства</t>
  </si>
  <si>
    <t>Долгосрочные обязательства</t>
  </si>
  <si>
    <t>Краткосрочные займы</t>
  </si>
  <si>
    <t>Краткосрочный лизинг</t>
  </si>
  <si>
    <t>Кредиторская задолженность</t>
  </si>
  <si>
    <t>Прочие краткосрочные обязательства</t>
  </si>
  <si>
    <t>Прочие долгосрочные обязательства</t>
  </si>
  <si>
    <t>Долгосрочные займы</t>
  </si>
  <si>
    <t>Долгосрочный лизинг</t>
  </si>
  <si>
    <t>Уставный капитал</t>
  </si>
  <si>
    <t>Созданные резервы</t>
  </si>
  <si>
    <t>Нераспределенная прибыль прошлых лет</t>
  </si>
  <si>
    <t>Нераспределенная прибыль текущего года</t>
  </si>
  <si>
    <t>ПАССИВЫ ВСЕГО</t>
  </si>
  <si>
    <t>Предположения к балансу</t>
  </si>
  <si>
    <t>Переменные расходы полностью относятся к закупаемым материалам</t>
  </si>
  <si>
    <t>Неснижаемый запас материалов достаточен для производства 1-месячного объема продукции</t>
  </si>
  <si>
    <t>Уплаченные авансы покрывают 2-месячную потребность производства в материалах</t>
  </si>
  <si>
    <t>Продажи готовой продукции в рассрочку осуществляются в 30% случаев. Фактическая отсрочка платежа покупателя - 90 дней.</t>
  </si>
  <si>
    <t>20% продаж осуществляются на базисе "Деньги против документов"</t>
  </si>
  <si>
    <t>30% продаж фактически оплачиваются в течение 30 дней с момента отгрузки</t>
  </si>
  <si>
    <t>20% продаж предоплачиваются авансами покупателей на срок до 30 дней до момента отгрузки</t>
  </si>
  <si>
    <t>Заработная плата составляет 70% от общего объема постоянных расходов</t>
  </si>
  <si>
    <t>Эксплуатационные расходы составляют 30% от общего объема постоянных расходов</t>
  </si>
  <si>
    <t>Заработная плата выплачивается 15 числа каждого месяца</t>
  </si>
  <si>
    <t>Эксплуатационные расходы оплачиваются в течение 20 дней по окончании каждого месяца</t>
  </si>
  <si>
    <r>
      <t>Критерии экономической эффективности</t>
    </r>
    <r>
      <rPr>
        <sz val="18"/>
        <color theme="0"/>
        <rFont val="Calibri"/>
        <family val="2"/>
        <charset val="204"/>
        <scheme val="minor"/>
      </rPr>
      <t xml:space="preserve"> (уточненный денежный поток)</t>
    </r>
  </si>
  <si>
    <t>рассчитан с применением WACC в качестве ставки дисконтирования</t>
  </si>
  <si>
    <t>Уточненный Cash Flow</t>
  </si>
  <si>
    <t>Кумулятивный DCF (нарастающим итогом)</t>
  </si>
  <si>
    <t xml:space="preserve">Реинвестированные позитивные денежные потоки </t>
  </si>
  <si>
    <t>Дисконтированная инвестиция (все негативные денежные потоки)</t>
  </si>
  <si>
    <t xml:space="preserve">Дисконтированные Реинвестированные позитивные денежные потоки </t>
  </si>
  <si>
    <r>
      <t>AAR</t>
    </r>
    <r>
      <rPr>
        <b/>
        <sz val="20"/>
        <color theme="0"/>
        <rFont val="Calibri"/>
        <family val="2"/>
        <charset val="204"/>
        <scheme val="minor"/>
      </rPr>
      <t xml:space="preserve"> (Average Accounting Rate of Return)</t>
    </r>
    <r>
      <rPr>
        <b/>
        <sz val="22"/>
        <color theme="0"/>
        <rFont val="Calibri"/>
        <family val="2"/>
        <charset val="204"/>
        <scheme val="minor"/>
      </rPr>
      <t xml:space="preserve">, </t>
    </r>
    <r>
      <rPr>
        <sz val="18"/>
        <color theme="0"/>
        <rFont val="Calibri"/>
        <family val="2"/>
        <charset val="204"/>
        <scheme val="minor"/>
      </rPr>
      <t>Учетная/Бухгалтерская норма доходности</t>
    </r>
  </si>
  <si>
    <t>Среднее за период</t>
  </si>
  <si>
    <t>Общая стоимость приобретенных основных средств (Амортизированная)</t>
  </si>
  <si>
    <t>Средняя чистая прибыль за период</t>
  </si>
  <si>
    <r>
      <t xml:space="preserve">AAR (Average Accounting Rate of Return), </t>
    </r>
    <r>
      <rPr>
        <sz val="16"/>
        <color theme="1"/>
        <rFont val="Calibri"/>
        <family val="2"/>
        <charset val="204"/>
        <scheme val="minor"/>
      </rPr>
      <t>Учетная/Бухгалтерская норма доходности</t>
    </r>
  </si>
  <si>
    <r>
      <t xml:space="preserve">Коэффициент покрытия долга, </t>
    </r>
    <r>
      <rPr>
        <sz val="18"/>
        <color theme="0"/>
        <rFont val="Calibri"/>
        <family val="2"/>
        <charset val="204"/>
        <scheme val="minor"/>
      </rPr>
      <t>Debt Service Coverage Ratio (DSCR)</t>
    </r>
  </si>
  <si>
    <t>Суммарные обязательства по погашению долга (проценты + погашения основного долга в данном периоде)</t>
  </si>
  <si>
    <r>
      <t xml:space="preserve">Коэффициент покрытия долга, </t>
    </r>
    <r>
      <rPr>
        <sz val="16"/>
        <color theme="1"/>
        <rFont val="Calibri"/>
        <family val="2"/>
        <charset val="204"/>
        <scheme val="minor"/>
      </rPr>
      <t>Debt Service Coverage Ratio (DSCR)</t>
    </r>
  </si>
  <si>
    <t>Средняя себестоимость</t>
  </si>
  <si>
    <t>Ежегодные амортизационные отчисления по методу Уменьшающегося баланса = Удвоенная норма амортизации, применяемая при Линейном методе, примененная к амортизированной стоимости основных средств на начало периода. Амортизационные отчисления последнего года полезного использования = разница между амортизированной стоимостью на конец предпоследнего года полезного использования и остаточной стоимостью.</t>
  </si>
  <si>
    <t>Вычисленная сумма амортизации последнего года для достижения Остаточной стоимости</t>
  </si>
  <si>
    <t xml:space="preserve">Для пересчета Нормы амортизации по Методу Уменьшающегося баланса в Норму амортизации по Линейному методу: </t>
  </si>
  <si>
    <t>Пересчитанный на Линейный метод размер ежегодной амортизации</t>
  </si>
  <si>
    <t>Специальные формулы</t>
  </si>
  <si>
    <t>Критерии эффективности в денежном выражении</t>
  </si>
  <si>
    <t>Критерии эффективности в процентном выражении</t>
  </si>
  <si>
    <t>Критерии эффективности во временном выражении</t>
  </si>
  <si>
    <r>
      <rPr>
        <b/>
        <sz val="12"/>
        <color theme="1"/>
        <rFont val="Calibri"/>
        <family val="2"/>
        <charset val="204"/>
        <scheme val="minor"/>
      </rPr>
      <t>DPI</t>
    </r>
    <r>
      <rPr>
        <sz val="11"/>
        <color theme="1"/>
        <rFont val="Calibri"/>
        <family val="2"/>
        <charset val="204"/>
        <scheme val="minor"/>
      </rPr>
      <t xml:space="preserve"> с плавающими ставками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</si>
  <si>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DPP</t>
    </r>
    <r>
      <rPr>
        <sz val="11"/>
        <color theme="1"/>
        <rFont val="Calibri"/>
        <family val="2"/>
        <charset val="204"/>
        <scheme val="minor"/>
      </rPr>
      <t xml:space="preserve"> с плавающими ставками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</si>
  <si>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Duration</t>
    </r>
    <r>
      <rPr>
        <sz val="11"/>
        <color theme="1"/>
        <rFont val="Calibri"/>
        <family val="2"/>
        <charset val="204"/>
        <scheme val="minor"/>
      </rPr>
      <t xml:space="preserve"> с плавающими ставками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</si>
  <si>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 val="double"/>
        <sz val="11"/>
        <color theme="1"/>
        <rFont val="Calibri"/>
        <family val="2"/>
        <charset val="204"/>
        <scheme val="minor"/>
      </rPr>
      <t>Ставка дисконта</t>
    </r>
    <r>
      <rPr>
        <sz val="11"/>
        <color theme="1"/>
        <rFont val="Calibri"/>
        <family val="2"/>
        <charset val="204"/>
        <scheme val="minor"/>
      </rPr>
      <t xml:space="preserve"> (с плавающими ставками дисконтирования и реинвестирования)</t>
    </r>
  </si>
  <si>
    <r>
      <rPr>
        <b/>
        <sz val="12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 xml:space="preserve"> (с плавающими ставками дисконтирования и реинвестирования)</t>
    </r>
  </si>
  <si>
    <r>
      <rPr>
        <b/>
        <sz val="12"/>
        <color theme="1"/>
        <rFont val="Calibri"/>
        <family val="2"/>
        <charset val="204"/>
        <scheme val="minor"/>
      </rPr>
      <t>MNPV</t>
    </r>
    <r>
      <rPr>
        <sz val="11"/>
        <color theme="1"/>
        <rFont val="Calibri"/>
        <family val="2"/>
        <charset val="204"/>
        <scheme val="minor"/>
      </rPr>
      <t xml:space="preserve"> с плавающими ставками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</si>
  <si>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NPV</t>
    </r>
    <r>
      <rPr>
        <sz val="11"/>
        <color theme="1"/>
        <rFont val="Calibri"/>
        <family val="2"/>
        <charset val="204"/>
        <scheme val="minor"/>
      </rPr>
      <t xml:space="preserve"> с плавающими ставками дисконтирования</t>
    </r>
  </si>
  <si>
    <t>Нет функции</t>
  </si>
  <si>
    <t>Дюрация используется для сравнения проектов с одним и тем же NPV, но с разными денежными потоками в каждом периоде. Чем меньше Дюрация, тем более выгоден проект.</t>
  </si>
  <si>
    <t>Дает то же понимание эффективности, что и NPV. Если NPV &gt; 0, DPI &gt; 1.</t>
  </si>
  <si>
    <t>Необходим для ситуации, когда существует более чем одно значение IRR. К тому же, IRR дает чрезмерно оптимистическое ожидание эффективности проекта.</t>
  </si>
  <si>
    <t>1. Игнорируется принцип Стоимости денег во времени
2. Принимается во внимание только "герметичный" проект: начинающийся и заканчивающийся в строгое время и с полностью фиксированным объемом инвестиций                                                                        3. Одинаковый вес присваивается всем доходам во все периоды, что влечет неточность прогнозирования</t>
  </si>
  <si>
    <t>Наиболее вероятное значение NPV</t>
  </si>
  <si>
    <t>Вероятность 68,27%</t>
  </si>
  <si>
    <t>Наи-меньшее</t>
  </si>
  <si>
    <t>Медиан-ное</t>
  </si>
  <si>
    <t>Среднее</t>
  </si>
  <si>
    <t>Наиболь-шее</t>
  </si>
  <si>
    <t>Среднее значение/ Всего за период</t>
  </si>
  <si>
    <t xml:space="preserve"> Дисперсия со случайными значениями ключевых параметров</t>
  </si>
  <si>
    <t>Диспер-сия</t>
  </si>
  <si>
    <t>Стандарт-ное откло-нение</t>
  </si>
  <si>
    <r>
      <t xml:space="preserve">Медиана </t>
    </r>
    <r>
      <rPr>
        <b/>
        <sz val="9"/>
        <color theme="1"/>
        <rFont val="Calibri"/>
        <family val="2"/>
        <charset val="204"/>
        <scheme val="minor"/>
      </rPr>
      <t>(делит массив пополам)</t>
    </r>
  </si>
  <si>
    <t>Анализ чувствительности (Статистические вероятности)</t>
  </si>
  <si>
    <t>Анализ чувствительности (Сценарии)</t>
  </si>
  <si>
    <t>БАЗОВЫЙ (Наиболее вероятный) сценарий</t>
  </si>
  <si>
    <t>Среднее значение</t>
  </si>
  <si>
    <t>Предварительные результаты</t>
  </si>
  <si>
    <r>
      <t>Критерии экономической эффективности</t>
    </r>
    <r>
      <rPr>
        <b/>
        <sz val="18"/>
        <color theme="1"/>
        <rFont val="Calibri"/>
        <family val="2"/>
        <charset val="204"/>
        <scheme val="minor"/>
      </rPr>
      <t xml:space="preserve"> (уточненный денежный поток)</t>
    </r>
  </si>
  <si>
    <t>Анализ чувствительности по отдельным параметрам</t>
  </si>
  <si>
    <t>Изменения дебиторской задолженности</t>
  </si>
  <si>
    <t>Изменения кредиторской задолженности</t>
  </si>
  <si>
    <t>БАЗОВЫЙ сценарий</t>
  </si>
  <si>
    <t>Ключевые параметры, критические для проекта:</t>
  </si>
  <si>
    <r>
      <t xml:space="preserve">Общая сумма средней дебиторской задолженности внутри периода,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</si>
  <si>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Произведенная продукция, </t>
    </r>
    <r>
      <rPr>
        <sz val="8"/>
        <color theme="1"/>
        <rFont val="Calibri"/>
        <family val="2"/>
        <charset val="204"/>
        <scheme val="minor"/>
      </rPr>
      <t>единиц</t>
    </r>
  </si>
  <si>
    <r>
      <t xml:space="preserve">Рост продажной цены производимых изделий, </t>
    </r>
    <r>
      <rPr>
        <i/>
        <sz val="8"/>
        <color theme="1"/>
        <rFont val="Calibri"/>
        <family val="2"/>
        <charset val="204"/>
        <scheme val="minor"/>
      </rPr>
      <t>% p.a.</t>
    </r>
  </si>
  <si>
    <r>
      <t xml:space="preserve">Процентная ставка по займам, </t>
    </r>
    <r>
      <rPr>
        <i/>
        <sz val="8"/>
        <color theme="1"/>
        <rFont val="Calibri"/>
        <family val="2"/>
        <charset val="204"/>
        <scheme val="minor"/>
      </rPr>
      <t>% p.a.</t>
    </r>
  </si>
  <si>
    <r>
      <t xml:space="preserve">Инфляция всех затрат на производство продукции, </t>
    </r>
    <r>
      <rPr>
        <i/>
        <sz val="8"/>
        <color theme="1"/>
        <rFont val="Calibri"/>
        <family val="2"/>
        <charset val="204"/>
        <scheme val="minor"/>
      </rPr>
      <t>% p.a.</t>
    </r>
  </si>
  <si>
    <r>
      <t>Общая сумма средней кредиторской задолженности внутри периода,</t>
    </r>
    <r>
      <rPr>
        <sz val="8"/>
        <color theme="1"/>
        <rFont val="Calibri"/>
        <family val="2"/>
        <charset val="204"/>
        <scheme val="minor"/>
      </rPr>
      <t xml:space="preserve"> (USD thous.)</t>
    </r>
  </si>
  <si>
    <t>Уточненный денежный поток за период</t>
  </si>
  <si>
    <t>Наиме-ньший уровень</t>
  </si>
  <si>
    <t>Базо-вый уровень</t>
  </si>
  <si>
    <t>Наибо-льший уровень</t>
  </si>
  <si>
    <t>Ожида-емое значение критерия</t>
  </si>
  <si>
    <r>
      <t xml:space="preserve">Объем производства ВОЗМОЖНЫЕ КОЛЕБАНИЯ, </t>
    </r>
    <r>
      <rPr>
        <b/>
        <sz val="10"/>
        <color theme="0"/>
        <rFont val="Calibri"/>
        <family val="2"/>
        <charset val="204"/>
        <scheme val="minor"/>
      </rPr>
      <t>единиц</t>
    </r>
  </si>
  <si>
    <r>
      <t xml:space="preserve">Инфляция цены реализации ВОЗМОЖНЫЕ КОЛЕБАНИЯ, </t>
    </r>
    <r>
      <rPr>
        <b/>
        <sz val="10"/>
        <color theme="0"/>
        <rFont val="Calibri"/>
        <family val="2"/>
        <charset val="204"/>
        <scheme val="minor"/>
      </rPr>
      <t>% р.а.</t>
    </r>
  </si>
  <si>
    <r>
      <t xml:space="preserve">Инфляция расходов ВОЗМОЖНЫЕ КОЛЕБАНИЯ, </t>
    </r>
    <r>
      <rPr>
        <b/>
        <sz val="10"/>
        <color theme="0"/>
        <rFont val="Calibri"/>
        <family val="2"/>
        <charset val="204"/>
        <scheme val="minor"/>
      </rPr>
      <t>% р.а.</t>
    </r>
  </si>
  <si>
    <r>
      <t xml:space="preserve">Проценты по займам ВОЗМОЖНЫЕ КОЛЕБАНИЯ, </t>
    </r>
    <r>
      <rPr>
        <b/>
        <sz val="10"/>
        <color theme="0"/>
        <rFont val="Calibri"/>
        <family val="2"/>
        <charset val="204"/>
        <scheme val="minor"/>
      </rPr>
      <t>% р.а.</t>
    </r>
  </si>
  <si>
    <r>
      <t xml:space="preserve">Общий объем Дебиторской задолженности ВОЗМОЖНЫЕ КОЛЕБАНИЯ, </t>
    </r>
    <r>
      <rPr>
        <b/>
        <sz val="10"/>
        <color theme="0"/>
        <rFont val="Calibri"/>
        <family val="2"/>
        <charset val="204"/>
        <scheme val="minor"/>
      </rPr>
      <t>USD thous.</t>
    </r>
  </si>
  <si>
    <r>
      <t xml:space="preserve">Общий объем Кредиторской задолженности ВОЗМОЖНЫЕ КОЛЕБАНИЯ, </t>
    </r>
    <r>
      <rPr>
        <b/>
        <sz val="10"/>
        <color theme="0"/>
        <rFont val="Calibri"/>
        <family val="2"/>
        <charset val="204"/>
        <scheme val="minor"/>
      </rPr>
      <t>USD thous.</t>
    </r>
  </si>
  <si>
    <t>ПЕССИМИСТИЧЕСКИЙ (Низкий) сценарий</t>
  </si>
  <si>
    <t>ОПТИМИСТИЧЕСКИЙ (Высокий) сценарий</t>
  </si>
  <si>
    <r>
      <t>Вычислено с помощью функции "</t>
    </r>
    <r>
      <rPr>
        <b/>
        <sz val="12"/>
        <color theme="1"/>
        <rFont val="Calibri"/>
        <family val="2"/>
        <charset val="204"/>
        <scheme val="minor"/>
      </rPr>
      <t>ПЛТ"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PMT</t>
    </r>
    <r>
      <rPr>
        <sz val="11"/>
        <color theme="1"/>
        <rFont val="Calibri"/>
        <family val="2"/>
        <charset val="204"/>
        <scheme val="minor"/>
      </rPr>
      <t>"</t>
    </r>
  </si>
  <si>
    <t>Дисконтированная величина полученного аннуитета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</si>
</sst>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_ ;[Red]\-#,##0.00\ "/>
    <numFmt numFmtId="165" formatCode="#,##0.0000"/>
    <numFmt numFmtId="166" formatCode="0.0000%"/>
    <numFmt numFmtId="167" formatCode="#,##0_ ;[Red]\-#,##0\ "/>
    <numFmt numFmtId="168" formatCode="#,##0.0000_р_.;[Red]\-#,##0.0000_р_."/>
    <numFmt numFmtId="169" formatCode="#,##0.000"/>
    <numFmt numFmtId="170" formatCode="#,##0.000_р_.;[Red]\-#,##0.000_р_."/>
    <numFmt numFmtId="171" formatCode="0.000%"/>
    <numFmt numFmtId="172" formatCode="#,##0.00000"/>
    <numFmt numFmtId="173" formatCode="#,##0.000000"/>
  </numFmts>
  <fonts count="5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2"/>
      <color rgb="FF00B05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0"/>
      <name val="Calibri"/>
      <family val="2"/>
      <charset val="204"/>
      <scheme val="minor"/>
    </font>
    <font>
      <b/>
      <i/>
      <u/>
      <sz val="14"/>
      <color rgb="FF00B05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24"/>
      <color rgb="FFFFFF00"/>
      <name val="Calibri"/>
      <family val="2"/>
      <charset val="204"/>
      <scheme val="minor"/>
    </font>
    <font>
      <b/>
      <sz val="20"/>
      <color rgb="FFFFFF00"/>
      <name val="Calibri"/>
      <family val="2"/>
      <charset val="204"/>
      <scheme val="minor"/>
    </font>
    <font>
      <b/>
      <sz val="14"/>
      <color rgb="FFFFFF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24"/>
      <color rgb="FFFFFF00"/>
      <name val="Calibri"/>
      <family val="2"/>
      <charset val="204"/>
      <scheme val="minor"/>
    </font>
    <font>
      <sz val="14"/>
      <color rgb="FFFFFF00"/>
      <name val="Calibri"/>
      <family val="2"/>
      <charset val="204"/>
      <scheme val="minor"/>
    </font>
    <font>
      <sz val="20"/>
      <color rgb="FFFFFF00"/>
      <name val="Calibri"/>
      <family val="2"/>
      <charset val="204"/>
      <scheme val="minor"/>
    </font>
    <font>
      <sz val="18"/>
      <color rgb="FFFFFF00"/>
      <name val="Calibri"/>
      <family val="2"/>
      <charset val="204"/>
      <scheme val="minor"/>
    </font>
    <font>
      <b/>
      <sz val="18"/>
      <color rgb="FFFFFF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u val="double"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rgb="FFFF75D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06">
    <xf numFmtId="0" fontId="0" fillId="0" borderId="0" xfId="0"/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38" fontId="1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38" fontId="7" fillId="0" borderId="1" xfId="0" applyNumberFormat="1" applyFont="1" applyBorder="1" applyAlignment="1">
      <alignment vertical="center"/>
    </xf>
    <xf numFmtId="9" fontId="4" fillId="0" borderId="0" xfId="1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0" fontId="7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0" fontId="7" fillId="0" borderId="0" xfId="0" applyNumberFormat="1" applyFont="1" applyBorder="1" applyAlignment="1">
      <alignment vertical="center"/>
    </xf>
    <xf numFmtId="10" fontId="12" fillId="0" borderId="0" xfId="1" applyNumberFormat="1" applyFont="1" applyAlignment="1">
      <alignment horizontal="center" vertical="center"/>
    </xf>
    <xf numFmtId="164" fontId="13" fillId="0" borderId="1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0" fontId="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166" fontId="7" fillId="0" borderId="0" xfId="1" applyNumberFormat="1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167" fontId="0" fillId="0" borderId="0" xfId="0" applyNumberFormat="1" applyAlignment="1">
      <alignment vertical="center"/>
    </xf>
    <xf numFmtId="3" fontId="10" fillId="0" borderId="0" xfId="0" applyNumberFormat="1" applyFont="1" applyAlignment="1">
      <alignment horizontal="left" vertical="center"/>
    </xf>
    <xf numFmtId="3" fontId="0" fillId="5" borderId="0" xfId="0" applyNumberFormat="1" applyFill="1" applyAlignment="1">
      <alignment vertical="center"/>
    </xf>
    <xf numFmtId="3" fontId="3" fillId="5" borderId="0" xfId="0" applyNumberFormat="1" applyFont="1" applyFill="1" applyAlignment="1">
      <alignment vertical="center"/>
    </xf>
    <xf numFmtId="3" fontId="11" fillId="6" borderId="0" xfId="0" applyNumberFormat="1" applyFont="1" applyFill="1" applyAlignment="1">
      <alignment horizontal="center" vertical="center" wrapText="1"/>
    </xf>
    <xf numFmtId="3" fontId="14" fillId="7" borderId="0" xfId="0" applyNumberFormat="1" applyFont="1" applyFill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vertical="center"/>
    </xf>
    <xf numFmtId="168" fontId="7" fillId="0" borderId="1" xfId="0" applyNumberFormat="1" applyFont="1" applyBorder="1" applyAlignment="1">
      <alignment vertical="center"/>
    </xf>
    <xf numFmtId="3" fontId="20" fillId="0" borderId="0" xfId="2" applyNumberFormat="1" applyAlignment="1">
      <alignment vertical="center"/>
    </xf>
    <xf numFmtId="3" fontId="3" fillId="5" borderId="0" xfId="0" applyNumberFormat="1" applyFont="1" applyFill="1" applyAlignment="1">
      <alignment vertical="center" wrapText="1"/>
    </xf>
    <xf numFmtId="38" fontId="0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8" fontId="1" fillId="0" borderId="1" xfId="0" applyNumberFormat="1" applyFont="1" applyBorder="1" applyAlignment="1">
      <alignment vertical="center"/>
    </xf>
    <xf numFmtId="40" fontId="1" fillId="0" borderId="0" xfId="0" applyNumberFormat="1" applyFont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4" fontId="10" fillId="0" borderId="0" xfId="0" applyNumberFormat="1" applyFont="1" applyAlignment="1">
      <alignment horizontal="center" vertical="center" wrapText="1"/>
    </xf>
    <xf numFmtId="170" fontId="7" fillId="0" borderId="1" xfId="0" applyNumberFormat="1" applyFont="1" applyBorder="1" applyAlignment="1">
      <alignment vertical="center"/>
    </xf>
    <xf numFmtId="4" fontId="0" fillId="0" borderId="0" xfId="0" applyNumberFormat="1" applyFill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/>
    </xf>
    <xf numFmtId="38" fontId="7" fillId="0" borderId="6" xfId="0" applyNumberFormat="1" applyFont="1" applyBorder="1" applyAlignment="1">
      <alignment vertical="center"/>
    </xf>
    <xf numFmtId="40" fontId="7" fillId="0" borderId="6" xfId="0" applyNumberFormat="1" applyFont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23" fillId="0" borderId="0" xfId="0" applyFont="1" applyAlignment="1">
      <alignment horizontal="left" vertical="center" indent="10"/>
    </xf>
    <xf numFmtId="0" fontId="23" fillId="0" borderId="0" xfId="0" applyFont="1" applyAlignment="1">
      <alignment vertical="center"/>
    </xf>
    <xf numFmtId="164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0" fillId="0" borderId="0" xfId="2" applyAlignment="1">
      <alignment vertical="center" wrapText="1"/>
    </xf>
    <xf numFmtId="167" fontId="1" fillId="0" borderId="0" xfId="0" applyNumberFormat="1" applyFont="1" applyAlignment="1">
      <alignment vertical="center"/>
    </xf>
    <xf numFmtId="171" fontId="7" fillId="0" borderId="1" xfId="1" applyNumberFormat="1" applyFont="1" applyBorder="1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69" fontId="0" fillId="0" borderId="0" xfId="0" applyNumberFormat="1" applyFill="1" applyAlignment="1">
      <alignment vertical="center"/>
    </xf>
    <xf numFmtId="38" fontId="7" fillId="4" borderId="1" xfId="0" applyNumberFormat="1" applyFont="1" applyFill="1" applyBorder="1" applyAlignment="1">
      <alignment vertical="center"/>
    </xf>
    <xf numFmtId="164" fontId="7" fillId="4" borderId="6" xfId="0" applyNumberFormat="1" applyFont="1" applyFill="1" applyBorder="1" applyAlignment="1">
      <alignment vertical="center"/>
    </xf>
    <xf numFmtId="40" fontId="7" fillId="4" borderId="1" xfId="0" applyNumberFormat="1" applyFont="1" applyFill="1" applyBorder="1" applyAlignment="1">
      <alignment vertical="center"/>
    </xf>
    <xf numFmtId="166" fontId="7" fillId="4" borderId="6" xfId="1" applyNumberFormat="1" applyFont="1" applyFill="1" applyBorder="1" applyAlignment="1">
      <alignment vertical="center"/>
    </xf>
    <xf numFmtId="170" fontId="7" fillId="4" borderId="1" xfId="0" applyNumberFormat="1" applyFont="1" applyFill="1" applyBorder="1" applyAlignment="1">
      <alignment vertical="center"/>
    </xf>
    <xf numFmtId="168" fontId="7" fillId="4" borderId="1" xfId="0" applyNumberFormat="1" applyFont="1" applyFill="1" applyBorder="1" applyAlignment="1">
      <alignment vertical="center"/>
    </xf>
    <xf numFmtId="10" fontId="7" fillId="4" borderId="1" xfId="1" applyNumberFormat="1" applyFont="1" applyFill="1" applyBorder="1" applyAlignment="1">
      <alignment vertical="center"/>
    </xf>
    <xf numFmtId="171" fontId="7" fillId="4" borderId="1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165" fontId="0" fillId="0" borderId="0" xfId="0" applyNumberFormat="1" applyFill="1" applyAlignment="1">
      <alignment vertical="center"/>
    </xf>
    <xf numFmtId="10" fontId="7" fillId="4" borderId="6" xfId="1" applyNumberFormat="1" applyFont="1" applyFill="1" applyBorder="1" applyAlignment="1">
      <alignment vertical="center"/>
    </xf>
    <xf numFmtId="4" fontId="7" fillId="4" borderId="1" xfId="1" applyNumberFormat="1" applyFont="1" applyFill="1" applyBorder="1" applyAlignment="1">
      <alignment vertical="center"/>
    </xf>
    <xf numFmtId="3" fontId="14" fillId="7" borderId="0" xfId="0" applyNumberFormat="1" applyFont="1" applyFill="1" applyAlignment="1">
      <alignment horizontal="center" vertical="center" wrapText="1"/>
    </xf>
    <xf numFmtId="170" fontId="7" fillId="0" borderId="0" xfId="0" applyNumberFormat="1" applyFont="1" applyBorder="1" applyAlignment="1">
      <alignment vertical="center"/>
    </xf>
    <xf numFmtId="40" fontId="7" fillId="0" borderId="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3" fontId="5" fillId="5" borderId="0" xfId="0" applyNumberFormat="1" applyFont="1" applyFill="1" applyAlignment="1">
      <alignment vertical="center"/>
    </xf>
    <xf numFmtId="38" fontId="5" fillId="5" borderId="0" xfId="0" applyNumberFormat="1" applyFont="1" applyFill="1" applyAlignment="1">
      <alignment vertical="center"/>
    </xf>
    <xf numFmtId="10" fontId="5" fillId="5" borderId="0" xfId="0" applyNumberFormat="1" applyFont="1" applyFill="1" applyAlignment="1">
      <alignment vertical="center"/>
    </xf>
    <xf numFmtId="38" fontId="6" fillId="5" borderId="0" xfId="0" applyNumberFormat="1" applyFont="1" applyFill="1" applyAlignment="1">
      <alignment vertical="center"/>
    </xf>
    <xf numFmtId="3" fontId="0" fillId="5" borderId="0" xfId="0" applyNumberFormat="1" applyFont="1" applyFill="1" applyAlignment="1">
      <alignment vertical="center"/>
    </xf>
    <xf numFmtId="38" fontId="0" fillId="5" borderId="0" xfId="0" applyNumberFormat="1" applyFont="1" applyFill="1" applyAlignment="1">
      <alignment vertical="center"/>
    </xf>
    <xf numFmtId="38" fontId="1" fillId="5" borderId="0" xfId="0" applyNumberFormat="1" applyFont="1" applyFill="1" applyAlignment="1">
      <alignment vertical="center"/>
    </xf>
    <xf numFmtId="3" fontId="0" fillId="5" borderId="0" xfId="0" applyNumberFormat="1" applyFont="1" applyFill="1" applyAlignment="1">
      <alignment vertical="center" wrapText="1"/>
    </xf>
    <xf numFmtId="9" fontId="4" fillId="5" borderId="0" xfId="1" applyFont="1" applyFill="1" applyAlignment="1">
      <alignment horizontal="center" vertical="center"/>
    </xf>
    <xf numFmtId="165" fontId="0" fillId="5" borderId="0" xfId="0" applyNumberFormat="1" applyFill="1" applyAlignment="1">
      <alignment vertical="center"/>
    </xf>
    <xf numFmtId="38" fontId="0" fillId="5" borderId="0" xfId="0" applyNumberFormat="1" applyFill="1" applyAlignment="1">
      <alignment vertical="center"/>
    </xf>
    <xf numFmtId="38" fontId="4" fillId="5" borderId="1" xfId="0" applyNumberFormat="1" applyFont="1" applyFill="1" applyBorder="1" applyAlignment="1">
      <alignment vertical="center"/>
    </xf>
    <xf numFmtId="9" fontId="4" fillId="0" borderId="0" xfId="1" applyFon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164" fontId="1" fillId="8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0" fontId="0" fillId="5" borderId="0" xfId="0" applyNumberFormat="1" applyFill="1" applyAlignment="1">
      <alignment vertical="center"/>
    </xf>
    <xf numFmtId="3" fontId="1" fillId="12" borderId="0" xfId="0" applyNumberFormat="1" applyFont="1" applyFill="1" applyAlignment="1">
      <alignment vertical="center"/>
    </xf>
    <xf numFmtId="9" fontId="4" fillId="12" borderId="0" xfId="1" applyFont="1" applyFill="1" applyAlignment="1">
      <alignment horizontal="center" vertical="center"/>
    </xf>
    <xf numFmtId="165" fontId="0" fillId="12" borderId="0" xfId="0" applyNumberFormat="1" applyFill="1" applyAlignment="1">
      <alignment vertical="center"/>
    </xf>
    <xf numFmtId="3" fontId="0" fillId="12" borderId="0" xfId="0" applyNumberFormat="1" applyFill="1" applyAlignment="1">
      <alignment vertical="center"/>
    </xf>
    <xf numFmtId="38" fontId="4" fillId="12" borderId="0" xfId="0" applyNumberFormat="1" applyFont="1" applyFill="1" applyBorder="1" applyAlignment="1">
      <alignment vertical="center"/>
    </xf>
    <xf numFmtId="3" fontId="0" fillId="12" borderId="0" xfId="0" applyNumberFormat="1" applyFont="1" applyFill="1" applyAlignment="1">
      <alignment vertical="center"/>
    </xf>
    <xf numFmtId="38" fontId="0" fillId="12" borderId="0" xfId="0" applyNumberFormat="1" applyFont="1" applyFill="1" applyAlignment="1">
      <alignment vertical="center"/>
    </xf>
    <xf numFmtId="38" fontId="1" fillId="12" borderId="0" xfId="0" applyNumberFormat="1" applyFont="1" applyFill="1" applyAlignment="1">
      <alignment vertical="center"/>
    </xf>
    <xf numFmtId="10" fontId="0" fillId="12" borderId="0" xfId="0" applyNumberFormat="1" applyFill="1" applyAlignment="1">
      <alignment vertical="center"/>
    </xf>
    <xf numFmtId="10" fontId="4" fillId="5" borderId="1" xfId="0" applyNumberFormat="1" applyFont="1" applyFill="1" applyBorder="1" applyAlignment="1">
      <alignment vertical="center"/>
    </xf>
    <xf numFmtId="10" fontId="4" fillId="12" borderId="1" xfId="0" applyNumberFormat="1" applyFont="1" applyFill="1" applyBorder="1" applyAlignment="1">
      <alignment vertical="center"/>
    </xf>
    <xf numFmtId="10" fontId="1" fillId="0" borderId="0" xfId="0" applyNumberFormat="1" applyFont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10" fontId="4" fillId="0" borderId="0" xfId="1" applyNumberFormat="1" applyFont="1" applyAlignment="1">
      <alignment horizontal="center" vertical="center"/>
    </xf>
    <xf numFmtId="3" fontId="29" fillId="2" borderId="3" xfId="0" applyNumberFormat="1" applyFont="1" applyFill="1" applyBorder="1" applyAlignment="1">
      <alignment horizontal="center" vertical="center"/>
    </xf>
    <xf numFmtId="3" fontId="29" fillId="2" borderId="4" xfId="0" applyNumberFormat="1" applyFont="1" applyFill="1" applyBorder="1" applyAlignment="1">
      <alignment horizontal="center" vertical="center"/>
    </xf>
    <xf numFmtId="3" fontId="30" fillId="2" borderId="5" xfId="0" applyNumberFormat="1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 wrapText="1"/>
    </xf>
    <xf numFmtId="4" fontId="7" fillId="4" borderId="6" xfId="1" applyNumberFormat="1" applyFont="1" applyFill="1" applyBorder="1" applyAlignment="1">
      <alignment vertical="center"/>
    </xf>
    <xf numFmtId="40" fontId="7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 wrapText="1"/>
    </xf>
    <xf numFmtId="172" fontId="0" fillId="0" borderId="0" xfId="0" applyNumberFormat="1" applyFill="1" applyAlignment="1">
      <alignment vertical="center"/>
    </xf>
    <xf numFmtId="165" fontId="0" fillId="0" borderId="0" xfId="0" applyNumberFormat="1" applyFont="1" applyAlignment="1">
      <alignment vertical="center"/>
    </xf>
    <xf numFmtId="171" fontId="7" fillId="0" borderId="0" xfId="1" applyNumberFormat="1" applyFont="1" applyFill="1" applyBorder="1" applyAlignment="1">
      <alignment vertical="center"/>
    </xf>
    <xf numFmtId="10" fontId="0" fillId="0" borderId="0" xfId="0" applyNumberFormat="1" applyFont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31" fillId="0" borderId="0" xfId="0" applyFont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3" fontId="0" fillId="11" borderId="0" xfId="0" applyNumberFormat="1" applyFill="1" applyAlignment="1">
      <alignment vertical="center"/>
    </xf>
    <xf numFmtId="3" fontId="1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0" fontId="0" fillId="0" borderId="0" xfId="0" applyNumberFormat="1" applyFill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3" fontId="35" fillId="13" borderId="1" xfId="0" applyNumberFormat="1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0" fontId="1" fillId="4" borderId="1" xfId="1" applyNumberFormat="1" applyFont="1" applyFill="1" applyBorder="1" applyAlignment="1">
      <alignment horizontal="center" vertical="center"/>
    </xf>
    <xf numFmtId="10" fontId="0" fillId="11" borderId="0" xfId="0" applyNumberForma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3" fontId="37" fillId="0" borderId="1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left" vertical="center"/>
    </xf>
    <xf numFmtId="3" fontId="0" fillId="4" borderId="5" xfId="0" applyNumberFormat="1" applyFill="1" applyBorder="1" applyAlignment="1">
      <alignment vertical="center"/>
    </xf>
    <xf numFmtId="40" fontId="16" fillId="4" borderId="1" xfId="0" applyNumberFormat="1" applyFont="1" applyFill="1" applyBorder="1" applyAlignment="1">
      <alignment horizontal="center" vertical="center"/>
    </xf>
    <xf numFmtId="3" fontId="34" fillId="3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10" fontId="10" fillId="0" borderId="0" xfId="1" applyNumberFormat="1" applyFont="1" applyFill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11" borderId="0" xfId="0" applyNumberFormat="1" applyFont="1" applyFill="1" applyAlignment="1">
      <alignment vertical="center"/>
    </xf>
    <xf numFmtId="10" fontId="10" fillId="0" borderId="0" xfId="0" applyNumberFormat="1" applyFont="1" applyFill="1" applyAlignment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13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Alignment="1">
      <alignment horizontal="right" vertical="center"/>
    </xf>
    <xf numFmtId="10" fontId="0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4" fillId="0" borderId="0" xfId="1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vertical="center" wrapText="1"/>
    </xf>
    <xf numFmtId="3" fontId="6" fillId="4" borderId="9" xfId="0" applyNumberFormat="1" applyFont="1" applyFill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 indent="10"/>
    </xf>
    <xf numFmtId="38" fontId="7" fillId="4" borderId="9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10" fontId="0" fillId="0" borderId="11" xfId="0" applyNumberFormat="1" applyFill="1" applyBorder="1" applyAlignment="1">
      <alignment vertical="center"/>
    </xf>
    <xf numFmtId="10" fontId="0" fillId="0" borderId="12" xfId="0" applyNumberFormat="1" applyFill="1" applyBorder="1" applyAlignment="1">
      <alignment vertical="center"/>
    </xf>
    <xf numFmtId="165" fontId="19" fillId="0" borderId="8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165" fontId="5" fillId="0" borderId="8" xfId="0" applyNumberFormat="1" applyFon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10" fontId="0" fillId="0" borderId="2" xfId="0" applyNumberFormat="1" applyFill="1" applyBorder="1" applyAlignment="1">
      <alignment vertical="center"/>
    </xf>
    <xf numFmtId="165" fontId="10" fillId="0" borderId="8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165" fontId="24" fillId="0" borderId="13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165" fontId="16" fillId="4" borderId="0" xfId="0" applyNumberFormat="1" applyFont="1" applyFill="1" applyAlignment="1">
      <alignment vertical="center"/>
    </xf>
    <xf numFmtId="165" fontId="16" fillId="0" borderId="10" xfId="0" applyNumberFormat="1" applyFont="1" applyFill="1" applyBorder="1" applyAlignment="1">
      <alignment horizontal="center" vertical="center"/>
    </xf>
    <xf numFmtId="3" fontId="32" fillId="0" borderId="0" xfId="0" applyNumberFormat="1" applyFont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67" fontId="7" fillId="4" borderId="1" xfId="0" applyNumberFormat="1" applyFont="1" applyFill="1" applyBorder="1" applyAlignment="1">
      <alignment vertical="center"/>
    </xf>
    <xf numFmtId="10" fontId="7" fillId="0" borderId="1" xfId="1" applyNumberFormat="1" applyFont="1" applyBorder="1" applyAlignment="1">
      <alignment vertical="center"/>
    </xf>
    <xf numFmtId="3" fontId="35" fillId="13" borderId="1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vertical="center"/>
    </xf>
    <xf numFmtId="0" fontId="0" fillId="10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10" fontId="2" fillId="0" borderId="0" xfId="1" applyNumberFormat="1" applyFont="1" applyAlignment="1">
      <alignment vertical="center"/>
    </xf>
    <xf numFmtId="166" fontId="7" fillId="4" borderId="1" xfId="0" applyNumberFormat="1" applyFont="1" applyFill="1" applyBorder="1" applyAlignment="1">
      <alignment vertical="center"/>
    </xf>
    <xf numFmtId="3" fontId="34" fillId="11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3" fontId="0" fillId="0" borderId="1" xfId="0" applyNumberFormat="1" applyBorder="1" applyAlignment="1">
      <alignment vertical="center"/>
    </xf>
    <xf numFmtId="3" fontId="35" fillId="3" borderId="1" xfId="0" applyNumberFormat="1" applyFont="1" applyFill="1" applyBorder="1" applyAlignment="1">
      <alignment horizontal="left" vertical="center" wrapText="1"/>
    </xf>
    <xf numFmtId="10" fontId="5" fillId="11" borderId="1" xfId="0" applyNumberFormat="1" applyFont="1" applyFill="1" applyBorder="1" applyAlignment="1">
      <alignment vertical="center"/>
    </xf>
    <xf numFmtId="38" fontId="0" fillId="11" borderId="1" xfId="0" applyNumberFormat="1" applyFill="1" applyBorder="1" applyAlignment="1">
      <alignment vertical="center"/>
    </xf>
    <xf numFmtId="9" fontId="5" fillId="0" borderId="0" xfId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10" fontId="1" fillId="0" borderId="0" xfId="1" applyNumberFormat="1" applyFont="1" applyAlignment="1">
      <alignment vertical="center"/>
    </xf>
    <xf numFmtId="3" fontId="1" fillId="11" borderId="15" xfId="0" applyNumberFormat="1" applyFont="1" applyFill="1" applyBorder="1" applyAlignment="1">
      <alignment vertical="center"/>
    </xf>
    <xf numFmtId="10" fontId="1" fillId="11" borderId="16" xfId="1" applyNumberFormat="1" applyFont="1" applyFill="1" applyBorder="1" applyAlignment="1">
      <alignment vertical="center"/>
    </xf>
    <xf numFmtId="3" fontId="1" fillId="11" borderId="16" xfId="0" applyNumberFormat="1" applyFont="1" applyFill="1" applyBorder="1" applyAlignment="1">
      <alignment vertical="center"/>
    </xf>
    <xf numFmtId="3" fontId="1" fillId="11" borderId="6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38" fontId="7" fillId="4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left" vertical="center" wrapText="1"/>
    </xf>
    <xf numFmtId="3" fontId="1" fillId="5" borderId="0" xfId="0" applyNumberFormat="1" applyFont="1" applyFill="1" applyAlignment="1">
      <alignment vertical="center" wrapText="1"/>
    </xf>
    <xf numFmtId="3" fontId="26" fillId="4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3" fontId="41" fillId="2" borderId="5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vertical="center" wrapText="1"/>
    </xf>
    <xf numFmtId="3" fontId="15" fillId="2" borderId="5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vertical="center" wrapText="1"/>
    </xf>
    <xf numFmtId="3" fontId="46" fillId="3" borderId="1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38" fontId="1" fillId="4" borderId="1" xfId="0" applyNumberFormat="1" applyFont="1" applyFill="1" applyBorder="1" applyAlignment="1">
      <alignment vertical="center"/>
    </xf>
    <xf numFmtId="3" fontId="5" fillId="5" borderId="0" xfId="0" applyNumberFormat="1" applyFont="1" applyFill="1" applyAlignment="1">
      <alignment vertical="center" wrapText="1"/>
    </xf>
    <xf numFmtId="3" fontId="40" fillId="2" borderId="3" xfId="0" applyNumberFormat="1" applyFont="1" applyFill="1" applyBorder="1" applyAlignment="1">
      <alignment horizontal="center" vertical="center" wrapText="1"/>
    </xf>
    <xf numFmtId="164" fontId="0" fillId="5" borderId="0" xfId="0" applyNumberFormat="1" applyFont="1" applyFill="1" applyBorder="1" applyAlignment="1">
      <alignment horizontal="center" vertical="center" wrapText="1"/>
    </xf>
    <xf numFmtId="164" fontId="1" fillId="8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164" fontId="1" fillId="11" borderId="0" xfId="0" applyNumberFormat="1" applyFont="1" applyFill="1" applyAlignment="1">
      <alignment horizontal="center" vertical="center" wrapText="1"/>
    </xf>
    <xf numFmtId="164" fontId="10" fillId="5" borderId="0" xfId="0" applyNumberFormat="1" applyFont="1" applyFill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164" fontId="1" fillId="11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10" fillId="11" borderId="0" xfId="0" applyNumberFormat="1" applyFont="1" applyFill="1" applyAlignment="1">
      <alignment horizontal="left" vertical="center" wrapText="1"/>
    </xf>
    <xf numFmtId="10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75DB"/>
      <color rgb="FF99FF33"/>
      <color rgb="FF00FFFF"/>
      <color rgb="FF6DD9FF"/>
      <color rgb="FFFFCC00"/>
      <color rgb="FFFF33CC"/>
      <color rgb="FFFF0066"/>
      <color rgb="FF33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25.png"/><Relationship Id="rId1" Type="http://schemas.openxmlformats.org/officeDocument/2006/relationships/image" Target="../media/image24.png"/><Relationship Id="rId5" Type="http://schemas.openxmlformats.org/officeDocument/2006/relationships/image" Target="../media/image28.png"/><Relationship Id="rId4" Type="http://schemas.openxmlformats.org/officeDocument/2006/relationships/image" Target="../media/image2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6.png"/><Relationship Id="rId3" Type="http://schemas.openxmlformats.org/officeDocument/2006/relationships/image" Target="../media/image31.png"/><Relationship Id="rId7" Type="http://schemas.openxmlformats.org/officeDocument/2006/relationships/image" Target="../media/image35.png"/><Relationship Id="rId12" Type="http://schemas.openxmlformats.org/officeDocument/2006/relationships/image" Target="../media/image40.png"/><Relationship Id="rId2" Type="http://schemas.openxmlformats.org/officeDocument/2006/relationships/image" Target="../media/image30.png"/><Relationship Id="rId1" Type="http://schemas.openxmlformats.org/officeDocument/2006/relationships/image" Target="../media/image29.png"/><Relationship Id="rId6" Type="http://schemas.openxmlformats.org/officeDocument/2006/relationships/image" Target="../media/image34.png"/><Relationship Id="rId11" Type="http://schemas.openxmlformats.org/officeDocument/2006/relationships/image" Target="../media/image39.png"/><Relationship Id="rId5" Type="http://schemas.openxmlformats.org/officeDocument/2006/relationships/image" Target="../media/image33.png"/><Relationship Id="rId10" Type="http://schemas.openxmlformats.org/officeDocument/2006/relationships/image" Target="../media/image38.png"/><Relationship Id="rId4" Type="http://schemas.openxmlformats.org/officeDocument/2006/relationships/image" Target="../media/image32.png"/><Relationship Id="rId9" Type="http://schemas.openxmlformats.org/officeDocument/2006/relationships/image" Target="../media/image3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13" Type="http://schemas.openxmlformats.org/officeDocument/2006/relationships/image" Target="../media/image5.png"/><Relationship Id="rId18" Type="http://schemas.openxmlformats.org/officeDocument/2006/relationships/image" Target="../media/image8.png"/><Relationship Id="rId26" Type="http://schemas.openxmlformats.org/officeDocument/2006/relationships/image" Target="../media/image44.png"/><Relationship Id="rId3" Type="http://schemas.openxmlformats.org/officeDocument/2006/relationships/image" Target="../media/image11.png"/><Relationship Id="rId21" Type="http://schemas.openxmlformats.org/officeDocument/2006/relationships/image" Target="../media/image25.png"/><Relationship Id="rId7" Type="http://schemas.openxmlformats.org/officeDocument/2006/relationships/image" Target="../media/image6.png"/><Relationship Id="rId12" Type="http://schemas.openxmlformats.org/officeDocument/2006/relationships/image" Target="../media/image1.png"/><Relationship Id="rId17" Type="http://schemas.openxmlformats.org/officeDocument/2006/relationships/image" Target="../media/image7.png"/><Relationship Id="rId25" Type="http://schemas.openxmlformats.org/officeDocument/2006/relationships/image" Target="../media/image43.png"/><Relationship Id="rId2" Type="http://schemas.openxmlformats.org/officeDocument/2006/relationships/image" Target="../media/image22.png"/><Relationship Id="rId16" Type="http://schemas.openxmlformats.org/officeDocument/2006/relationships/image" Target="../media/image20.png"/><Relationship Id="rId20" Type="http://schemas.openxmlformats.org/officeDocument/2006/relationships/image" Target="../media/image9.png"/><Relationship Id="rId29" Type="http://schemas.openxmlformats.org/officeDocument/2006/relationships/image" Target="../media/image47.png"/><Relationship Id="rId1" Type="http://schemas.openxmlformats.org/officeDocument/2006/relationships/image" Target="../media/image41.png"/><Relationship Id="rId6" Type="http://schemas.openxmlformats.org/officeDocument/2006/relationships/image" Target="../media/image3.png"/><Relationship Id="rId11" Type="http://schemas.openxmlformats.org/officeDocument/2006/relationships/image" Target="../media/image17.png"/><Relationship Id="rId24" Type="http://schemas.openxmlformats.org/officeDocument/2006/relationships/image" Target="../media/image42.png"/><Relationship Id="rId5" Type="http://schemas.openxmlformats.org/officeDocument/2006/relationships/image" Target="../media/image4.png"/><Relationship Id="rId15" Type="http://schemas.openxmlformats.org/officeDocument/2006/relationships/image" Target="../media/image19.png"/><Relationship Id="rId23" Type="http://schemas.openxmlformats.org/officeDocument/2006/relationships/image" Target="../media/image28.png"/><Relationship Id="rId28" Type="http://schemas.openxmlformats.org/officeDocument/2006/relationships/image" Target="../media/image46.png"/><Relationship Id="rId10" Type="http://schemas.openxmlformats.org/officeDocument/2006/relationships/image" Target="../media/image21.png"/><Relationship Id="rId19" Type="http://schemas.openxmlformats.org/officeDocument/2006/relationships/image" Target="../media/image2.png"/><Relationship Id="rId4" Type="http://schemas.openxmlformats.org/officeDocument/2006/relationships/image" Target="../media/image12.png"/><Relationship Id="rId9" Type="http://schemas.openxmlformats.org/officeDocument/2006/relationships/image" Target="../media/image15.png"/><Relationship Id="rId14" Type="http://schemas.openxmlformats.org/officeDocument/2006/relationships/image" Target="../media/image10.png"/><Relationship Id="rId22" Type="http://schemas.openxmlformats.org/officeDocument/2006/relationships/image" Target="../media/image26.png"/><Relationship Id="rId27" Type="http://schemas.openxmlformats.org/officeDocument/2006/relationships/image" Target="../media/image45.png"/><Relationship Id="rId30" Type="http://schemas.openxmlformats.org/officeDocument/2006/relationships/image" Target="../media/image4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png"/><Relationship Id="rId2" Type="http://schemas.openxmlformats.org/officeDocument/2006/relationships/image" Target="../media/image30.png"/><Relationship Id="rId1" Type="http://schemas.openxmlformats.org/officeDocument/2006/relationships/image" Target="../media/image29.png"/><Relationship Id="rId4" Type="http://schemas.openxmlformats.org/officeDocument/2006/relationships/image" Target="../media/image3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234315</xdr:colOff>
      <xdr:row>29</xdr:row>
      <xdr:rowOff>701040</xdr:rowOff>
    </xdr:from>
    <xdr:to>
      <xdr:col>12</xdr:col>
      <xdr:colOff>371475</xdr:colOff>
      <xdr:row>30</xdr:row>
      <xdr:rowOff>457200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8440" y="9454515"/>
          <a:ext cx="1908810" cy="46101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321945</xdr:colOff>
      <xdr:row>34</xdr:row>
      <xdr:rowOff>352424</xdr:rowOff>
    </xdr:from>
    <xdr:to>
      <xdr:col>12</xdr:col>
      <xdr:colOff>276225</xdr:colOff>
      <xdr:row>34</xdr:row>
      <xdr:rowOff>914399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6070" y="12563474"/>
          <a:ext cx="1725930" cy="5619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167640</xdr:colOff>
      <xdr:row>69</xdr:row>
      <xdr:rowOff>60960</xdr:rowOff>
    </xdr:from>
    <xdr:to>
      <xdr:col>13</xdr:col>
      <xdr:colOff>251460</xdr:colOff>
      <xdr:row>71</xdr:row>
      <xdr:rowOff>152400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7220" y="18684240"/>
          <a:ext cx="2522220" cy="48768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190500</xdr:colOff>
      <xdr:row>82</xdr:row>
      <xdr:rowOff>0</xdr:rowOff>
    </xdr:from>
    <xdr:to>
      <xdr:col>13</xdr:col>
      <xdr:colOff>289560</xdr:colOff>
      <xdr:row>83</xdr:row>
      <xdr:rowOff>76200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35213925"/>
          <a:ext cx="2461260" cy="5619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220980</xdr:colOff>
      <xdr:row>31</xdr:row>
      <xdr:rowOff>144780</xdr:rowOff>
    </xdr:from>
    <xdr:to>
      <xdr:col>13</xdr:col>
      <xdr:colOff>373380</xdr:colOff>
      <xdr:row>32</xdr:row>
      <xdr:rowOff>133350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5105" y="10088880"/>
          <a:ext cx="2514600" cy="47434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13</xdr:col>
      <xdr:colOff>381000</xdr:colOff>
      <xdr:row>75</xdr:row>
      <xdr:rowOff>38100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9580" y="19423380"/>
          <a:ext cx="281940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163830</xdr:colOff>
      <xdr:row>97</xdr:row>
      <xdr:rowOff>219075</xdr:rowOff>
    </xdr:from>
    <xdr:to>
      <xdr:col>13</xdr:col>
      <xdr:colOff>323850</xdr:colOff>
      <xdr:row>98</xdr:row>
      <xdr:rowOff>476250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7955" y="44977050"/>
          <a:ext cx="2522220" cy="74295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167640</xdr:colOff>
      <xdr:row>99</xdr:row>
      <xdr:rowOff>0</xdr:rowOff>
    </xdr:from>
    <xdr:to>
      <xdr:col>11</xdr:col>
      <xdr:colOff>563880</xdr:colOff>
      <xdr:row>99</xdr:row>
      <xdr:rowOff>175260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7220" y="27942540"/>
          <a:ext cx="1615440" cy="1752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259080</xdr:colOff>
      <xdr:row>43</xdr:row>
      <xdr:rowOff>15240</xdr:rowOff>
    </xdr:from>
    <xdr:to>
      <xdr:col>10</xdr:col>
      <xdr:colOff>525780</xdr:colOff>
      <xdr:row>44</xdr:row>
      <xdr:rowOff>175260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8660" y="11605260"/>
          <a:ext cx="876300" cy="3581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144780</xdr:colOff>
      <xdr:row>53</xdr:row>
      <xdr:rowOff>403861</xdr:rowOff>
    </xdr:from>
    <xdr:to>
      <xdr:col>12</xdr:col>
      <xdr:colOff>388620</xdr:colOff>
      <xdr:row>55</xdr:row>
      <xdr:rowOff>228601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8905" y="22625686"/>
          <a:ext cx="2015490" cy="5105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198120</xdr:colOff>
      <xdr:row>89</xdr:row>
      <xdr:rowOff>295275</xdr:rowOff>
    </xdr:from>
    <xdr:to>
      <xdr:col>13</xdr:col>
      <xdr:colOff>472440</xdr:colOff>
      <xdr:row>91</xdr:row>
      <xdr:rowOff>85725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245" y="39119175"/>
          <a:ext cx="2636520" cy="68580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213360</xdr:colOff>
      <xdr:row>93</xdr:row>
      <xdr:rowOff>133351</xdr:rowOff>
    </xdr:from>
    <xdr:to>
      <xdr:col>11</xdr:col>
      <xdr:colOff>510540</xdr:colOff>
      <xdr:row>93</xdr:row>
      <xdr:rowOff>657225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7485" y="40500301"/>
          <a:ext cx="1478280" cy="523874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297180</xdr:colOff>
      <xdr:row>49</xdr:row>
      <xdr:rowOff>15240</xdr:rowOff>
    </xdr:from>
    <xdr:to>
      <xdr:col>11</xdr:col>
      <xdr:colOff>350520</xdr:colOff>
      <xdr:row>49</xdr:row>
      <xdr:rowOff>190500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6780" y="13594080"/>
          <a:ext cx="1272540" cy="1752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83820</xdr:colOff>
      <xdr:row>122</xdr:row>
      <xdr:rowOff>85725</xdr:rowOff>
    </xdr:from>
    <xdr:to>
      <xdr:col>13</xdr:col>
      <xdr:colOff>304800</xdr:colOff>
      <xdr:row>124</xdr:row>
      <xdr:rowOff>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7945" y="59035950"/>
          <a:ext cx="2583180" cy="5238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83820</xdr:colOff>
      <xdr:row>125</xdr:row>
      <xdr:rowOff>133350</xdr:rowOff>
    </xdr:from>
    <xdr:to>
      <xdr:col>15</xdr:col>
      <xdr:colOff>53340</xdr:colOff>
      <xdr:row>126</xdr:row>
      <xdr:rowOff>182879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7945" y="60417075"/>
          <a:ext cx="3512820" cy="859154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169545</xdr:colOff>
      <xdr:row>139</xdr:row>
      <xdr:rowOff>72390</xdr:rowOff>
    </xdr:from>
    <xdr:to>
      <xdr:col>12</xdr:col>
      <xdr:colOff>222885</xdr:colOff>
      <xdr:row>141</xdr:row>
      <xdr:rowOff>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3670" y="71119365"/>
          <a:ext cx="1824990" cy="61341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160020</xdr:colOff>
      <xdr:row>133</xdr:row>
      <xdr:rowOff>83820</xdr:rowOff>
    </xdr:from>
    <xdr:to>
      <xdr:col>12</xdr:col>
      <xdr:colOff>251460</xdr:colOff>
      <xdr:row>134</xdr:row>
      <xdr:rowOff>66675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145" y="67149345"/>
          <a:ext cx="1863090" cy="70675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203835</xdr:colOff>
      <xdr:row>143</xdr:row>
      <xdr:rowOff>876300</xdr:rowOff>
    </xdr:from>
    <xdr:to>
      <xdr:col>11</xdr:col>
      <xdr:colOff>508635</xdr:colOff>
      <xdr:row>145</xdr:row>
      <xdr:rowOff>45720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7960" y="73818750"/>
          <a:ext cx="1485900" cy="65532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190500</xdr:colOff>
      <xdr:row>150</xdr:row>
      <xdr:rowOff>15240</xdr:rowOff>
    </xdr:from>
    <xdr:to>
      <xdr:col>12</xdr:col>
      <xdr:colOff>45720</xdr:colOff>
      <xdr:row>151</xdr:row>
      <xdr:rowOff>95250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76586715"/>
          <a:ext cx="1626870" cy="56578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167640</xdr:colOff>
      <xdr:row>153</xdr:row>
      <xdr:rowOff>15240</xdr:rowOff>
    </xdr:from>
    <xdr:to>
      <xdr:col>11</xdr:col>
      <xdr:colOff>358140</xdr:colOff>
      <xdr:row>153</xdr:row>
      <xdr:rowOff>190500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7240" y="54033420"/>
          <a:ext cx="1409700" cy="1752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160020</xdr:colOff>
      <xdr:row>110</xdr:row>
      <xdr:rowOff>160020</xdr:rowOff>
    </xdr:from>
    <xdr:to>
      <xdr:col>13</xdr:col>
      <xdr:colOff>533400</xdr:colOff>
      <xdr:row>113</xdr:row>
      <xdr:rowOff>30480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9620" y="36286440"/>
          <a:ext cx="281178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152400</xdr:colOff>
      <xdr:row>104</xdr:row>
      <xdr:rowOff>57150</xdr:rowOff>
    </xdr:from>
    <xdr:to>
      <xdr:col>12</xdr:col>
      <xdr:colOff>533400</xdr:colOff>
      <xdr:row>105</xdr:row>
      <xdr:rowOff>236220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48082200"/>
          <a:ext cx="2152650" cy="82677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320040</xdr:colOff>
      <xdr:row>159</xdr:row>
      <xdr:rowOff>175260</xdr:rowOff>
    </xdr:from>
    <xdr:to>
      <xdr:col>12</xdr:col>
      <xdr:colOff>1905</xdr:colOff>
      <xdr:row>160</xdr:row>
      <xdr:rowOff>342900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4165" y="81956910"/>
          <a:ext cx="1453515" cy="65341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114</xdr:row>
      <xdr:rowOff>15240</xdr:rowOff>
    </xdr:from>
    <xdr:to>
      <xdr:col>12</xdr:col>
      <xdr:colOff>381000</xdr:colOff>
      <xdr:row>116</xdr:row>
      <xdr:rowOff>91440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2826960"/>
          <a:ext cx="205740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236220</xdr:colOff>
      <xdr:row>45</xdr:row>
      <xdr:rowOff>228600</xdr:rowOff>
    </xdr:from>
    <xdr:to>
      <xdr:col>11</xdr:col>
      <xdr:colOff>289560</xdr:colOff>
      <xdr:row>46</xdr:row>
      <xdr:rowOff>104775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5595" y="16392525"/>
          <a:ext cx="1234440" cy="6000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129540</xdr:colOff>
      <xdr:row>50</xdr:row>
      <xdr:rowOff>220980</xdr:rowOff>
    </xdr:from>
    <xdr:to>
      <xdr:col>16</xdr:col>
      <xdr:colOff>594360</xdr:colOff>
      <xdr:row>52</xdr:row>
      <xdr:rowOff>121920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9140" y="12938760"/>
          <a:ext cx="4732020" cy="3581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182880</xdr:colOff>
      <xdr:row>102</xdr:row>
      <xdr:rowOff>53340</xdr:rowOff>
    </xdr:from>
    <xdr:to>
      <xdr:col>12</xdr:col>
      <xdr:colOff>457200</xdr:colOff>
      <xdr:row>103</xdr:row>
      <xdr:rowOff>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480" y="29154120"/>
          <a:ext cx="2103120" cy="1752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137160</xdr:colOff>
      <xdr:row>103</xdr:row>
      <xdr:rowOff>68581</xdr:rowOff>
    </xdr:from>
    <xdr:to>
      <xdr:col>13</xdr:col>
      <xdr:colOff>579120</xdr:colOff>
      <xdr:row>104</xdr:row>
      <xdr:rowOff>209551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6535" y="50608231"/>
          <a:ext cx="2804160" cy="54102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40</xdr:row>
      <xdr:rowOff>0</xdr:rowOff>
    </xdr:from>
    <xdr:to>
      <xdr:col>14</xdr:col>
      <xdr:colOff>480060</xdr:colOff>
      <xdr:row>40</xdr:row>
      <xdr:rowOff>358140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7175480"/>
          <a:ext cx="4297680" cy="3581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22860</xdr:colOff>
      <xdr:row>50</xdr:row>
      <xdr:rowOff>274320</xdr:rowOff>
    </xdr:from>
    <xdr:to>
      <xdr:col>14</xdr:col>
      <xdr:colOff>289560</xdr:colOff>
      <xdr:row>52</xdr:row>
      <xdr:rowOff>198120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9660" y="20124420"/>
          <a:ext cx="4191000" cy="5105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487680</xdr:colOff>
      <xdr:row>57</xdr:row>
      <xdr:rowOff>76200</xdr:rowOff>
    </xdr:from>
    <xdr:to>
      <xdr:col>21</xdr:col>
      <xdr:colOff>198120</xdr:colOff>
      <xdr:row>58</xdr:row>
      <xdr:rowOff>514350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3230" y="18087975"/>
          <a:ext cx="6206490" cy="6381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375285</xdr:colOff>
      <xdr:row>68</xdr:row>
      <xdr:rowOff>22861</xdr:rowOff>
    </xdr:from>
    <xdr:to>
      <xdr:col>18</xdr:col>
      <xdr:colOff>161925</xdr:colOff>
      <xdr:row>68</xdr:row>
      <xdr:rowOff>723901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5385" y="21139786"/>
          <a:ext cx="6206490" cy="7010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266700</xdr:colOff>
      <xdr:row>206</xdr:row>
      <xdr:rowOff>384810</xdr:rowOff>
    </xdr:from>
    <xdr:to>
      <xdr:col>15</xdr:col>
      <xdr:colOff>396240</xdr:colOff>
      <xdr:row>206</xdr:row>
      <xdr:rowOff>763905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67574160"/>
          <a:ext cx="3930015" cy="37909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209550</xdr:colOff>
      <xdr:row>41</xdr:row>
      <xdr:rowOff>66675</xdr:rowOff>
    </xdr:from>
    <xdr:to>
      <xdr:col>17</xdr:col>
      <xdr:colOff>533400</xdr:colOff>
      <xdr:row>42</xdr:row>
      <xdr:rowOff>257175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E3159FD9-D40E-40B3-9AFB-82C03C1F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2553950"/>
          <a:ext cx="6153150" cy="53340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9</xdr:col>
      <xdr:colOff>600074</xdr:colOff>
      <xdr:row>45</xdr:row>
      <xdr:rowOff>9526</xdr:rowOff>
    </xdr:from>
    <xdr:to>
      <xdr:col>19</xdr:col>
      <xdr:colOff>171450</xdr:colOff>
      <xdr:row>47</xdr:row>
      <xdr:rowOff>171451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97BA207-BE8C-464D-A093-F4EE8EE3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899" y="13592176"/>
          <a:ext cx="5734051" cy="89535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47625</xdr:colOff>
      <xdr:row>53</xdr:row>
      <xdr:rowOff>123825</xdr:rowOff>
    </xdr:from>
    <xdr:to>
      <xdr:col>22</xdr:col>
      <xdr:colOff>295275</xdr:colOff>
      <xdr:row>53</xdr:row>
      <xdr:rowOff>809625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4C4E52B4-DED8-48ED-96AB-E5489830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17125950"/>
          <a:ext cx="6153150" cy="68580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60</xdr:row>
      <xdr:rowOff>0</xdr:rowOff>
    </xdr:from>
    <xdr:to>
      <xdr:col>21</xdr:col>
      <xdr:colOff>247650</xdr:colOff>
      <xdr:row>62</xdr:row>
      <xdr:rowOff>114300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E117B617-66C6-4918-BB1E-58F91E51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20440650"/>
          <a:ext cx="6153150" cy="65722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381000</xdr:colOff>
      <xdr:row>69</xdr:row>
      <xdr:rowOff>9525</xdr:rowOff>
    </xdr:from>
    <xdr:to>
      <xdr:col>18</xdr:col>
      <xdr:colOff>114300</xdr:colOff>
      <xdr:row>71</xdr:row>
      <xdr:rowOff>190500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57C7FDAC-6C92-43F3-89F6-3B3A25AE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23317200"/>
          <a:ext cx="6153150" cy="86677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209550</xdr:colOff>
      <xdr:row>206</xdr:row>
      <xdr:rowOff>1209675</xdr:rowOff>
    </xdr:from>
    <xdr:to>
      <xdr:col>16</xdr:col>
      <xdr:colOff>419100</xdr:colOff>
      <xdr:row>207</xdr:row>
      <xdr:rowOff>247650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58FD4E67-1FAF-4C35-AB3D-989B7E30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68399025"/>
          <a:ext cx="4600575" cy="36195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190500</xdr:colOff>
      <xdr:row>207</xdr:row>
      <xdr:rowOff>447675</xdr:rowOff>
    </xdr:from>
    <xdr:to>
      <xdr:col>19</xdr:col>
      <xdr:colOff>180975</xdr:colOff>
      <xdr:row>209</xdr:row>
      <xdr:rowOff>352425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480A959D-87AE-4E46-9483-9BE9B2AC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68961000"/>
          <a:ext cx="6153150" cy="63817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</xdr:colOff>
      <xdr:row>3</xdr:row>
      <xdr:rowOff>22860</xdr:rowOff>
    </xdr:from>
    <xdr:to>
      <xdr:col>6</xdr:col>
      <xdr:colOff>1607820</xdr:colOff>
      <xdr:row>3</xdr:row>
      <xdr:rowOff>586740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7680" y="944880"/>
          <a:ext cx="150114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106680</xdr:colOff>
      <xdr:row>4</xdr:row>
      <xdr:rowOff>45720</xdr:rowOff>
    </xdr:from>
    <xdr:to>
      <xdr:col>6</xdr:col>
      <xdr:colOff>2316480</xdr:colOff>
      <xdr:row>4</xdr:row>
      <xdr:rowOff>693420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7680" y="1562100"/>
          <a:ext cx="2209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99060</xdr:colOff>
      <xdr:row>5</xdr:row>
      <xdr:rowOff>0</xdr:rowOff>
    </xdr:from>
    <xdr:to>
      <xdr:col>6</xdr:col>
      <xdr:colOff>2811780</xdr:colOff>
      <xdr:row>5</xdr:row>
      <xdr:rowOff>647700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0060" y="2247900"/>
          <a:ext cx="271272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3246120</xdr:colOff>
      <xdr:row>5</xdr:row>
      <xdr:rowOff>129540</xdr:rowOff>
    </xdr:from>
    <xdr:to>
      <xdr:col>6</xdr:col>
      <xdr:colOff>4762500</xdr:colOff>
      <xdr:row>5</xdr:row>
      <xdr:rowOff>632460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7120" y="2377440"/>
          <a:ext cx="151638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106680</xdr:colOff>
      <xdr:row>6</xdr:row>
      <xdr:rowOff>274320</xdr:rowOff>
    </xdr:from>
    <xdr:to>
      <xdr:col>6</xdr:col>
      <xdr:colOff>2644140</xdr:colOff>
      <xdr:row>6</xdr:row>
      <xdr:rowOff>746760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7680" y="3299460"/>
          <a:ext cx="253746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129540</xdr:colOff>
      <xdr:row>7</xdr:row>
      <xdr:rowOff>38100</xdr:rowOff>
    </xdr:from>
    <xdr:to>
      <xdr:col>6</xdr:col>
      <xdr:colOff>2651760</xdr:colOff>
      <xdr:row>7</xdr:row>
      <xdr:rowOff>525780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0540" y="3977640"/>
          <a:ext cx="252222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2849880</xdr:colOff>
      <xdr:row>7</xdr:row>
      <xdr:rowOff>38100</xdr:rowOff>
    </xdr:from>
    <xdr:to>
      <xdr:col>8</xdr:col>
      <xdr:colOff>121920</xdr:colOff>
      <xdr:row>7</xdr:row>
      <xdr:rowOff>510540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0880" y="3977640"/>
          <a:ext cx="281940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114300</xdr:colOff>
      <xdr:row>8</xdr:row>
      <xdr:rowOff>205740</xdr:rowOff>
    </xdr:from>
    <xdr:to>
      <xdr:col>6</xdr:col>
      <xdr:colOff>2773680</xdr:colOff>
      <xdr:row>8</xdr:row>
      <xdr:rowOff>678180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5300" y="4716780"/>
          <a:ext cx="265938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2994660</xdr:colOff>
      <xdr:row>8</xdr:row>
      <xdr:rowOff>175260</xdr:rowOff>
    </xdr:from>
    <xdr:to>
      <xdr:col>9</xdr:col>
      <xdr:colOff>464820</xdr:colOff>
      <xdr:row>8</xdr:row>
      <xdr:rowOff>685800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5660" y="4686300"/>
          <a:ext cx="362712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129540</xdr:colOff>
      <xdr:row>9</xdr:row>
      <xdr:rowOff>220980</xdr:rowOff>
    </xdr:from>
    <xdr:to>
      <xdr:col>6</xdr:col>
      <xdr:colOff>2941320</xdr:colOff>
      <xdr:row>9</xdr:row>
      <xdr:rowOff>693420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0540" y="5646420"/>
          <a:ext cx="281178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152400</xdr:colOff>
      <xdr:row>10</xdr:row>
      <xdr:rowOff>152400</xdr:rowOff>
    </xdr:from>
    <xdr:to>
      <xdr:col>6</xdr:col>
      <xdr:colOff>2072640</xdr:colOff>
      <xdr:row>10</xdr:row>
      <xdr:rowOff>655320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6507480"/>
          <a:ext cx="192024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106680</xdr:colOff>
      <xdr:row>11</xdr:row>
      <xdr:rowOff>45720</xdr:rowOff>
    </xdr:from>
    <xdr:to>
      <xdr:col>6</xdr:col>
      <xdr:colOff>2072640</xdr:colOff>
      <xdr:row>11</xdr:row>
      <xdr:rowOff>518160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7680" y="7132320"/>
          <a:ext cx="196596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2286000</xdr:colOff>
      <xdr:row>11</xdr:row>
      <xdr:rowOff>53340</xdr:rowOff>
    </xdr:from>
    <xdr:to>
      <xdr:col>6</xdr:col>
      <xdr:colOff>4876800</xdr:colOff>
      <xdr:row>11</xdr:row>
      <xdr:rowOff>525780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0" y="7139940"/>
          <a:ext cx="259080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129540</xdr:colOff>
      <xdr:row>13</xdr:row>
      <xdr:rowOff>167640</xdr:rowOff>
    </xdr:from>
    <xdr:to>
      <xdr:col>6</xdr:col>
      <xdr:colOff>2202180</xdr:colOff>
      <xdr:row>13</xdr:row>
      <xdr:rowOff>601980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0540" y="8557260"/>
          <a:ext cx="2072640" cy="434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121920</xdr:colOff>
      <xdr:row>12</xdr:row>
      <xdr:rowOff>129540</xdr:rowOff>
    </xdr:from>
    <xdr:to>
      <xdr:col>6</xdr:col>
      <xdr:colOff>1805940</xdr:colOff>
      <xdr:row>12</xdr:row>
      <xdr:rowOff>624840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2920" y="7787640"/>
          <a:ext cx="168402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2636520</xdr:colOff>
      <xdr:row>12</xdr:row>
      <xdr:rowOff>274320</xdr:rowOff>
    </xdr:from>
    <xdr:to>
      <xdr:col>6</xdr:col>
      <xdr:colOff>4046220</xdr:colOff>
      <xdr:row>12</xdr:row>
      <xdr:rowOff>449580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7520" y="7932420"/>
          <a:ext cx="14097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152400</xdr:colOff>
      <xdr:row>14</xdr:row>
      <xdr:rowOff>236220</xdr:rowOff>
    </xdr:from>
    <xdr:to>
      <xdr:col>6</xdr:col>
      <xdr:colOff>2750820</xdr:colOff>
      <xdr:row>14</xdr:row>
      <xdr:rowOff>739140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9357360"/>
          <a:ext cx="259842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3032760</xdr:colOff>
      <xdr:row>14</xdr:row>
      <xdr:rowOff>327660</xdr:rowOff>
    </xdr:from>
    <xdr:to>
      <xdr:col>6</xdr:col>
      <xdr:colOff>4648200</xdr:colOff>
      <xdr:row>14</xdr:row>
      <xdr:rowOff>502920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3760" y="9448800"/>
          <a:ext cx="161544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175260</xdr:colOff>
      <xdr:row>16</xdr:row>
      <xdr:rowOff>121920</xdr:rowOff>
    </xdr:from>
    <xdr:to>
      <xdr:col>6</xdr:col>
      <xdr:colOff>1958340</xdr:colOff>
      <xdr:row>16</xdr:row>
      <xdr:rowOff>594360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6260" y="11010900"/>
          <a:ext cx="178308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175260</xdr:colOff>
      <xdr:row>17</xdr:row>
      <xdr:rowOff>99060</xdr:rowOff>
    </xdr:from>
    <xdr:to>
      <xdr:col>6</xdr:col>
      <xdr:colOff>1051560</xdr:colOff>
      <xdr:row>17</xdr:row>
      <xdr:rowOff>457200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6260" y="11719560"/>
          <a:ext cx="876300" cy="3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167640</xdr:colOff>
      <xdr:row>15</xdr:row>
      <xdr:rowOff>243840</xdr:rowOff>
    </xdr:from>
    <xdr:to>
      <xdr:col>6</xdr:col>
      <xdr:colOff>1440180</xdr:colOff>
      <xdr:row>15</xdr:row>
      <xdr:rowOff>609600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8640" y="10248900"/>
          <a:ext cx="127254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91440</xdr:colOff>
      <xdr:row>19</xdr:row>
      <xdr:rowOff>137160</xdr:rowOff>
    </xdr:from>
    <xdr:to>
      <xdr:col>6</xdr:col>
      <xdr:colOff>4823460</xdr:colOff>
      <xdr:row>19</xdr:row>
      <xdr:rowOff>495300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2440" y="13952220"/>
          <a:ext cx="4732020" cy="3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30</xdr:row>
      <xdr:rowOff>76200</xdr:rowOff>
    </xdr:from>
    <xdr:to>
      <xdr:col>2</xdr:col>
      <xdr:colOff>160020</xdr:colOff>
      <xdr:row>30</xdr:row>
      <xdr:rowOff>556260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18173700"/>
          <a:ext cx="2880360" cy="4800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91440</xdr:colOff>
      <xdr:row>27</xdr:row>
      <xdr:rowOff>60960</xdr:rowOff>
    </xdr:from>
    <xdr:to>
      <xdr:col>1</xdr:col>
      <xdr:colOff>2407920</xdr:colOff>
      <xdr:row>27</xdr:row>
      <xdr:rowOff>541020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980" y="16443960"/>
          <a:ext cx="2316480" cy="4800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45720</xdr:colOff>
      <xdr:row>33</xdr:row>
      <xdr:rowOff>53340</xdr:rowOff>
    </xdr:from>
    <xdr:to>
      <xdr:col>2</xdr:col>
      <xdr:colOff>68580</xdr:colOff>
      <xdr:row>33</xdr:row>
      <xdr:rowOff>533400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260" y="19865340"/>
          <a:ext cx="2819400" cy="4800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129540</xdr:colOff>
      <xdr:row>26</xdr:row>
      <xdr:rowOff>38100</xdr:rowOff>
    </xdr:from>
    <xdr:to>
      <xdr:col>1</xdr:col>
      <xdr:colOff>1752600</xdr:colOff>
      <xdr:row>27</xdr:row>
      <xdr:rowOff>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15598140"/>
          <a:ext cx="1623060" cy="7848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68580</xdr:colOff>
      <xdr:row>28</xdr:row>
      <xdr:rowOff>121920</xdr:rowOff>
    </xdr:from>
    <xdr:to>
      <xdr:col>2</xdr:col>
      <xdr:colOff>449580</xdr:colOff>
      <xdr:row>28</xdr:row>
      <xdr:rowOff>502920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7076420"/>
          <a:ext cx="3177540" cy="38100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45720</xdr:colOff>
      <xdr:row>31</xdr:row>
      <xdr:rowOff>45720</xdr:rowOff>
    </xdr:from>
    <xdr:to>
      <xdr:col>2</xdr:col>
      <xdr:colOff>266700</xdr:colOff>
      <xdr:row>31</xdr:row>
      <xdr:rowOff>518160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260" y="18714720"/>
          <a:ext cx="301752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29</xdr:row>
      <xdr:rowOff>45720</xdr:rowOff>
    </xdr:from>
    <xdr:to>
      <xdr:col>2</xdr:col>
      <xdr:colOff>922020</xdr:colOff>
      <xdr:row>29</xdr:row>
      <xdr:rowOff>525780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17571720"/>
          <a:ext cx="3642360" cy="4800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32</xdr:row>
      <xdr:rowOff>45720</xdr:rowOff>
    </xdr:from>
    <xdr:to>
      <xdr:col>2</xdr:col>
      <xdr:colOff>693420</xdr:colOff>
      <xdr:row>32</xdr:row>
      <xdr:rowOff>518160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19286220"/>
          <a:ext cx="341376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40</xdr:row>
      <xdr:rowOff>0</xdr:rowOff>
    </xdr:from>
    <xdr:to>
      <xdr:col>14</xdr:col>
      <xdr:colOff>480060</xdr:colOff>
      <xdr:row>40</xdr:row>
      <xdr:rowOff>358140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9105900"/>
          <a:ext cx="4564380" cy="3581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22860</xdr:colOff>
      <xdr:row>50</xdr:row>
      <xdr:rowOff>274320</xdr:rowOff>
    </xdr:from>
    <xdr:to>
      <xdr:col>14</xdr:col>
      <xdr:colOff>289560</xdr:colOff>
      <xdr:row>52</xdr:row>
      <xdr:rowOff>198120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9660" y="12054840"/>
          <a:ext cx="4457700" cy="5105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487680</xdr:colOff>
      <xdr:row>57</xdr:row>
      <xdr:rowOff>76200</xdr:rowOff>
    </xdr:from>
    <xdr:to>
      <xdr:col>21</xdr:col>
      <xdr:colOff>198120</xdr:colOff>
      <xdr:row>59</xdr:row>
      <xdr:rowOff>167640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7080" y="14066520"/>
          <a:ext cx="6416040" cy="65532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289560</xdr:colOff>
      <xdr:row>68</xdr:row>
      <xdr:rowOff>137160</xdr:rowOff>
    </xdr:from>
    <xdr:to>
      <xdr:col>21</xdr:col>
      <xdr:colOff>0</xdr:colOff>
      <xdr:row>69</xdr:row>
      <xdr:rowOff>99060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8960" y="16634460"/>
          <a:ext cx="6416040" cy="5105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rapov.ru/soft/multilingual-excel-functions/" TargetMode="External"/><Relationship Id="rId1" Type="http://schemas.openxmlformats.org/officeDocument/2006/relationships/hyperlink" Target="http://www.calkoo.com/?lang=3&amp;page=9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9"/>
  <sheetViews>
    <sheetView tabSelected="1" topLeftCell="A160" workbookViewId="0">
      <selection activeCell="A162" sqref="A162"/>
    </sheetView>
  </sheetViews>
  <sheetFormatPr defaultColWidth="8.85546875" defaultRowHeight="15" x14ac:dyDescent="0.25"/>
  <cols>
    <col min="1" max="1" width="51.5703125" style="1" customWidth="1"/>
    <col min="2" max="2" width="8.5703125" style="1" customWidth="1"/>
    <col min="3" max="8" width="12.7109375" style="1" customWidth="1"/>
    <col min="9" max="9" width="15.7109375" style="1" customWidth="1"/>
    <col min="10" max="16384" width="8.85546875" style="1"/>
  </cols>
  <sheetData>
    <row r="1" spans="1:10" ht="28.5" x14ac:dyDescent="0.25">
      <c r="A1" s="222" t="s">
        <v>233</v>
      </c>
      <c r="H1" s="6" t="s">
        <v>234</v>
      </c>
      <c r="J1" s="44" t="s">
        <v>12</v>
      </c>
    </row>
    <row r="2" spans="1:10" ht="19.5" thickBot="1" x14ac:dyDescent="0.3">
      <c r="A2" s="12" t="s">
        <v>218</v>
      </c>
      <c r="H2" s="6" t="s">
        <v>235</v>
      </c>
      <c r="J2" s="44" t="s">
        <v>13</v>
      </c>
    </row>
    <row r="3" spans="1:10" ht="42.75" thickBot="1" x14ac:dyDescent="0.3">
      <c r="A3" s="267" t="s">
        <v>236</v>
      </c>
      <c r="B3" s="53" t="s">
        <v>237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238</v>
      </c>
    </row>
    <row r="4" spans="1:10" ht="18.75" x14ac:dyDescent="0.25">
      <c r="A4" s="22" t="s">
        <v>242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0" ht="16.5" thickBot="1" x14ac:dyDescent="0.3">
      <c r="A5" s="1" t="s">
        <v>239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0" ht="16.5" thickBot="1" x14ac:dyDescent="0.3">
      <c r="A6" s="1" t="s">
        <v>240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0" ht="15.75" x14ac:dyDescent="0.25">
      <c r="A7" s="1" t="s">
        <v>241</v>
      </c>
      <c r="C7" s="7"/>
      <c r="D7" s="7">
        <f>'Cash Flow уточненный'!D7</f>
        <v>75</v>
      </c>
      <c r="E7" s="7">
        <v>30</v>
      </c>
      <c r="F7" s="7">
        <f>'Cash Flow уточненный'!F7</f>
        <v>125</v>
      </c>
      <c r="G7" s="7">
        <f>'Cash Flow уточненный'!G7</f>
        <v>150</v>
      </c>
      <c r="H7" s="7">
        <f>'Cash Flow уточненный'!H7</f>
        <v>175</v>
      </c>
      <c r="I7" s="8">
        <f t="shared" ref="I7" si="1">SUM(D7:H7)</f>
        <v>555</v>
      </c>
    </row>
    <row r="8" spans="1:10" ht="15.75" x14ac:dyDescent="0.25">
      <c r="A8" s="1" t="s">
        <v>243</v>
      </c>
      <c r="C8" s="7"/>
      <c r="D8" s="7">
        <v>200</v>
      </c>
      <c r="E8" s="7">
        <v>200</v>
      </c>
      <c r="F8" s="7">
        <f>E8</f>
        <v>200</v>
      </c>
      <c r="G8" s="7">
        <f t="shared" ref="G8:H8" si="2">F8</f>
        <v>200</v>
      </c>
      <c r="H8" s="7">
        <f t="shared" si="2"/>
        <v>200</v>
      </c>
      <c r="I8" s="8">
        <f>SUM(D8:H8)/COUNTA(D8:H8)</f>
        <v>200</v>
      </c>
      <c r="J8" s="1" t="s">
        <v>246</v>
      </c>
    </row>
    <row r="9" spans="1:10" ht="15.75" x14ac:dyDescent="0.25">
      <c r="A9" s="4" t="s">
        <v>251</v>
      </c>
      <c r="B9" s="4"/>
      <c r="C9" s="11"/>
      <c r="D9" s="11">
        <f>D8*D7</f>
        <v>15000</v>
      </c>
      <c r="E9" s="11">
        <f>E8*E7</f>
        <v>6000</v>
      </c>
      <c r="F9" s="11">
        <f t="shared" ref="F9:H9" si="3">F8*F7</f>
        <v>25000</v>
      </c>
      <c r="G9" s="11">
        <f t="shared" si="3"/>
        <v>30000</v>
      </c>
      <c r="H9" s="11">
        <f t="shared" si="3"/>
        <v>35000</v>
      </c>
      <c r="I9" s="8">
        <f>SUM(D9:H9)</f>
        <v>111000</v>
      </c>
    </row>
    <row r="10" spans="1:10" ht="15.75" x14ac:dyDescent="0.25">
      <c r="A10" s="4" t="s">
        <v>252</v>
      </c>
      <c r="B10" s="4"/>
      <c r="C10" s="11"/>
      <c r="D10" s="11">
        <f>D11+D12</f>
        <v>-10250</v>
      </c>
      <c r="E10" s="11">
        <f t="shared" ref="E10:H10" si="4">E11+E12</f>
        <v>-6300</v>
      </c>
      <c r="F10" s="11">
        <f t="shared" si="4"/>
        <v>-16750</v>
      </c>
      <c r="G10" s="11">
        <f t="shared" si="4"/>
        <v>-19500</v>
      </c>
      <c r="H10" s="11">
        <f t="shared" si="4"/>
        <v>-22250</v>
      </c>
      <c r="I10" s="8">
        <f t="shared" ref="I10:I12" si="5">SUM(D10:H10)</f>
        <v>-75050</v>
      </c>
    </row>
    <row r="11" spans="1:10" s="6" customFormat="1" ht="15.75" x14ac:dyDescent="0.25">
      <c r="A11" s="6" t="s">
        <v>244</v>
      </c>
      <c r="C11" s="10"/>
      <c r="D11" s="10">
        <v>-2000</v>
      </c>
      <c r="E11" s="10">
        <v>-3000</v>
      </c>
      <c r="F11" s="7">
        <f>E11</f>
        <v>-3000</v>
      </c>
      <c r="G11" s="7">
        <f t="shared" ref="G11:H11" si="6">F11</f>
        <v>-3000</v>
      </c>
      <c r="H11" s="7">
        <f t="shared" si="6"/>
        <v>-3000</v>
      </c>
      <c r="I11" s="8">
        <f t="shared" si="5"/>
        <v>-14000</v>
      </c>
    </row>
    <row r="12" spans="1:10" s="6" customFormat="1" ht="15.75" x14ac:dyDescent="0.25">
      <c r="A12" s="6" t="s">
        <v>245</v>
      </c>
      <c r="C12" s="10"/>
      <c r="D12" s="10">
        <f>-D13*D7</f>
        <v>-8250</v>
      </c>
      <c r="E12" s="10">
        <f>-E13*E7</f>
        <v>-3300</v>
      </c>
      <c r="F12" s="10">
        <f t="shared" ref="F12:H12" si="7">-F13*F7</f>
        <v>-13750</v>
      </c>
      <c r="G12" s="10">
        <f t="shared" si="7"/>
        <v>-16500</v>
      </c>
      <c r="H12" s="10">
        <f t="shared" si="7"/>
        <v>-19250</v>
      </c>
      <c r="I12" s="8">
        <f t="shared" si="5"/>
        <v>-61050</v>
      </c>
    </row>
    <row r="13" spans="1:10" s="6" customFormat="1" ht="15.75" x14ac:dyDescent="0.25">
      <c r="A13" s="6" t="s">
        <v>247</v>
      </c>
      <c r="C13" s="10"/>
      <c r="D13" s="10">
        <v>110</v>
      </c>
      <c r="E13" s="10">
        <f>D13</f>
        <v>110</v>
      </c>
      <c r="F13" s="10">
        <f t="shared" ref="F13:H13" si="8">E13</f>
        <v>110</v>
      </c>
      <c r="G13" s="10">
        <f t="shared" si="8"/>
        <v>110</v>
      </c>
      <c r="H13" s="10">
        <f t="shared" si="8"/>
        <v>110</v>
      </c>
      <c r="I13" s="8">
        <f>SUM(D13:H13)/COUNTA(D13:H13)</f>
        <v>110</v>
      </c>
      <c r="J13" s="1" t="s">
        <v>246</v>
      </c>
    </row>
    <row r="14" spans="1:10" s="6" customFormat="1" ht="30" x14ac:dyDescent="0.25">
      <c r="A14" s="257" t="s">
        <v>248</v>
      </c>
      <c r="C14" s="10"/>
      <c r="D14" s="10">
        <f>-D10/D7</f>
        <v>136.66666666666666</v>
      </c>
      <c r="E14" s="10">
        <f>-E10/E7</f>
        <v>210</v>
      </c>
      <c r="F14" s="10">
        <f t="shared" ref="F14:H14" si="9">-F10/F7</f>
        <v>134</v>
      </c>
      <c r="G14" s="10">
        <f t="shared" si="9"/>
        <v>130</v>
      </c>
      <c r="H14" s="10">
        <f t="shared" si="9"/>
        <v>127.14285714285714</v>
      </c>
      <c r="I14" s="8">
        <f>SUM(D14:H14)/COUNTA(D14:H14)</f>
        <v>147.56190476190474</v>
      </c>
      <c r="J14" s="1" t="s">
        <v>246</v>
      </c>
    </row>
    <row r="15" spans="1:10" s="5" customFormat="1" ht="15.75" x14ac:dyDescent="0.25">
      <c r="A15" s="5" t="s">
        <v>249</v>
      </c>
      <c r="C15" s="9"/>
      <c r="D15" s="9"/>
      <c r="E15" s="9"/>
      <c r="F15" s="9"/>
      <c r="G15" s="9"/>
      <c r="H15" s="9"/>
      <c r="I15" s="8">
        <f t="shared" ref="I15:I24" si="10">SUM(D15:H15)</f>
        <v>0</v>
      </c>
    </row>
    <row r="16" spans="1:10" s="5" customFormat="1" ht="16.5" thickBot="1" x14ac:dyDescent="0.3">
      <c r="A16" s="5" t="s">
        <v>250</v>
      </c>
      <c r="C16" s="9"/>
      <c r="D16" s="9"/>
      <c r="E16" s="9"/>
      <c r="F16" s="9"/>
      <c r="G16" s="9"/>
      <c r="H16" s="9"/>
      <c r="I16" s="8">
        <f t="shared" si="10"/>
        <v>0</v>
      </c>
    </row>
    <row r="17" spans="1:11" s="3" customFormat="1" ht="63.75" thickBot="1" x14ac:dyDescent="0.3">
      <c r="A17" s="13" t="s">
        <v>458</v>
      </c>
      <c r="B17" s="13"/>
      <c r="C17" s="8">
        <f>C9+C10</f>
        <v>0</v>
      </c>
      <c r="D17" s="8">
        <f>D9+D10</f>
        <v>4750</v>
      </c>
      <c r="E17" s="8">
        <f t="shared" ref="E17:H17" si="11">E9+E10</f>
        <v>-300</v>
      </c>
      <c r="F17" s="8">
        <f t="shared" si="11"/>
        <v>8250</v>
      </c>
      <c r="G17" s="8">
        <f t="shared" si="11"/>
        <v>10500</v>
      </c>
      <c r="H17" s="8">
        <f t="shared" si="11"/>
        <v>12750</v>
      </c>
      <c r="I17" s="49">
        <f t="shared" si="10"/>
        <v>35950</v>
      </c>
    </row>
    <row r="18" spans="1:11" s="5" customFormat="1" ht="15.75" x14ac:dyDescent="0.25">
      <c r="A18" s="5" t="s">
        <v>253</v>
      </c>
      <c r="B18" s="16"/>
      <c r="C18" s="9">
        <v>0</v>
      </c>
      <c r="D18" s="9">
        <f>'Cash Flow уточненный'!D21</f>
        <v>-225</v>
      </c>
      <c r="E18" s="9">
        <f>'Cash Flow уточненный'!E21</f>
        <v>-1025</v>
      </c>
      <c r="F18" s="9">
        <f>'Cash Flow уточненный'!F21</f>
        <v>-1600.8333333333333</v>
      </c>
      <c r="G18" s="9">
        <f>'Cash Flow уточненный'!G21</f>
        <v>-1454.6666666666667</v>
      </c>
      <c r="H18" s="9">
        <f>'Cash Flow уточненный'!H21</f>
        <v>-1385.3</v>
      </c>
      <c r="I18" s="8">
        <f t="shared" si="10"/>
        <v>-5690.8</v>
      </c>
    </row>
    <row r="19" spans="1:11" s="5" customFormat="1" ht="31.5" x14ac:dyDescent="0.25">
      <c r="A19" s="13" t="s">
        <v>459</v>
      </c>
      <c r="B19" s="17"/>
      <c r="C19" s="8">
        <f>C17+C18</f>
        <v>0</v>
      </c>
      <c r="D19" s="8">
        <f>D17+D18</f>
        <v>4525</v>
      </c>
      <c r="E19" s="8">
        <f t="shared" ref="E19:H19" si="12">E17+E18</f>
        <v>-1325</v>
      </c>
      <c r="F19" s="8">
        <f t="shared" si="12"/>
        <v>6649.166666666667</v>
      </c>
      <c r="G19" s="8">
        <f t="shared" si="12"/>
        <v>9045.3333333333339</v>
      </c>
      <c r="H19" s="8">
        <f t="shared" si="12"/>
        <v>11364.7</v>
      </c>
      <c r="I19" s="8">
        <f t="shared" si="10"/>
        <v>30259.200000000001</v>
      </c>
    </row>
    <row r="20" spans="1:11" s="5" customFormat="1" ht="15.75" x14ac:dyDescent="0.25">
      <c r="A20" s="5" t="s">
        <v>254</v>
      </c>
      <c r="B20" s="17"/>
      <c r="D20" s="9"/>
      <c r="E20" s="9"/>
      <c r="F20" s="9"/>
      <c r="G20" s="9"/>
      <c r="H20" s="9"/>
      <c r="I20" s="8">
        <f t="shared" si="10"/>
        <v>0</v>
      </c>
    </row>
    <row r="21" spans="1:11" s="5" customFormat="1" ht="16.5" thickBot="1" x14ac:dyDescent="0.3">
      <c r="A21" s="5" t="s">
        <v>255</v>
      </c>
      <c r="B21" s="16">
        <v>0.2</v>
      </c>
      <c r="C21" s="9">
        <f t="shared" ref="C21:D21" si="13">IF(C19+C20&lt;0,0,-(C19+C20)*$B$21)</f>
        <v>0</v>
      </c>
      <c r="D21" s="9">
        <f t="shared" si="13"/>
        <v>-905</v>
      </c>
      <c r="E21" s="9">
        <f>IF(E19+E20&lt;0,0,-(E19+E20)*$B$21)</f>
        <v>0</v>
      </c>
      <c r="F21" s="9">
        <f t="shared" ref="F21:H21" si="14">IF(F19+F20&lt;0,0,-(F19+F20)*$B$21)</f>
        <v>-1329.8333333333335</v>
      </c>
      <c r="G21" s="9">
        <f t="shared" si="14"/>
        <v>-1809.0666666666668</v>
      </c>
      <c r="H21" s="9">
        <f t="shared" si="14"/>
        <v>-2272.94</v>
      </c>
      <c r="I21" s="8">
        <f t="shared" si="10"/>
        <v>-6316.84</v>
      </c>
    </row>
    <row r="22" spans="1:11" s="3" customFormat="1" ht="32.25" thickBot="1" x14ac:dyDescent="0.3">
      <c r="A22" s="13" t="s">
        <v>462</v>
      </c>
      <c r="C22" s="8">
        <f>C19+C20+C21</f>
        <v>0</v>
      </c>
      <c r="D22" s="8">
        <f>D19+D20+D21</f>
        <v>3620</v>
      </c>
      <c r="E22" s="8">
        <f t="shared" ref="E22:H22" si="15">E19+E20+E21</f>
        <v>-1325</v>
      </c>
      <c r="F22" s="8">
        <f t="shared" si="15"/>
        <v>5319.3333333333339</v>
      </c>
      <c r="G22" s="8">
        <f t="shared" si="15"/>
        <v>7236.2666666666673</v>
      </c>
      <c r="H22" s="8">
        <f t="shared" si="15"/>
        <v>9091.76</v>
      </c>
      <c r="I22" s="49">
        <f t="shared" si="10"/>
        <v>23942.36</v>
      </c>
    </row>
    <row r="23" spans="1:11" s="5" customFormat="1" ht="30" x14ac:dyDescent="0.25">
      <c r="A23" s="258" t="s">
        <v>256</v>
      </c>
      <c r="C23" s="9">
        <f>C5</f>
        <v>5000</v>
      </c>
      <c r="D23" s="9">
        <f>C27</f>
        <v>0</v>
      </c>
      <c r="E23" s="9">
        <f t="shared" ref="E23:H23" si="16">D27</f>
        <v>3845</v>
      </c>
      <c r="F23" s="9">
        <f t="shared" si="16"/>
        <v>3545</v>
      </c>
      <c r="G23" s="9">
        <f t="shared" si="16"/>
        <v>10465.166666666668</v>
      </c>
      <c r="H23" s="9">
        <f t="shared" si="16"/>
        <v>19156.100000000002</v>
      </c>
      <c r="I23" s="9">
        <f>C23</f>
        <v>5000</v>
      </c>
    </row>
    <row r="24" spans="1:11" s="4" customFormat="1" x14ac:dyDescent="0.25">
      <c r="A24" s="4" t="s">
        <v>258</v>
      </c>
      <c r="C24" s="11">
        <f>C9</f>
        <v>0</v>
      </c>
      <c r="D24" s="11">
        <f>D9+D5</f>
        <v>17000</v>
      </c>
      <c r="E24" s="11">
        <f t="shared" ref="E24:H24" si="17">E9+E5</f>
        <v>11000</v>
      </c>
      <c r="F24" s="11">
        <f t="shared" si="17"/>
        <v>25000</v>
      </c>
      <c r="G24" s="11">
        <f t="shared" si="17"/>
        <v>30000</v>
      </c>
      <c r="H24" s="11">
        <f t="shared" si="17"/>
        <v>35000</v>
      </c>
      <c r="I24" s="11">
        <f t="shared" si="10"/>
        <v>118000</v>
      </c>
    </row>
    <row r="25" spans="1:11" s="4" customFormat="1" ht="15.75" thickBot="1" x14ac:dyDescent="0.3">
      <c r="A25" s="4" t="s">
        <v>257</v>
      </c>
      <c r="C25" s="11">
        <f>C6+C10+C20+C21</f>
        <v>-5000</v>
      </c>
      <c r="D25" s="11">
        <f t="shared" ref="D25:H25" si="18">D6+D10+D20+D21</f>
        <v>-13155</v>
      </c>
      <c r="E25" s="11">
        <f t="shared" si="18"/>
        <v>-11300</v>
      </c>
      <c r="F25" s="11">
        <f t="shared" si="18"/>
        <v>-18079.833333333332</v>
      </c>
      <c r="G25" s="11">
        <f t="shared" si="18"/>
        <v>-21309.066666666666</v>
      </c>
      <c r="H25" s="11">
        <f t="shared" si="18"/>
        <v>-24522.94</v>
      </c>
      <c r="I25" s="11">
        <f>SUM(C25:H25)</f>
        <v>-93366.84</v>
      </c>
    </row>
    <row r="26" spans="1:11" s="4" customFormat="1" ht="30.75" thickBot="1" x14ac:dyDescent="0.3">
      <c r="A26" s="259" t="s">
        <v>259</v>
      </c>
      <c r="C26" s="11">
        <f>C6</f>
        <v>-5000</v>
      </c>
      <c r="D26" s="11">
        <f>D24+D25</f>
        <v>3845</v>
      </c>
      <c r="E26" s="11">
        <f t="shared" ref="E26:H26" si="19">E24+E25</f>
        <v>-300</v>
      </c>
      <c r="F26" s="11">
        <f t="shared" si="19"/>
        <v>6920.1666666666679</v>
      </c>
      <c r="G26" s="11">
        <f t="shared" si="19"/>
        <v>8690.9333333333343</v>
      </c>
      <c r="H26" s="11">
        <f t="shared" si="19"/>
        <v>10477.060000000001</v>
      </c>
      <c r="I26" s="42">
        <f>SUM(C26:H26)</f>
        <v>24633.160000000003</v>
      </c>
    </row>
    <row r="27" spans="1:11" s="5" customFormat="1" ht="30" x14ac:dyDescent="0.25">
      <c r="A27" s="258" t="s">
        <v>260</v>
      </c>
      <c r="C27" s="9">
        <f>C26+C23</f>
        <v>0</v>
      </c>
      <c r="D27" s="9">
        <f>D26+D23</f>
        <v>3845</v>
      </c>
      <c r="E27" s="9">
        <f t="shared" ref="E27:H27" si="20">E26+E23</f>
        <v>3545</v>
      </c>
      <c r="F27" s="9">
        <f t="shared" si="20"/>
        <v>10465.166666666668</v>
      </c>
      <c r="G27" s="9">
        <f t="shared" si="20"/>
        <v>19156.100000000002</v>
      </c>
      <c r="H27" s="9">
        <f t="shared" si="20"/>
        <v>29633.160000000003</v>
      </c>
      <c r="I27" s="9">
        <f>H27</f>
        <v>29633.160000000003</v>
      </c>
    </row>
    <row r="28" spans="1:11" s="5" customFormat="1" ht="30" x14ac:dyDescent="0.25">
      <c r="A28" s="258" t="s">
        <v>261</v>
      </c>
      <c r="C28" s="9">
        <f>C26</f>
        <v>-5000</v>
      </c>
      <c r="D28" s="9">
        <f>C28+D26</f>
        <v>-1155</v>
      </c>
      <c r="E28" s="9">
        <f t="shared" ref="E28:H28" si="21">D28+E26</f>
        <v>-1455</v>
      </c>
      <c r="F28" s="9">
        <f t="shared" si="21"/>
        <v>5465.1666666666679</v>
      </c>
      <c r="G28" s="9">
        <f t="shared" si="21"/>
        <v>14156.100000000002</v>
      </c>
      <c r="H28" s="9">
        <f t="shared" si="21"/>
        <v>24633.160000000003</v>
      </c>
      <c r="I28" s="46">
        <f>H28</f>
        <v>24633.160000000003</v>
      </c>
    </row>
    <row r="29" spans="1:11" ht="19.5" thickBot="1" x14ac:dyDescent="0.3">
      <c r="A29" s="47"/>
      <c r="B29" s="16"/>
      <c r="C29" s="23"/>
      <c r="D29" s="23"/>
      <c r="E29" s="23"/>
      <c r="F29" s="23"/>
      <c r="G29" s="23"/>
      <c r="H29" s="23"/>
    </row>
    <row r="30" spans="1:11" ht="55.5" thickBot="1" x14ac:dyDescent="0.3">
      <c r="A30" s="148" t="s">
        <v>379</v>
      </c>
      <c r="B30" s="53" t="s">
        <v>237</v>
      </c>
      <c r="C30" s="58" t="s">
        <v>5</v>
      </c>
      <c r="D30" s="59" t="s">
        <v>0</v>
      </c>
      <c r="E30" s="59" t="s">
        <v>1</v>
      </c>
      <c r="F30" s="59" t="s">
        <v>2</v>
      </c>
      <c r="G30" s="59" t="s">
        <v>3</v>
      </c>
      <c r="H30" s="59" t="s">
        <v>4</v>
      </c>
      <c r="I30" s="60" t="s">
        <v>238</v>
      </c>
    </row>
    <row r="31" spans="1:11" ht="38.25" thickBot="1" x14ac:dyDescent="0.3">
      <c r="A31" s="18" t="s">
        <v>262</v>
      </c>
      <c r="B31" s="14"/>
      <c r="C31" s="8">
        <f t="shared" ref="C31:D31" si="22">C26-C21</f>
        <v>-5000</v>
      </c>
      <c r="D31" s="8">
        <f t="shared" si="22"/>
        <v>4750</v>
      </c>
      <c r="E31" s="8">
        <f>E26-E21</f>
        <v>-300</v>
      </c>
      <c r="F31" s="8">
        <f t="shared" ref="F31:H31" si="23">F26-F21</f>
        <v>8250.0000000000018</v>
      </c>
      <c r="G31" s="8">
        <f t="shared" si="23"/>
        <v>10500.000000000002</v>
      </c>
      <c r="H31" s="8">
        <f t="shared" si="23"/>
        <v>12750.000000000002</v>
      </c>
      <c r="I31" s="62">
        <f>SUM(C31:H31)</f>
        <v>30950.000000000007</v>
      </c>
      <c r="K31"/>
    </row>
    <row r="32" spans="1:11" ht="38.25" thickBot="1" x14ac:dyDescent="0.3">
      <c r="A32" s="18" t="s">
        <v>263</v>
      </c>
      <c r="B32" s="14"/>
      <c r="C32" s="8">
        <f>C31+C21</f>
        <v>-5000</v>
      </c>
      <c r="D32" s="8">
        <f t="shared" ref="D32:H32" si="24">D31+D21</f>
        <v>3845</v>
      </c>
      <c r="E32" s="8">
        <f t="shared" si="24"/>
        <v>-300</v>
      </c>
      <c r="F32" s="8">
        <f t="shared" si="24"/>
        <v>6920.1666666666679</v>
      </c>
      <c r="G32" s="8">
        <f t="shared" si="24"/>
        <v>8690.9333333333343</v>
      </c>
      <c r="H32" s="8">
        <f t="shared" si="24"/>
        <v>10477.060000000001</v>
      </c>
      <c r="I32" s="81">
        <f>SUM(C32:H32)</f>
        <v>24633.160000000003</v>
      </c>
      <c r="J32"/>
      <c r="K32"/>
    </row>
    <row r="33" spans="1:11" ht="38.25" thickBot="1" x14ac:dyDescent="0.3">
      <c r="A33" s="45" t="s">
        <v>264</v>
      </c>
    </row>
    <row r="34" spans="1:11" ht="78.75" thickBot="1" x14ac:dyDescent="0.3">
      <c r="A34" s="148" t="s">
        <v>380</v>
      </c>
      <c r="B34" s="53" t="s">
        <v>237</v>
      </c>
      <c r="C34" s="58" t="s">
        <v>5</v>
      </c>
      <c r="D34" s="59" t="s">
        <v>0</v>
      </c>
      <c r="E34" s="59" t="s">
        <v>1</v>
      </c>
      <c r="F34" s="59" t="s">
        <v>2</v>
      </c>
      <c r="G34" s="59" t="s">
        <v>3</v>
      </c>
      <c r="H34" s="59" t="s">
        <v>4</v>
      </c>
      <c r="I34" s="60" t="s">
        <v>238</v>
      </c>
    </row>
    <row r="35" spans="1:11" ht="72" thickBot="1" x14ac:dyDescent="0.3">
      <c r="A35" s="18" t="s">
        <v>265</v>
      </c>
      <c r="B35" s="14"/>
      <c r="C35" s="8">
        <f t="shared" ref="C35:H35" si="25">IF(C28&lt;0,0,1)</f>
        <v>0</v>
      </c>
      <c r="D35" s="8">
        <f t="shared" si="25"/>
        <v>0</v>
      </c>
      <c r="E35" s="8">
        <f t="shared" si="25"/>
        <v>0</v>
      </c>
      <c r="F35" s="8">
        <f t="shared" si="25"/>
        <v>1</v>
      </c>
      <c r="G35" s="8">
        <f t="shared" si="25"/>
        <v>1</v>
      </c>
      <c r="H35" s="8">
        <f t="shared" si="25"/>
        <v>1</v>
      </c>
      <c r="I35" s="82">
        <f>I4-SUM(C35:H35)-SUM(C36:H36)</f>
        <v>2.2102550516606057</v>
      </c>
      <c r="K35"/>
    </row>
    <row r="36" spans="1:11" ht="15.75" thickBot="1" x14ac:dyDescent="0.3">
      <c r="A36" s="19" t="s">
        <v>266</v>
      </c>
      <c r="C36" s="20">
        <f>IF(AND(B35=0,C35=1),C28/E5,0)</f>
        <v>0</v>
      </c>
      <c r="D36" s="20">
        <f>IF(AND(C35=0,D35=1),D28/F5,0)</f>
        <v>0</v>
      </c>
      <c r="E36" s="20">
        <f>IF(AND(D35=0,E35=1),E28/G5,0)</f>
        <v>0</v>
      </c>
      <c r="F36" s="20">
        <f>IF(AND(E35=0,F35=1),F28/F32,0)</f>
        <v>0.78974494833939457</v>
      </c>
      <c r="G36" s="20">
        <f>IF(AND(F35=0,G35=1),G28/G26,0)</f>
        <v>0</v>
      </c>
      <c r="H36" s="20">
        <f>IF(AND(G35=0,H35=1),H28/J5,0)</f>
        <v>0</v>
      </c>
    </row>
    <row r="37" spans="1:11" ht="19.5" thickBot="1" x14ac:dyDescent="0.3">
      <c r="A37" s="14" t="s">
        <v>267</v>
      </c>
      <c r="C37" s="20"/>
      <c r="D37" s="20"/>
      <c r="E37" s="20"/>
      <c r="F37" s="20"/>
      <c r="G37" s="20"/>
      <c r="H37" s="20"/>
      <c r="I37" s="56">
        <f>I35</f>
        <v>2.2102550516606057</v>
      </c>
    </row>
    <row r="38" spans="1:11" ht="19.5" thickBot="1" x14ac:dyDescent="0.3">
      <c r="A38" s="14" t="s">
        <v>268</v>
      </c>
      <c r="C38" s="1">
        <f t="shared" ref="C38:H38" si="26">IF(C28&lt;0,C7,0)</f>
        <v>0</v>
      </c>
      <c r="D38" s="1">
        <f t="shared" si="26"/>
        <v>75</v>
      </c>
      <c r="E38" s="1">
        <f t="shared" si="26"/>
        <v>30</v>
      </c>
      <c r="F38" s="1">
        <f t="shared" si="26"/>
        <v>0</v>
      </c>
      <c r="G38" s="1">
        <f t="shared" si="26"/>
        <v>0</v>
      </c>
      <c r="H38" s="1">
        <f t="shared" si="26"/>
        <v>0</v>
      </c>
      <c r="I38" s="15">
        <f>SUM(C38:H38)+SUMPRODUCT(C7:H7,C36:H36)</f>
        <v>203.71811854242432</v>
      </c>
    </row>
    <row r="39" spans="1:11" s="5" customFormat="1" ht="30" x14ac:dyDescent="0.25">
      <c r="A39" s="258" t="s">
        <v>269</v>
      </c>
      <c r="C39" s="30"/>
      <c r="D39" s="30">
        <f>D32/D7</f>
        <v>51.266666666666666</v>
      </c>
      <c r="E39" s="30">
        <f>E32/E7</f>
        <v>-10</v>
      </c>
      <c r="F39" s="30">
        <f>F32/F7</f>
        <v>55.361333333333341</v>
      </c>
      <c r="G39" s="30">
        <f>G32/G7</f>
        <v>57.939555555555565</v>
      </c>
      <c r="H39" s="30">
        <f>H32/H7</f>
        <v>59.86891428571429</v>
      </c>
      <c r="I39" s="31"/>
      <c r="K39" s="30"/>
    </row>
    <row r="40" spans="1:11" s="5" customFormat="1" ht="30" x14ac:dyDescent="0.25">
      <c r="A40" s="258" t="s">
        <v>270</v>
      </c>
      <c r="C40" s="5">
        <f>C7</f>
        <v>0</v>
      </c>
      <c r="D40" s="5">
        <f>C40+D7</f>
        <v>75</v>
      </c>
      <c r="E40" s="5">
        <f>D40+E7</f>
        <v>105</v>
      </c>
      <c r="F40" s="5">
        <f>E40+F7</f>
        <v>230</v>
      </c>
      <c r="G40" s="5">
        <f>F40+G7</f>
        <v>380</v>
      </c>
      <c r="H40" s="5">
        <f>G40+H7</f>
        <v>555</v>
      </c>
      <c r="I40" s="31"/>
    </row>
    <row r="41" spans="1:11" ht="64.5" customHeight="1" thickBot="1" x14ac:dyDescent="0.3">
      <c r="A41" s="40" t="s">
        <v>271</v>
      </c>
      <c r="C41" s="280" t="s">
        <v>272</v>
      </c>
      <c r="D41" s="280"/>
      <c r="E41" s="280"/>
      <c r="F41" s="280"/>
      <c r="G41" s="280"/>
      <c r="H41" s="280"/>
    </row>
    <row r="42" spans="1:11" ht="78.75" thickBot="1" x14ac:dyDescent="0.3">
      <c r="A42" s="148" t="s">
        <v>381</v>
      </c>
      <c r="B42" s="53" t="s">
        <v>237</v>
      </c>
      <c r="C42" s="58" t="s">
        <v>5</v>
      </c>
      <c r="D42" s="59" t="s">
        <v>0</v>
      </c>
      <c r="E42" s="59" t="s">
        <v>1</v>
      </c>
      <c r="F42" s="59" t="s">
        <v>2</v>
      </c>
      <c r="G42" s="59" t="s">
        <v>3</v>
      </c>
      <c r="H42" s="59" t="s">
        <v>4</v>
      </c>
      <c r="I42" s="60" t="s">
        <v>238</v>
      </c>
    </row>
    <row r="43" spans="1:11" ht="38.25" thickBot="1" x14ac:dyDescent="0.3">
      <c r="A43" s="18" t="s">
        <v>263</v>
      </c>
      <c r="C43" s="8">
        <f t="shared" ref="C43:H43" si="27">C32</f>
        <v>-5000</v>
      </c>
      <c r="D43" s="8">
        <f t="shared" si="27"/>
        <v>3845</v>
      </c>
      <c r="E43" s="8">
        <f t="shared" si="27"/>
        <v>-300</v>
      </c>
      <c r="F43" s="8">
        <f t="shared" si="27"/>
        <v>6920.1666666666679</v>
      </c>
      <c r="G43" s="8">
        <f t="shared" si="27"/>
        <v>8690.9333333333343</v>
      </c>
      <c r="H43" s="8">
        <f t="shared" si="27"/>
        <v>10477.060000000001</v>
      </c>
      <c r="I43" s="21">
        <f>SUM(C43:H43)</f>
        <v>24633.160000000003</v>
      </c>
    </row>
    <row r="44" spans="1:11" ht="15.75" x14ac:dyDescent="0.25">
      <c r="A44" s="48" t="s">
        <v>273</v>
      </c>
      <c r="B44" s="16">
        <v>0.12</v>
      </c>
      <c r="C44" s="23">
        <f>1</f>
        <v>1</v>
      </c>
      <c r="D44" s="23">
        <f>(1+$B$55)^(D4-1)</f>
        <v>1.1200000000000001</v>
      </c>
      <c r="E44" s="23">
        <f>(1+$B$55)^(E4-1)</f>
        <v>1.2544000000000002</v>
      </c>
      <c r="F44" s="23">
        <f>(1+$B$55)^(F4-1)</f>
        <v>1.4049280000000004</v>
      </c>
      <c r="G44" s="23">
        <f>(1+$B$55)^(G4-1)</f>
        <v>1.5735193600000004</v>
      </c>
      <c r="H44" s="23">
        <f>(1+$B$55)^(H4-1)</f>
        <v>1.7623416832000005</v>
      </c>
      <c r="J44"/>
    </row>
    <row r="45" spans="1:11" ht="32.25" thickBot="1" x14ac:dyDescent="0.3">
      <c r="A45" s="261" t="s">
        <v>294</v>
      </c>
      <c r="B45" s="16"/>
      <c r="C45" s="23">
        <f t="shared" ref="C45:H45" si="28">C56</f>
        <v>1</v>
      </c>
      <c r="D45" s="23">
        <f t="shared" si="28"/>
        <v>0.89285714285714279</v>
      </c>
      <c r="E45" s="23">
        <f t="shared" si="28"/>
        <v>0.79719387755102034</v>
      </c>
      <c r="F45" s="23">
        <f t="shared" si="28"/>
        <v>0.71178024781341087</v>
      </c>
      <c r="G45" s="23">
        <f t="shared" si="28"/>
        <v>0.63551807840483121</v>
      </c>
      <c r="H45" s="23">
        <f t="shared" si="28"/>
        <v>0.56742685571859919</v>
      </c>
    </row>
    <row r="46" spans="1:11" ht="38.25" thickBot="1" x14ac:dyDescent="0.3">
      <c r="A46" s="18" t="s">
        <v>274</v>
      </c>
      <c r="B46" s="16"/>
      <c r="C46" s="50">
        <f t="shared" ref="C46:H46" si="29">C43*C45</f>
        <v>-5000</v>
      </c>
      <c r="D46" s="50">
        <f t="shared" si="29"/>
        <v>3433.0357142857142</v>
      </c>
      <c r="E46" s="50">
        <f t="shared" si="29"/>
        <v>-239.15816326530609</v>
      </c>
      <c r="F46" s="50">
        <f t="shared" si="29"/>
        <v>4925.6379449101059</v>
      </c>
      <c r="G46" s="50">
        <f t="shared" si="29"/>
        <v>5523.2452515444947</v>
      </c>
      <c r="H46" s="50">
        <f t="shared" si="29"/>
        <v>5944.9652129751075</v>
      </c>
      <c r="I46" s="83">
        <f>SUM(C46:H46)</f>
        <v>14587.725960450116</v>
      </c>
      <c r="J46" s="20"/>
      <c r="K46"/>
    </row>
    <row r="47" spans="1:11" ht="38.25" thickBot="1" x14ac:dyDescent="0.3">
      <c r="A47" s="93" t="s">
        <v>275</v>
      </c>
      <c r="C47" s="1" t="s">
        <v>277</v>
      </c>
    </row>
    <row r="48" spans="1:11" ht="55.5" thickBot="1" x14ac:dyDescent="0.3">
      <c r="A48" s="148" t="s">
        <v>382</v>
      </c>
      <c r="B48" s="53" t="s">
        <v>237</v>
      </c>
      <c r="C48" s="58" t="s">
        <v>5</v>
      </c>
      <c r="D48" s="59" t="s">
        <v>0</v>
      </c>
      <c r="E48" s="59" t="s">
        <v>1</v>
      </c>
      <c r="F48" s="59" t="s">
        <v>2</v>
      </c>
      <c r="G48" s="59" t="s">
        <v>3</v>
      </c>
      <c r="H48" s="59" t="s">
        <v>4</v>
      </c>
      <c r="I48" s="60" t="s">
        <v>238</v>
      </c>
    </row>
    <row r="49" spans="1:11" ht="38.25" thickBot="1" x14ac:dyDescent="0.3">
      <c r="A49" s="18" t="s">
        <v>263</v>
      </c>
      <c r="C49" s="8">
        <f t="shared" ref="C49:H49" si="30">C32</f>
        <v>-5000</v>
      </c>
      <c r="D49" s="8">
        <f t="shared" si="30"/>
        <v>3845</v>
      </c>
      <c r="E49" s="8">
        <f t="shared" si="30"/>
        <v>-300</v>
      </c>
      <c r="F49" s="8">
        <f t="shared" si="30"/>
        <v>6920.1666666666679</v>
      </c>
      <c r="G49" s="8">
        <f t="shared" si="30"/>
        <v>8690.9333333333343</v>
      </c>
      <c r="H49" s="8">
        <f t="shared" si="30"/>
        <v>10477.060000000001</v>
      </c>
      <c r="I49" s="21">
        <f>SUM(C49:H49)</f>
        <v>24633.160000000003</v>
      </c>
    </row>
    <row r="50" spans="1:11" ht="16.5" thickBot="1" x14ac:dyDescent="0.3">
      <c r="A50" s="48" t="s">
        <v>279</v>
      </c>
      <c r="B50" s="16">
        <v>0.1</v>
      </c>
      <c r="C50" s="23">
        <f t="shared" ref="C50:H50" si="31">(1+$B$50)^($I$4-C4)</f>
        <v>1.6105100000000006</v>
      </c>
      <c r="D50" s="23">
        <f t="shared" si="31"/>
        <v>1.4641000000000004</v>
      </c>
      <c r="E50" s="23">
        <f t="shared" si="31"/>
        <v>1.3310000000000004</v>
      </c>
      <c r="F50" s="23">
        <f t="shared" si="31"/>
        <v>1.2100000000000002</v>
      </c>
      <c r="G50" s="23">
        <f t="shared" si="31"/>
        <v>1.1000000000000001</v>
      </c>
      <c r="H50" s="23">
        <f t="shared" si="31"/>
        <v>1</v>
      </c>
      <c r="J50"/>
    </row>
    <row r="51" spans="1:11" ht="68.25" thickBot="1" x14ac:dyDescent="0.3">
      <c r="A51" s="18" t="s">
        <v>280</v>
      </c>
      <c r="B51" s="16"/>
      <c r="C51" s="50">
        <f>IF(C49&lt;0,0,C49*C50)</f>
        <v>0</v>
      </c>
      <c r="D51" s="50">
        <f>IF(D49&lt;0,0,D49*D50)</f>
        <v>5629.4645000000019</v>
      </c>
      <c r="E51" s="50">
        <f t="shared" ref="E51:H51" si="32">IF(E49&lt;0,0,E49*E50)</f>
        <v>0</v>
      </c>
      <c r="F51" s="50">
        <f t="shared" si="32"/>
        <v>8373.4016666666703</v>
      </c>
      <c r="G51" s="50">
        <f t="shared" si="32"/>
        <v>9560.0266666666685</v>
      </c>
      <c r="H51" s="50">
        <f t="shared" si="32"/>
        <v>10477.060000000001</v>
      </c>
      <c r="I51" s="83">
        <f>SUM(C51:H51)</f>
        <v>34039.952833333344</v>
      </c>
      <c r="J51" s="20"/>
      <c r="K51"/>
    </row>
    <row r="52" spans="1:11" ht="38.25" thickBot="1" x14ac:dyDescent="0.3">
      <c r="A52" s="93" t="s">
        <v>276</v>
      </c>
      <c r="C52" s="1" t="s">
        <v>278</v>
      </c>
    </row>
    <row r="53" spans="1:11" ht="78.75" thickBot="1" x14ac:dyDescent="0.3">
      <c r="A53" s="148" t="s">
        <v>377</v>
      </c>
      <c r="B53" s="53" t="s">
        <v>237</v>
      </c>
      <c r="C53" s="58" t="s">
        <v>5</v>
      </c>
      <c r="D53" s="59" t="s">
        <v>0</v>
      </c>
      <c r="E53" s="59" t="s">
        <v>1</v>
      </c>
      <c r="F53" s="59" t="s">
        <v>2</v>
      </c>
      <c r="G53" s="59" t="s">
        <v>3</v>
      </c>
      <c r="H53" s="59" t="s">
        <v>4</v>
      </c>
      <c r="I53" s="60" t="s">
        <v>238</v>
      </c>
    </row>
    <row r="54" spans="1:11" s="51" customFormat="1" ht="38.25" thickBot="1" x14ac:dyDescent="0.3">
      <c r="A54" s="18" t="s">
        <v>263</v>
      </c>
      <c r="C54" s="8">
        <f t="shared" ref="C54:H54" si="33">C32</f>
        <v>-5000</v>
      </c>
      <c r="D54" s="8">
        <f t="shared" si="33"/>
        <v>3845</v>
      </c>
      <c r="E54" s="8">
        <f t="shared" si="33"/>
        <v>-300</v>
      </c>
      <c r="F54" s="8">
        <f t="shared" si="33"/>
        <v>6920.1666666666679</v>
      </c>
      <c r="G54" s="8">
        <f t="shared" si="33"/>
        <v>8690.9333333333343</v>
      </c>
      <c r="H54" s="8">
        <f t="shared" si="33"/>
        <v>10477.060000000001</v>
      </c>
      <c r="I54" s="21">
        <f>SUM(C54:H54)</f>
        <v>24633.160000000003</v>
      </c>
      <c r="J54"/>
    </row>
    <row r="55" spans="1:11" ht="15.75" x14ac:dyDescent="0.25">
      <c r="A55" s="48" t="s">
        <v>273</v>
      </c>
      <c r="B55" s="16">
        <v>0.12</v>
      </c>
      <c r="C55" s="23">
        <f>1</f>
        <v>1</v>
      </c>
      <c r="D55" s="23">
        <f>(1+$B$55)^(D4-1)</f>
        <v>1.1200000000000001</v>
      </c>
      <c r="E55" s="23">
        <f>(1+$B$55)^(E4-1)</f>
        <v>1.2544000000000002</v>
      </c>
      <c r="F55" s="23">
        <f>(1+$B$55)^(F4-1)</f>
        <v>1.4049280000000004</v>
      </c>
      <c r="G55" s="23">
        <f>(1+$B$55)^(G4-1)</f>
        <v>1.5735193600000004</v>
      </c>
      <c r="H55" s="23">
        <f>(1+$B$55)^(H4-1)</f>
        <v>1.7623416832000005</v>
      </c>
    </row>
    <row r="56" spans="1:11" ht="32.25" thickBot="1" x14ac:dyDescent="0.3">
      <c r="A56" s="261" t="s">
        <v>294</v>
      </c>
      <c r="B56" s="16"/>
      <c r="C56" s="23">
        <f>1/C55</f>
        <v>1</v>
      </c>
      <c r="D56" s="23">
        <f t="shared" ref="D56:H56" si="34">1/D55</f>
        <v>0.89285714285714279</v>
      </c>
      <c r="E56" s="23">
        <f t="shared" si="34"/>
        <v>0.79719387755102034</v>
      </c>
      <c r="F56" s="23">
        <f t="shared" si="34"/>
        <v>0.71178024781341087</v>
      </c>
      <c r="G56" s="23">
        <f t="shared" si="34"/>
        <v>0.63551807840483121</v>
      </c>
      <c r="H56" s="23">
        <f t="shared" si="34"/>
        <v>0.56742685571859919</v>
      </c>
      <c r="J56"/>
    </row>
    <row r="57" spans="1:11" ht="32.25" thickBot="1" x14ac:dyDescent="0.3">
      <c r="A57" s="260" t="s">
        <v>281</v>
      </c>
      <c r="B57" s="16"/>
      <c r="C57" s="25">
        <f t="shared" ref="C57:H57" si="35">C25*C56</f>
        <v>-5000</v>
      </c>
      <c r="D57" s="25">
        <f t="shared" si="35"/>
        <v>-11745.535714285714</v>
      </c>
      <c r="E57" s="25">
        <f t="shared" si="35"/>
        <v>-9008.2908163265292</v>
      </c>
      <c r="F57" s="25">
        <f t="shared" si="35"/>
        <v>-12868.868250425165</v>
      </c>
      <c r="G57" s="25">
        <f t="shared" si="35"/>
        <v>-13542.297100600441</v>
      </c>
      <c r="H57" s="25">
        <f t="shared" si="35"/>
        <v>-13914.974737175864</v>
      </c>
      <c r="I57" s="21">
        <f>SUM(C57:H57)</f>
        <v>-66079.96661881372</v>
      </c>
      <c r="J57"/>
    </row>
    <row r="58" spans="1:11" ht="32.25" thickBot="1" x14ac:dyDescent="0.3">
      <c r="A58" s="260" t="s">
        <v>283</v>
      </c>
      <c r="B58" s="16"/>
      <c r="C58" s="25">
        <f>C57</f>
        <v>-5000</v>
      </c>
      <c r="D58" s="25">
        <f>C58+D57</f>
        <v>-16745.535714285714</v>
      </c>
      <c r="E58" s="25">
        <f t="shared" ref="E58:H58" si="36">D58+E57</f>
        <v>-25753.826530612241</v>
      </c>
      <c r="F58" s="25">
        <f t="shared" si="36"/>
        <v>-38622.694781037404</v>
      </c>
      <c r="G58" s="25">
        <f t="shared" si="36"/>
        <v>-52164.991881637849</v>
      </c>
      <c r="H58" s="25">
        <f t="shared" si="36"/>
        <v>-66079.96661881372</v>
      </c>
      <c r="I58" s="21">
        <f>H58</f>
        <v>-66079.96661881372</v>
      </c>
    </row>
    <row r="59" spans="1:11" ht="32.25" thickBot="1" x14ac:dyDescent="0.3">
      <c r="A59" s="260" t="s">
        <v>282</v>
      </c>
      <c r="B59" s="16"/>
      <c r="C59" s="25">
        <f t="shared" ref="C59:H59" si="37">C24*C56</f>
        <v>0</v>
      </c>
      <c r="D59" s="25">
        <f t="shared" si="37"/>
        <v>15178.571428571428</v>
      </c>
      <c r="E59" s="25">
        <f t="shared" si="37"/>
        <v>8769.1326530612241</v>
      </c>
      <c r="F59" s="25">
        <f t="shared" si="37"/>
        <v>17794.506195335271</v>
      </c>
      <c r="G59" s="25">
        <f t="shared" si="37"/>
        <v>19065.542352144937</v>
      </c>
      <c r="H59" s="25">
        <f t="shared" si="37"/>
        <v>19859.939950150972</v>
      </c>
      <c r="I59" s="21">
        <f>SUM(C59:H59)</f>
        <v>80667.692579263836</v>
      </c>
    </row>
    <row r="60" spans="1:11" ht="32.25" thickBot="1" x14ac:dyDescent="0.3">
      <c r="A60" s="260" t="s">
        <v>284</v>
      </c>
      <c r="B60" s="16"/>
      <c r="C60" s="25">
        <f>C59</f>
        <v>0</v>
      </c>
      <c r="D60" s="25">
        <f>C60+D59</f>
        <v>15178.571428571428</v>
      </c>
      <c r="E60" s="25">
        <f t="shared" ref="E60:H60" si="38">D60+E59</f>
        <v>23947.704081632652</v>
      </c>
      <c r="F60" s="25">
        <f t="shared" si="38"/>
        <v>41742.210276967919</v>
      </c>
      <c r="G60" s="25">
        <f t="shared" si="38"/>
        <v>60807.75262911286</v>
      </c>
      <c r="H60" s="25">
        <f t="shared" si="38"/>
        <v>80667.692579263836</v>
      </c>
      <c r="I60" s="21">
        <f>H60</f>
        <v>80667.692579263836</v>
      </c>
      <c r="J60" s="20"/>
      <c r="K60" s="20"/>
    </row>
    <row r="61" spans="1:11" ht="49.5" thickBot="1" x14ac:dyDescent="0.3">
      <c r="A61" s="18" t="s">
        <v>285</v>
      </c>
      <c r="C61" s="24">
        <f>C32*C56</f>
        <v>-5000</v>
      </c>
      <c r="D61" s="24">
        <f>D54*D56+C61</f>
        <v>-1566.9642857142858</v>
      </c>
      <c r="E61" s="24">
        <f t="shared" ref="E61:H61" si="39">E54*E56+D61</f>
        <v>-1806.1224489795918</v>
      </c>
      <c r="F61" s="24">
        <f t="shared" si="39"/>
        <v>3119.5154959305141</v>
      </c>
      <c r="G61" s="24">
        <f t="shared" si="39"/>
        <v>8642.7607474750093</v>
      </c>
      <c r="H61" s="24">
        <f t="shared" si="39"/>
        <v>14587.725960450116</v>
      </c>
      <c r="I61" s="21">
        <f>H61</f>
        <v>14587.725960450116</v>
      </c>
      <c r="K61" s="20"/>
    </row>
    <row r="62" spans="1:11" ht="49.5" thickBot="1" x14ac:dyDescent="0.3">
      <c r="A62" s="18" t="s">
        <v>286</v>
      </c>
      <c r="C62" s="24">
        <f>C54*C56</f>
        <v>-5000</v>
      </c>
      <c r="D62" s="24">
        <f t="shared" ref="D62:H62" si="40">D54*D56</f>
        <v>3433.0357142857142</v>
      </c>
      <c r="E62" s="24">
        <f t="shared" si="40"/>
        <v>-239.15816326530609</v>
      </c>
      <c r="F62" s="24">
        <f t="shared" si="40"/>
        <v>4925.6379449101059</v>
      </c>
      <c r="G62" s="24">
        <f t="shared" si="40"/>
        <v>5523.2452515444947</v>
      </c>
      <c r="H62" s="24">
        <f t="shared" si="40"/>
        <v>5944.9652129751075</v>
      </c>
      <c r="I62" s="21">
        <f>SUM(C62:H62)</f>
        <v>14587.725960450116</v>
      </c>
    </row>
    <row r="63" spans="1:11" ht="48.75" customHeight="1" thickBot="1" x14ac:dyDescent="0.3">
      <c r="A63" s="18" t="s">
        <v>287</v>
      </c>
      <c r="C63" s="289" t="s">
        <v>291</v>
      </c>
      <c r="D63" s="289"/>
      <c r="E63" s="289"/>
      <c r="F63" s="289"/>
      <c r="G63" s="289"/>
      <c r="H63" s="290"/>
      <c r="I63" s="83">
        <f>NPV(B55,D32:H32)+C62</f>
        <v>14587.725960450116</v>
      </c>
    </row>
    <row r="64" spans="1:11" ht="37.5" x14ac:dyDescent="0.25">
      <c r="A64" s="93" t="s">
        <v>290</v>
      </c>
      <c r="C64" s="1" t="s">
        <v>288</v>
      </c>
    </row>
    <row r="65" spans="1:10" ht="94.5" thickBot="1" x14ac:dyDescent="0.3">
      <c r="A65" s="39" t="s">
        <v>289</v>
      </c>
      <c r="C65" s="55"/>
      <c r="D65" s="55"/>
      <c r="E65" s="55"/>
      <c r="F65" s="55"/>
      <c r="G65" s="55"/>
      <c r="H65" s="41"/>
      <c r="I65" s="26"/>
    </row>
    <row r="66" spans="1:10" ht="55.5" thickBot="1" x14ac:dyDescent="0.3">
      <c r="A66" s="148" t="s">
        <v>383</v>
      </c>
      <c r="B66" s="53" t="s">
        <v>237</v>
      </c>
      <c r="C66" s="58" t="s">
        <v>5</v>
      </c>
      <c r="D66" s="59" t="s">
        <v>0</v>
      </c>
      <c r="E66" s="59" t="s">
        <v>1</v>
      </c>
      <c r="F66" s="59" t="s">
        <v>2</v>
      </c>
      <c r="G66" s="59" t="s">
        <v>3</v>
      </c>
      <c r="H66" s="59" t="s">
        <v>4</v>
      </c>
      <c r="I66" s="60" t="s">
        <v>238</v>
      </c>
    </row>
    <row r="67" spans="1:10" ht="35.25" thickBot="1" x14ac:dyDescent="0.3">
      <c r="A67" s="18" t="s">
        <v>293</v>
      </c>
      <c r="C67" s="1" t="s">
        <v>292</v>
      </c>
      <c r="I67" s="91">
        <f>IRR(C32:H32,0.0001)</f>
        <v>0.74393572597316626</v>
      </c>
    </row>
    <row r="68" spans="1:10" ht="18.75" x14ac:dyDescent="0.25">
      <c r="A68" s="34" t="s">
        <v>295</v>
      </c>
      <c r="I68" s="33"/>
    </row>
    <row r="69" spans="1:10" ht="15.75" x14ac:dyDescent="0.25">
      <c r="A69" s="32" t="s">
        <v>296</v>
      </c>
      <c r="B69" s="16">
        <v>0.7</v>
      </c>
      <c r="C69" s="23">
        <f>1</f>
        <v>1</v>
      </c>
      <c r="D69" s="23">
        <f>1/(1+$B$69)^(D4-1)</f>
        <v>0.58823529411764708</v>
      </c>
      <c r="E69" s="23">
        <f>1/(1+$B$69)^(E4-1)</f>
        <v>0.34602076124567477</v>
      </c>
      <c r="F69" s="23">
        <f>1/(1+$B$69)^(F4-1)</f>
        <v>0.20354162426216163</v>
      </c>
      <c r="G69" s="23">
        <f>1/(1+$B$69)^(G4-1)</f>
        <v>0.11973036721303627</v>
      </c>
      <c r="H69" s="23">
        <f>1/(1+$B$69)^(H4-1)</f>
        <v>7.042962777237427E-2</v>
      </c>
    </row>
    <row r="70" spans="1:10" ht="15.75" x14ac:dyDescent="0.25">
      <c r="A70" s="32" t="s">
        <v>10</v>
      </c>
      <c r="C70" s="24">
        <f>C32*C69</f>
        <v>-5000</v>
      </c>
      <c r="D70" s="24">
        <f>D32*D69+C70</f>
        <v>-2738.2352941176468</v>
      </c>
      <c r="E70" s="24">
        <f>E32*E69+D70</f>
        <v>-2842.0415224913495</v>
      </c>
      <c r="F70" s="24">
        <f>F32*F69+E70</f>
        <v>-1433.499558993147</v>
      </c>
      <c r="G70" s="24">
        <f>G32*G69+F70</f>
        <v>-392.93091956912963</v>
      </c>
      <c r="H70" s="24">
        <f>H32*H69+G70</f>
        <v>344.96451637970199</v>
      </c>
    </row>
    <row r="71" spans="1:10" ht="15.75" x14ac:dyDescent="0.25">
      <c r="A71" s="32" t="s">
        <v>296</v>
      </c>
      <c r="B71" s="16">
        <v>0.74</v>
      </c>
      <c r="C71" s="23">
        <f>1</f>
        <v>1</v>
      </c>
      <c r="D71" s="23">
        <f>1/(1+$B$71)^(D4-1)</f>
        <v>0.57471264367816088</v>
      </c>
      <c r="E71" s="23">
        <f>1/(1+$B$71)^(E4-1)</f>
        <v>0.33029462280354077</v>
      </c>
      <c r="F71" s="23">
        <f>1/(1+$B$71)^(F4-1)</f>
        <v>0.18982449586410385</v>
      </c>
      <c r="G71" s="23">
        <f>1/(1+$B$71)^(G4-1)</f>
        <v>0.10909453785293326</v>
      </c>
      <c r="H71" s="23">
        <f>1/(1+$B$71)^(H4-1)</f>
        <v>6.2698010260306469E-2</v>
      </c>
    </row>
    <row r="72" spans="1:10" ht="15.75" x14ac:dyDescent="0.25">
      <c r="A72" s="32" t="s">
        <v>10</v>
      </c>
      <c r="C72" s="24">
        <f>C32*C71</f>
        <v>-5000</v>
      </c>
      <c r="D72" s="24">
        <f>D32*D71+C72</f>
        <v>-2790.2298850574716</v>
      </c>
      <c r="E72" s="24">
        <f>E32*E71+D72</f>
        <v>-2889.318271898534</v>
      </c>
      <c r="F72" s="24">
        <f>F32*F71+E72</f>
        <v>-1575.7011231029578</v>
      </c>
      <c r="G72" s="24">
        <f>G32*G71+F72</f>
        <v>-627.56776759230502</v>
      </c>
      <c r="H72" s="24">
        <f>H32*H71+G72</f>
        <v>29.323047785541576</v>
      </c>
      <c r="J72"/>
    </row>
    <row r="73" spans="1:10" ht="16.5" thickBot="1" x14ac:dyDescent="0.3">
      <c r="A73" s="32" t="s">
        <v>296</v>
      </c>
      <c r="B73" s="27">
        <v>0.74393573000000002</v>
      </c>
      <c r="C73" s="23">
        <f>1</f>
        <v>1</v>
      </c>
      <c r="D73" s="23">
        <f>1/(1+$B$73)^(D4-1)</f>
        <v>0.57341562696235371</v>
      </c>
      <c r="E73" s="23">
        <f>1/(1+$B$73)^(E4-1)</f>
        <v>0.32880548124462916</v>
      </c>
      <c r="F73" s="23">
        <f>1/(1+$B$73)^(F4-1)</f>
        <v>0.18854220117654746</v>
      </c>
      <c r="G73" s="23">
        <f>1/(1+$B$73)^(G4-1)</f>
        <v>0.1081130444965122</v>
      </c>
      <c r="H73" s="23">
        <f>1/(1+$B$73)^(H4-1)</f>
        <v>6.1993709192776379E-2</v>
      </c>
      <c r="J73" s="4" t="s">
        <v>297</v>
      </c>
    </row>
    <row r="74" spans="1:10" ht="19.5" thickBot="1" x14ac:dyDescent="0.3">
      <c r="A74" s="32" t="s">
        <v>10</v>
      </c>
      <c r="C74" s="24">
        <f>C32*C73</f>
        <v>-5000</v>
      </c>
      <c r="D74" s="24">
        <f>D32*D73+C74</f>
        <v>-2795.2169143297501</v>
      </c>
      <c r="E74" s="24">
        <f>E32*E73+D74</f>
        <v>-2893.8585587031389</v>
      </c>
      <c r="F74" s="24">
        <f>F32*F73+E74</f>
        <v>-1589.1151028612342</v>
      </c>
      <c r="G74" s="24">
        <f>G32*G73+F74</f>
        <v>-649.51184067834629</v>
      </c>
      <c r="H74" s="28">
        <f>H32*H73+G74</f>
        <v>-2.9843076504221244E-5</v>
      </c>
      <c r="J74"/>
    </row>
    <row r="75" spans="1:10" ht="15.75" x14ac:dyDescent="0.25">
      <c r="A75" s="32" t="s">
        <v>296</v>
      </c>
      <c r="B75" s="16">
        <v>0.75</v>
      </c>
      <c r="C75" s="23">
        <f>1</f>
        <v>1</v>
      </c>
      <c r="D75" s="23">
        <f>1/(1+$B$75)^(D4-1)</f>
        <v>0.5714285714285714</v>
      </c>
      <c r="E75" s="23">
        <f>1/(1+$B$75)^(E4-1)</f>
        <v>0.32653061224489793</v>
      </c>
      <c r="F75" s="23">
        <f>1/(1+$B$75)^(F4-1)</f>
        <v>0.18658892128279883</v>
      </c>
      <c r="G75" s="23">
        <f>1/(1+$B$75)^(G4-1)</f>
        <v>0.10662224073302791</v>
      </c>
      <c r="H75" s="23">
        <f>1/(1+$B$75)^(H4-1)</f>
        <v>6.0926994704587373E-2</v>
      </c>
    </row>
    <row r="76" spans="1:10" ht="15.75" x14ac:dyDescent="0.25">
      <c r="A76" s="32" t="s">
        <v>10</v>
      </c>
      <c r="C76" s="24">
        <f>C32*C75</f>
        <v>-5000</v>
      </c>
      <c r="D76" s="24">
        <f>D32*D75+C76</f>
        <v>-2802.8571428571431</v>
      </c>
      <c r="E76" s="24">
        <f>E32*E75+D76</f>
        <v>-2900.8163265306125</v>
      </c>
      <c r="F76" s="24">
        <f>F32*F75+E76</f>
        <v>-1609.5898931000972</v>
      </c>
      <c r="G76" s="24">
        <f>G32*G75+F76</f>
        <v>-682.94310703873373</v>
      </c>
      <c r="H76" s="24">
        <f>H32*H75+G76</f>
        <v>-44.607327899089455</v>
      </c>
    </row>
    <row r="77" spans="1:10" ht="56.25" x14ac:dyDescent="0.25">
      <c r="A77" s="39" t="s">
        <v>298</v>
      </c>
      <c r="C77" s="24"/>
      <c r="D77" s="24"/>
      <c r="E77" s="24"/>
      <c r="F77" s="24"/>
      <c r="G77" s="24"/>
      <c r="H77" s="24"/>
    </row>
    <row r="78" spans="1:10" ht="37.5" hidden="1" x14ac:dyDescent="0.25">
      <c r="A78" s="93" t="s">
        <v>299</v>
      </c>
    </row>
    <row r="79" spans="1:10" ht="19.5" thickBot="1" x14ac:dyDescent="0.3">
      <c r="A79" s="37" t="s">
        <v>300</v>
      </c>
    </row>
    <row r="80" spans="1:10" ht="105" thickBot="1" x14ac:dyDescent="0.3">
      <c r="A80" s="148" t="s">
        <v>384</v>
      </c>
      <c r="B80" s="53" t="s">
        <v>237</v>
      </c>
      <c r="C80" s="58" t="s">
        <v>5</v>
      </c>
      <c r="D80" s="59" t="s">
        <v>0</v>
      </c>
      <c r="E80" s="59" t="s">
        <v>1</v>
      </c>
      <c r="F80" s="59" t="s">
        <v>2</v>
      </c>
      <c r="G80" s="59" t="s">
        <v>3</v>
      </c>
      <c r="H80" s="59" t="s">
        <v>4</v>
      </c>
      <c r="I80" s="60" t="s">
        <v>238</v>
      </c>
    </row>
    <row r="81" spans="1:10" ht="37.5" x14ac:dyDescent="0.25">
      <c r="A81" s="18" t="s">
        <v>263</v>
      </c>
      <c r="C81" s="35">
        <f t="shared" ref="C81:H81" si="41">C32</f>
        <v>-5000</v>
      </c>
      <c r="D81" s="35">
        <f t="shared" si="41"/>
        <v>3845</v>
      </c>
      <c r="E81" s="35">
        <f t="shared" si="41"/>
        <v>-300</v>
      </c>
      <c r="F81" s="35">
        <f t="shared" si="41"/>
        <v>6920.1666666666679</v>
      </c>
      <c r="G81" s="35">
        <f t="shared" si="41"/>
        <v>8690.9333333333343</v>
      </c>
      <c r="H81" s="35">
        <f t="shared" si="41"/>
        <v>10477.060000000001</v>
      </c>
    </row>
    <row r="82" spans="1:10" ht="32.25" thickBot="1" x14ac:dyDescent="0.3">
      <c r="A82" s="261" t="s">
        <v>294</v>
      </c>
      <c r="B82" s="16">
        <v>0.12</v>
      </c>
      <c r="C82" s="23">
        <f t="shared" ref="C82:H82" si="42">C56</f>
        <v>1</v>
      </c>
      <c r="D82" s="23">
        <f t="shared" si="42"/>
        <v>0.89285714285714279</v>
      </c>
      <c r="E82" s="23">
        <f t="shared" si="42"/>
        <v>0.79719387755102034</v>
      </c>
      <c r="F82" s="23">
        <f t="shared" si="42"/>
        <v>0.71178024781341087</v>
      </c>
      <c r="G82" s="23">
        <f t="shared" si="42"/>
        <v>0.63551807840483121</v>
      </c>
      <c r="H82" s="23">
        <f t="shared" si="42"/>
        <v>0.56742685571859919</v>
      </c>
    </row>
    <row r="83" spans="1:10" ht="38.25" thickBot="1" x14ac:dyDescent="0.3">
      <c r="A83" s="18" t="s">
        <v>301</v>
      </c>
      <c r="C83" s="24">
        <f>C81*C82</f>
        <v>-5000</v>
      </c>
      <c r="D83" s="24">
        <f t="shared" ref="D83:H83" si="43">D81*D82</f>
        <v>3433.0357142857142</v>
      </c>
      <c r="E83" s="24">
        <f t="shared" si="43"/>
        <v>-239.15816326530609</v>
      </c>
      <c r="F83" s="24">
        <f t="shared" si="43"/>
        <v>4925.6379449101059</v>
      </c>
      <c r="G83" s="24">
        <f t="shared" si="43"/>
        <v>5523.2452515444947</v>
      </c>
      <c r="H83" s="24">
        <f t="shared" si="43"/>
        <v>5944.9652129751075</v>
      </c>
      <c r="I83" s="21">
        <f>SUM(C83:H83)</f>
        <v>14587.725960450116</v>
      </c>
      <c r="J83"/>
    </row>
    <row r="84" spans="1:10" ht="38.25" thickBot="1" x14ac:dyDescent="0.3">
      <c r="A84" s="262" t="s">
        <v>302</v>
      </c>
      <c r="C84" s="24">
        <f>C83</f>
        <v>-5000</v>
      </c>
      <c r="D84" s="24">
        <f>C84+D83</f>
        <v>-1566.9642857142858</v>
      </c>
      <c r="E84" s="24">
        <f t="shared" ref="E84:H84" si="44">D84+E83</f>
        <v>-1806.1224489795918</v>
      </c>
      <c r="F84" s="24">
        <f t="shared" si="44"/>
        <v>3119.5154959305141</v>
      </c>
      <c r="G84" s="24">
        <f t="shared" si="44"/>
        <v>8642.7607474750093</v>
      </c>
      <c r="H84" s="24">
        <f t="shared" si="44"/>
        <v>14587.725960450116</v>
      </c>
    </row>
    <row r="85" spans="1:10" ht="34.5" thickBot="1" x14ac:dyDescent="0.3">
      <c r="A85" s="18" t="s">
        <v>412</v>
      </c>
      <c r="B85" s="14"/>
      <c r="C85" s="8">
        <f>IF(C84&lt;0,0,1)</f>
        <v>0</v>
      </c>
      <c r="D85" s="8">
        <f t="shared" ref="D85:H85" si="45">IF(D84&lt;0,0,1)</f>
        <v>0</v>
      </c>
      <c r="E85" s="8">
        <f t="shared" si="45"/>
        <v>0</v>
      </c>
      <c r="F85" s="8">
        <f t="shared" si="45"/>
        <v>1</v>
      </c>
      <c r="G85" s="8">
        <f t="shared" si="45"/>
        <v>1</v>
      </c>
      <c r="H85" s="8">
        <f t="shared" si="45"/>
        <v>1</v>
      </c>
      <c r="I85" s="85">
        <f>I4-SUM(C85:H85)-SUM(C86:H86)</f>
        <v>2.3666778738469691</v>
      </c>
    </row>
    <row r="86" spans="1:10" ht="30" x14ac:dyDescent="0.25">
      <c r="A86" s="263" t="s">
        <v>303</v>
      </c>
      <c r="C86" s="20">
        <f>IF(AND(B85=0,C85=1),C84/E5,0)</f>
        <v>0</v>
      </c>
      <c r="D86" s="20">
        <f>IF(AND(C85=0,D85=1),D84/F5,0)</f>
        <v>0</v>
      </c>
      <c r="E86" s="20">
        <f>IF(AND(D85=0,E85=1),E84/G5,0)</f>
        <v>0</v>
      </c>
      <c r="F86" s="20">
        <f>IF(AND(E85=0,F85=1),F84/F83,0)</f>
        <v>0.63332212615303096</v>
      </c>
      <c r="G86" s="20">
        <f>IF(AND(F85=0,G85=1),G84/G83,0)</f>
        <v>0</v>
      </c>
      <c r="H86" s="20">
        <f>IF(AND(G85=0,H85=1),H84/J5,0)</f>
        <v>0</v>
      </c>
    </row>
    <row r="87" spans="1:10" ht="18.75" x14ac:dyDescent="0.25">
      <c r="A87" s="40" t="s">
        <v>271</v>
      </c>
    </row>
    <row r="88" spans="1:10" ht="19.5" thickBot="1" x14ac:dyDescent="0.3">
      <c r="A88" s="38" t="s">
        <v>304</v>
      </c>
    </row>
    <row r="89" spans="1:10" ht="105" thickBot="1" x14ac:dyDescent="0.3">
      <c r="A89" s="148" t="s">
        <v>385</v>
      </c>
      <c r="B89" s="53" t="s">
        <v>237</v>
      </c>
      <c r="C89" s="58" t="s">
        <v>5</v>
      </c>
      <c r="D89" s="59" t="s">
        <v>0</v>
      </c>
      <c r="E89" s="59" t="s">
        <v>1</v>
      </c>
      <c r="F89" s="59" t="s">
        <v>2</v>
      </c>
      <c r="G89" s="59" t="s">
        <v>3</v>
      </c>
      <c r="H89" s="59" t="s">
        <v>4</v>
      </c>
      <c r="I89" s="60" t="s">
        <v>238</v>
      </c>
    </row>
    <row r="90" spans="1:10" ht="38.25" thickBot="1" x14ac:dyDescent="0.3">
      <c r="A90" s="262" t="s">
        <v>302</v>
      </c>
      <c r="B90" s="16">
        <v>0.12</v>
      </c>
      <c r="C90" s="24">
        <f t="shared" ref="C90:H90" si="46">C84</f>
        <v>-5000</v>
      </c>
      <c r="D90" s="24">
        <f t="shared" si="46"/>
        <v>-1566.9642857142858</v>
      </c>
      <c r="E90" s="24">
        <f t="shared" si="46"/>
        <v>-1806.1224489795918</v>
      </c>
      <c r="F90" s="24">
        <f t="shared" si="46"/>
        <v>3119.5154959305141</v>
      </c>
      <c r="G90" s="24">
        <f t="shared" si="46"/>
        <v>8642.7607474750093</v>
      </c>
      <c r="H90" s="24">
        <f t="shared" si="46"/>
        <v>14587.725960450116</v>
      </c>
      <c r="I90" s="63">
        <f>H90</f>
        <v>14587.725960450116</v>
      </c>
      <c r="J90"/>
    </row>
    <row r="91" spans="1:10" ht="32.25" thickBot="1" x14ac:dyDescent="0.3">
      <c r="A91" s="52" t="s">
        <v>305</v>
      </c>
      <c r="B91" s="16"/>
      <c r="C91" s="24"/>
      <c r="D91" s="24">
        <f>D46</f>
        <v>3433.0357142857142</v>
      </c>
      <c r="E91" s="24">
        <f>E46</f>
        <v>-239.15816326530609</v>
      </c>
      <c r="F91" s="24">
        <f>F46</f>
        <v>4925.6379449101059</v>
      </c>
      <c r="G91" s="24">
        <f>G46</f>
        <v>5523.2452515444947</v>
      </c>
      <c r="H91" s="24">
        <f>H46</f>
        <v>5944.9652129751075</v>
      </c>
      <c r="I91" s="21">
        <f>SUM(D91:H91)</f>
        <v>19587.725960450116</v>
      </c>
      <c r="J91"/>
    </row>
    <row r="92" spans="1:10" ht="63.75" thickBot="1" x14ac:dyDescent="0.3">
      <c r="A92" s="52" t="s">
        <v>319</v>
      </c>
      <c r="B92" s="16"/>
      <c r="C92" s="24">
        <f t="shared" ref="C92:H92" si="47">IF(C83&lt;0,C83,0)</f>
        <v>-5000</v>
      </c>
      <c r="D92" s="24">
        <f t="shared" si="47"/>
        <v>0</v>
      </c>
      <c r="E92" s="24">
        <f t="shared" si="47"/>
        <v>-239.15816326530609</v>
      </c>
      <c r="F92" s="24">
        <f t="shared" si="47"/>
        <v>0</v>
      </c>
      <c r="G92" s="24">
        <f t="shared" si="47"/>
        <v>0</v>
      </c>
      <c r="H92" s="24">
        <f t="shared" si="47"/>
        <v>0</v>
      </c>
      <c r="I92" s="21">
        <f>C92+D92+E92</f>
        <v>-5239.158163265306</v>
      </c>
      <c r="J92"/>
    </row>
    <row r="93" spans="1:10" ht="90" customHeight="1" thickBot="1" x14ac:dyDescent="0.3">
      <c r="A93" s="18" t="s">
        <v>307</v>
      </c>
      <c r="C93" s="281" t="s">
        <v>309</v>
      </c>
      <c r="D93" s="281"/>
      <c r="E93" s="284" t="s">
        <v>14</v>
      </c>
      <c r="F93" s="284"/>
      <c r="G93" s="284"/>
      <c r="H93" s="285"/>
      <c r="I93" s="43">
        <f>1+I90/-C92</f>
        <v>3.9175451920900231</v>
      </c>
    </row>
    <row r="94" spans="1:10" ht="101.25" customHeight="1" thickBot="1" x14ac:dyDescent="0.3">
      <c r="A94" s="18" t="s">
        <v>307</v>
      </c>
      <c r="C94" s="292" t="s">
        <v>310</v>
      </c>
      <c r="D94" s="292"/>
      <c r="E94" s="282" t="s">
        <v>308</v>
      </c>
      <c r="F94" s="282"/>
      <c r="G94" s="282"/>
      <c r="H94" s="283"/>
      <c r="I94" s="86">
        <f>1+(I90/-I92)</f>
        <v>3.7843644925119637</v>
      </c>
      <c r="J94"/>
    </row>
    <row r="95" spans="1:10" ht="18.75" x14ac:dyDescent="0.25">
      <c r="A95" s="40" t="s">
        <v>271</v>
      </c>
    </row>
    <row r="96" spans="1:10" ht="57" thickBot="1" x14ac:dyDescent="0.3">
      <c r="A96" s="45" t="s">
        <v>306</v>
      </c>
      <c r="F96" s="23"/>
      <c r="J96"/>
    </row>
    <row r="97" spans="1:12" ht="78.75" thickBot="1" x14ac:dyDescent="0.3">
      <c r="A97" s="148" t="s">
        <v>386</v>
      </c>
      <c r="B97" s="53" t="s">
        <v>237</v>
      </c>
      <c r="C97" s="58" t="s">
        <v>5</v>
      </c>
      <c r="D97" s="59" t="s">
        <v>0</v>
      </c>
      <c r="E97" s="59" t="s">
        <v>1</v>
      </c>
      <c r="F97" s="59" t="s">
        <v>2</v>
      </c>
      <c r="G97" s="59" t="s">
        <v>3</v>
      </c>
      <c r="H97" s="59" t="s">
        <v>4</v>
      </c>
      <c r="I97" s="60" t="s">
        <v>238</v>
      </c>
      <c r="J97"/>
      <c r="K97"/>
    </row>
    <row r="98" spans="1:12" ht="38.25" thickBot="1" x14ac:dyDescent="0.3">
      <c r="A98" s="262" t="s">
        <v>302</v>
      </c>
      <c r="B98" s="16">
        <v>0.12</v>
      </c>
      <c r="C98" s="24">
        <f t="shared" ref="C98:H98" si="48">C90</f>
        <v>-5000</v>
      </c>
      <c r="D98" s="24">
        <f t="shared" si="48"/>
        <v>-1566.9642857142858</v>
      </c>
      <c r="E98" s="24">
        <f t="shared" si="48"/>
        <v>-1806.1224489795918</v>
      </c>
      <c r="F98" s="24">
        <f t="shared" si="48"/>
        <v>3119.5154959305141</v>
      </c>
      <c r="G98" s="24">
        <f t="shared" si="48"/>
        <v>8642.7607474750093</v>
      </c>
      <c r="H98" s="24">
        <f t="shared" si="48"/>
        <v>14587.725960450116</v>
      </c>
      <c r="I98" s="63">
        <f>H98</f>
        <v>14587.725960450116</v>
      </c>
      <c r="J98"/>
    </row>
    <row r="99" spans="1:12" ht="63.75" thickBot="1" x14ac:dyDescent="0.3">
      <c r="A99" s="52" t="s">
        <v>319</v>
      </c>
      <c r="C99" s="24">
        <f t="shared" ref="C99:H99" si="49">C92</f>
        <v>-5000</v>
      </c>
      <c r="D99" s="24">
        <f t="shared" si="49"/>
        <v>0</v>
      </c>
      <c r="E99" s="24">
        <f t="shared" si="49"/>
        <v>-239.15816326530609</v>
      </c>
      <c r="F99" s="24">
        <f t="shared" si="49"/>
        <v>0</v>
      </c>
      <c r="G99" s="24">
        <f t="shared" si="49"/>
        <v>0</v>
      </c>
      <c r="H99" s="24">
        <f t="shared" si="49"/>
        <v>0</v>
      </c>
      <c r="I99" s="21">
        <f>SUM(C99:H99)</f>
        <v>-5239.158163265306</v>
      </c>
      <c r="J99"/>
      <c r="K99" s="57"/>
    </row>
    <row r="100" spans="1:12" ht="38.25" thickBot="1" x14ac:dyDescent="0.3">
      <c r="A100" s="18" t="s">
        <v>311</v>
      </c>
      <c r="C100" s="24"/>
      <c r="I100" s="87">
        <f>I98/-I99</f>
        <v>2.7843644925119637</v>
      </c>
      <c r="J100"/>
    </row>
    <row r="101" spans="1:12" ht="19.5" thickBot="1" x14ac:dyDescent="0.3">
      <c r="A101" s="40" t="s">
        <v>271</v>
      </c>
    </row>
    <row r="102" spans="1:12" ht="55.5" thickBot="1" x14ac:dyDescent="0.3">
      <c r="A102" s="148" t="s">
        <v>387</v>
      </c>
      <c r="B102" s="53" t="s">
        <v>237</v>
      </c>
      <c r="C102" s="58" t="s">
        <v>5</v>
      </c>
      <c r="D102" s="59" t="s">
        <v>0</v>
      </c>
      <c r="E102" s="59" t="s">
        <v>1</v>
      </c>
      <c r="F102" s="59" t="s">
        <v>2</v>
      </c>
      <c r="G102" s="59" t="s">
        <v>3</v>
      </c>
      <c r="H102" s="59" t="s">
        <v>4</v>
      </c>
      <c r="I102" s="60" t="s">
        <v>238</v>
      </c>
    </row>
    <row r="103" spans="1:12" ht="38.25" thickBot="1" x14ac:dyDescent="0.3">
      <c r="A103" s="52" t="s">
        <v>312</v>
      </c>
      <c r="B103" s="16">
        <v>0.12</v>
      </c>
      <c r="C103" s="24"/>
      <c r="D103" s="24">
        <f>D46</f>
        <v>3433.0357142857142</v>
      </c>
      <c r="E103" s="24">
        <f>E46</f>
        <v>-239.15816326530609</v>
      </c>
      <c r="F103" s="24">
        <f>F46</f>
        <v>4925.6379449101059</v>
      </c>
      <c r="G103" s="24">
        <f>G46</f>
        <v>5523.2452515444947</v>
      </c>
      <c r="H103" s="24">
        <f>H46</f>
        <v>5944.9652129751075</v>
      </c>
      <c r="I103" s="63">
        <f>SUM(D103:H103)</f>
        <v>19587.725960450116</v>
      </c>
    </row>
    <row r="104" spans="1:12" ht="16.5" thickBot="1" x14ac:dyDescent="0.3">
      <c r="A104" s="29" t="s">
        <v>313</v>
      </c>
      <c r="D104" s="1">
        <f>D4-1</f>
        <v>1</v>
      </c>
      <c r="E104" s="1">
        <f>E4-1</f>
        <v>2</v>
      </c>
      <c r="F104" s="1">
        <f>F4-1</f>
        <v>3</v>
      </c>
      <c r="G104" s="1">
        <f>G4-1</f>
        <v>4</v>
      </c>
      <c r="H104" s="1">
        <f>H4-1</f>
        <v>5</v>
      </c>
      <c r="J104"/>
    </row>
    <row r="105" spans="1:12" ht="51" thickBot="1" x14ac:dyDescent="0.3">
      <c r="A105" s="96" t="s">
        <v>314</v>
      </c>
      <c r="C105" s="24"/>
      <c r="D105" s="24">
        <f>D103*D104</f>
        <v>3433.0357142857142</v>
      </c>
      <c r="E105" s="24">
        <f t="shared" ref="E105:H105" si="50">E103*E104</f>
        <v>-478.31632653061217</v>
      </c>
      <c r="F105" s="24">
        <f t="shared" si="50"/>
        <v>14776.913834730318</v>
      </c>
      <c r="G105" s="24">
        <f t="shared" si="50"/>
        <v>22092.981006177979</v>
      </c>
      <c r="H105" s="24">
        <f t="shared" si="50"/>
        <v>29724.826064875539</v>
      </c>
      <c r="I105" s="21">
        <f>SUM(D105:H105)</f>
        <v>69549.440293538937</v>
      </c>
      <c r="J105"/>
    </row>
    <row r="106" spans="1:12" ht="46.9" customHeight="1" thickBot="1" x14ac:dyDescent="0.3">
      <c r="A106" s="18" t="s">
        <v>315</v>
      </c>
      <c r="C106" s="281" t="s">
        <v>317</v>
      </c>
      <c r="D106" s="281"/>
      <c r="E106" s="281"/>
      <c r="F106" s="281"/>
      <c r="G106" s="281"/>
      <c r="I106" s="85">
        <f>I105/(I103-C103)</f>
        <v>3.5506643514396363</v>
      </c>
    </row>
    <row r="107" spans="1:12" ht="18.75" x14ac:dyDescent="0.25">
      <c r="A107" s="40" t="s">
        <v>271</v>
      </c>
    </row>
    <row r="108" spans="1:12" ht="42" customHeight="1" thickBot="1" x14ac:dyDescent="0.3">
      <c r="A108" s="39" t="s">
        <v>316</v>
      </c>
      <c r="C108" s="67"/>
      <c r="D108" s="67"/>
      <c r="I108" s="94"/>
    </row>
    <row r="109" spans="1:12" ht="105" thickBot="1" x14ac:dyDescent="0.3">
      <c r="A109" s="148" t="s">
        <v>388</v>
      </c>
      <c r="B109" s="53" t="s">
        <v>237</v>
      </c>
      <c r="C109" s="58" t="s">
        <v>5</v>
      </c>
      <c r="D109" s="59" t="s">
        <v>0</v>
      </c>
      <c r="E109" s="59" t="s">
        <v>1</v>
      </c>
      <c r="F109" s="59" t="s">
        <v>2</v>
      </c>
      <c r="G109" s="59" t="s">
        <v>3</v>
      </c>
      <c r="H109" s="59" t="s">
        <v>4</v>
      </c>
      <c r="I109" s="60" t="s">
        <v>238</v>
      </c>
    </row>
    <row r="110" spans="1:12" ht="38.25" thickBot="1" x14ac:dyDescent="0.3">
      <c r="A110" s="18" t="s">
        <v>263</v>
      </c>
      <c r="C110" s="24">
        <f t="shared" ref="C110:H110" si="51">C32</f>
        <v>-5000</v>
      </c>
      <c r="D110" s="24">
        <f t="shared" si="51"/>
        <v>3845</v>
      </c>
      <c r="E110" s="24">
        <f t="shared" si="51"/>
        <v>-300</v>
      </c>
      <c r="F110" s="24">
        <f t="shared" si="51"/>
        <v>6920.1666666666679</v>
      </c>
      <c r="G110" s="24">
        <f t="shared" si="51"/>
        <v>8690.9333333333343</v>
      </c>
      <c r="H110" s="24">
        <f t="shared" si="51"/>
        <v>10477.060000000001</v>
      </c>
      <c r="I110" s="63">
        <f>SUM(C110:H110)</f>
        <v>24633.160000000003</v>
      </c>
      <c r="J110" s="64"/>
      <c r="K110" s="64"/>
      <c r="L110" s="90"/>
    </row>
    <row r="111" spans="1:12" ht="15.75" x14ac:dyDescent="0.25">
      <c r="A111" s="29" t="s">
        <v>313</v>
      </c>
      <c r="C111" s="1">
        <f t="shared" ref="C111:H111" si="52">C4-1</f>
        <v>0</v>
      </c>
      <c r="D111" s="1">
        <f t="shared" si="52"/>
        <v>1</v>
      </c>
      <c r="E111" s="1">
        <f t="shared" si="52"/>
        <v>2</v>
      </c>
      <c r="F111" s="1">
        <f t="shared" si="52"/>
        <v>3</v>
      </c>
      <c r="G111" s="1">
        <f t="shared" si="52"/>
        <v>4</v>
      </c>
      <c r="H111" s="1">
        <f t="shared" si="52"/>
        <v>5</v>
      </c>
      <c r="J111" s="64"/>
      <c r="K111" s="64"/>
      <c r="L111" s="57"/>
    </row>
    <row r="112" spans="1:12" ht="31.5" x14ac:dyDescent="0.25">
      <c r="A112" s="261" t="s">
        <v>294</v>
      </c>
      <c r="B112" s="16">
        <v>0.12</v>
      </c>
      <c r="C112" s="20">
        <f t="shared" ref="C112:H112" si="53">C82</f>
        <v>1</v>
      </c>
      <c r="D112" s="20">
        <f t="shared" si="53"/>
        <v>0.89285714285714279</v>
      </c>
      <c r="E112" s="20">
        <f t="shared" si="53"/>
        <v>0.79719387755102034</v>
      </c>
      <c r="F112" s="20">
        <f t="shared" si="53"/>
        <v>0.71178024781341087</v>
      </c>
      <c r="G112" s="20">
        <f t="shared" si="53"/>
        <v>0.63551807840483121</v>
      </c>
      <c r="H112" s="20">
        <f t="shared" si="53"/>
        <v>0.56742685571859919</v>
      </c>
      <c r="I112" s="64"/>
      <c r="J112" s="64"/>
      <c r="K112" s="80"/>
    </row>
    <row r="113" spans="1:12" ht="16.5" thickBot="1" x14ac:dyDescent="0.3">
      <c r="A113" s="48" t="s">
        <v>279</v>
      </c>
      <c r="B113" s="16">
        <v>0.1</v>
      </c>
      <c r="C113" s="20">
        <f t="shared" ref="C113:H113" si="54">(1+$B$124)^($H$122-C111)</f>
        <v>1.6105100000000006</v>
      </c>
      <c r="D113" s="20">
        <f t="shared" si="54"/>
        <v>1.4641000000000004</v>
      </c>
      <c r="E113" s="20">
        <f t="shared" si="54"/>
        <v>1.3310000000000004</v>
      </c>
      <c r="F113" s="20">
        <f t="shared" si="54"/>
        <v>1.2100000000000002</v>
      </c>
      <c r="G113" s="20">
        <f t="shared" si="54"/>
        <v>1.1000000000000001</v>
      </c>
      <c r="H113" s="20">
        <f t="shared" si="54"/>
        <v>1</v>
      </c>
      <c r="J113" s="64"/>
      <c r="K113" s="64"/>
      <c r="L113" s="80"/>
    </row>
    <row r="114" spans="1:12" ht="57" thickBot="1" x14ac:dyDescent="0.3">
      <c r="A114" s="264" t="s">
        <v>318</v>
      </c>
      <c r="B114" s="16"/>
      <c r="C114" s="24">
        <f>IF(C110&gt;0,C110*C113,0)</f>
        <v>0</v>
      </c>
      <c r="D114" s="24">
        <f>IF(D110&gt;0,D110*D113,0)</f>
        <v>5629.4645000000019</v>
      </c>
      <c r="E114" s="24">
        <f t="shared" ref="E114:H114" si="55">IF(E110&gt;0,E110*E113,0)</f>
        <v>0</v>
      </c>
      <c r="F114" s="24">
        <f t="shared" si="55"/>
        <v>8373.4016666666703</v>
      </c>
      <c r="G114" s="24">
        <f t="shared" si="55"/>
        <v>9560.0266666666685</v>
      </c>
      <c r="H114" s="24">
        <f t="shared" si="55"/>
        <v>10477.060000000001</v>
      </c>
      <c r="I114" s="21">
        <f>SUM(C114:H114)</f>
        <v>34039.952833333344</v>
      </c>
      <c r="J114" s="64"/>
      <c r="L114" s="54"/>
    </row>
    <row r="115" spans="1:12" ht="63.75" thickBot="1" x14ac:dyDescent="0.3">
      <c r="A115" s="52" t="s">
        <v>319</v>
      </c>
      <c r="C115" s="24">
        <f>IF(C110&lt;0,C110*C112,0)</f>
        <v>-5000</v>
      </c>
      <c r="D115" s="24">
        <f t="shared" ref="D115:H115" si="56">IF(D110&lt;0,-D110*D112,0)</f>
        <v>0</v>
      </c>
      <c r="E115" s="24">
        <f>IF(E110&lt;0,E110*E112,0)</f>
        <v>-239.15816326530609</v>
      </c>
      <c r="F115" s="24">
        <f t="shared" si="56"/>
        <v>0</v>
      </c>
      <c r="G115" s="24">
        <f t="shared" si="56"/>
        <v>0</v>
      </c>
      <c r="H115" s="24">
        <f t="shared" si="56"/>
        <v>0</v>
      </c>
      <c r="I115" s="21">
        <f>SUM(C115:H115)</f>
        <v>-5239.158163265306</v>
      </c>
      <c r="J115"/>
      <c r="L115" s="54"/>
    </row>
    <row r="116" spans="1:12" ht="38.25" customHeight="1" thickBot="1" x14ac:dyDescent="0.3">
      <c r="A116" s="96" t="s">
        <v>414</v>
      </c>
      <c r="B116" s="16"/>
      <c r="C116" s="288" t="s">
        <v>320</v>
      </c>
      <c r="D116" s="288"/>
      <c r="E116" s="288"/>
      <c r="F116" s="288"/>
      <c r="G116" s="288"/>
      <c r="H116" s="24"/>
      <c r="I116" s="21">
        <f>I114/(1+B112)^H111</f>
        <v>19315.183405027761</v>
      </c>
      <c r="J116" s="64"/>
      <c r="L116" s="54"/>
    </row>
    <row r="117" spans="1:12" ht="57" thickBot="1" x14ac:dyDescent="0.3">
      <c r="A117" s="18" t="s">
        <v>327</v>
      </c>
      <c r="I117" s="83">
        <f>I116+I115</f>
        <v>14076.025241762454</v>
      </c>
    </row>
    <row r="118" spans="1:12" ht="18.75" x14ac:dyDescent="0.25">
      <c r="A118" s="40" t="s">
        <v>271</v>
      </c>
    </row>
    <row r="119" spans="1:12" ht="94.5" thickBot="1" x14ac:dyDescent="0.3">
      <c r="A119" s="39" t="s">
        <v>328</v>
      </c>
    </row>
    <row r="120" spans="1:12" ht="105" thickBot="1" x14ac:dyDescent="0.3">
      <c r="A120" s="148" t="s">
        <v>389</v>
      </c>
      <c r="B120" s="53" t="s">
        <v>237</v>
      </c>
      <c r="C120" s="58" t="s">
        <v>5</v>
      </c>
      <c r="D120" s="59" t="s">
        <v>0</v>
      </c>
      <c r="E120" s="59" t="s">
        <v>1</v>
      </c>
      <c r="F120" s="59" t="s">
        <v>2</v>
      </c>
      <c r="G120" s="59" t="s">
        <v>3</v>
      </c>
      <c r="H120" s="59" t="s">
        <v>4</v>
      </c>
      <c r="I120" s="60" t="s">
        <v>238</v>
      </c>
    </row>
    <row r="121" spans="1:12" ht="38.25" thickBot="1" x14ac:dyDescent="0.3">
      <c r="A121" s="18" t="s">
        <v>263</v>
      </c>
      <c r="C121" s="24">
        <f t="shared" ref="C121:H121" si="57">C81</f>
        <v>-5000</v>
      </c>
      <c r="D121" s="24">
        <f t="shared" si="57"/>
        <v>3845</v>
      </c>
      <c r="E121" s="24">
        <f t="shared" si="57"/>
        <v>-300</v>
      </c>
      <c r="F121" s="24">
        <f t="shared" si="57"/>
        <v>6920.1666666666679</v>
      </c>
      <c r="G121" s="24">
        <f t="shared" si="57"/>
        <v>8690.9333333333343</v>
      </c>
      <c r="H121" s="24">
        <f t="shared" si="57"/>
        <v>10477.060000000001</v>
      </c>
      <c r="I121" s="63">
        <f>SUM(C121:H121)</f>
        <v>24633.160000000003</v>
      </c>
    </row>
    <row r="122" spans="1:12" ht="15.75" x14ac:dyDescent="0.25">
      <c r="A122" s="29" t="s">
        <v>313</v>
      </c>
      <c r="C122" s="1">
        <f t="shared" ref="C122:H122" si="58">C4-1</f>
        <v>0</v>
      </c>
      <c r="D122" s="1">
        <f t="shared" si="58"/>
        <v>1</v>
      </c>
      <c r="E122" s="1">
        <f t="shared" si="58"/>
        <v>2</v>
      </c>
      <c r="F122" s="1">
        <f t="shared" si="58"/>
        <v>3</v>
      </c>
      <c r="G122" s="1">
        <f t="shared" si="58"/>
        <v>4</v>
      </c>
      <c r="H122" s="1">
        <f t="shared" si="58"/>
        <v>5</v>
      </c>
    </row>
    <row r="123" spans="1:12" ht="31.5" x14ac:dyDescent="0.25">
      <c r="A123" s="261" t="s">
        <v>294</v>
      </c>
      <c r="B123" s="16">
        <v>0.12</v>
      </c>
      <c r="C123" s="20">
        <f t="shared" ref="C123:H123" si="59">C82</f>
        <v>1</v>
      </c>
      <c r="D123" s="20">
        <f t="shared" si="59"/>
        <v>0.89285714285714279</v>
      </c>
      <c r="E123" s="20">
        <f t="shared" si="59"/>
        <v>0.79719387755102034</v>
      </c>
      <c r="F123" s="20">
        <f t="shared" si="59"/>
        <v>0.71178024781341087</v>
      </c>
      <c r="G123" s="20">
        <f t="shared" si="59"/>
        <v>0.63551807840483121</v>
      </c>
      <c r="H123" s="20">
        <f t="shared" si="59"/>
        <v>0.56742685571859919</v>
      </c>
      <c r="J123"/>
    </row>
    <row r="124" spans="1:12" ht="16.5" thickBot="1" x14ac:dyDescent="0.3">
      <c r="A124" s="48" t="s">
        <v>279</v>
      </c>
      <c r="B124" s="16">
        <v>0.1</v>
      </c>
      <c r="C124" s="20">
        <f>(1+$B$124)^($H$122-C122)</f>
        <v>1.6105100000000006</v>
      </c>
      <c r="D124" s="20">
        <f>(1+$B$124)^($H$122-D122)</f>
        <v>1.4641000000000004</v>
      </c>
      <c r="E124" s="20">
        <f t="shared" ref="E124:H124" si="60">(1+$B$124)^($H$122-E122)</f>
        <v>1.3310000000000004</v>
      </c>
      <c r="F124" s="20">
        <f t="shared" si="60"/>
        <v>1.2100000000000002</v>
      </c>
      <c r="G124" s="20">
        <f t="shared" si="60"/>
        <v>1.1000000000000001</v>
      </c>
      <c r="H124" s="20">
        <f t="shared" si="60"/>
        <v>1</v>
      </c>
    </row>
    <row r="125" spans="1:12" ht="57" thickBot="1" x14ac:dyDescent="0.3">
      <c r="A125" s="264" t="s">
        <v>318</v>
      </c>
      <c r="C125" s="97">
        <f t="shared" ref="C125:H125" si="61">IF(C121&lt;0,0,C121*C124)</f>
        <v>0</v>
      </c>
      <c r="D125" s="97">
        <f t="shared" si="61"/>
        <v>5629.4645000000019</v>
      </c>
      <c r="E125" s="97">
        <f t="shared" si="61"/>
        <v>0</v>
      </c>
      <c r="F125" s="97">
        <f t="shared" si="61"/>
        <v>8373.4016666666703</v>
      </c>
      <c r="G125" s="97">
        <f t="shared" si="61"/>
        <v>9560.0266666666685</v>
      </c>
      <c r="H125" s="97">
        <f t="shared" si="61"/>
        <v>10477.060000000001</v>
      </c>
      <c r="I125" s="21">
        <f>SUM(C125:H125)</f>
        <v>34039.952833333344</v>
      </c>
    </row>
    <row r="126" spans="1:12" ht="63.75" thickBot="1" x14ac:dyDescent="0.3">
      <c r="A126" s="52" t="s">
        <v>319</v>
      </c>
      <c r="C126" s="3">
        <f>IF(C121&lt;0,-C121*C123,0)</f>
        <v>5000</v>
      </c>
      <c r="D126" s="3">
        <f t="shared" ref="D126:H126" si="62">IF(D121&lt;0,-D121*D123,0)</f>
        <v>0</v>
      </c>
      <c r="E126" s="3">
        <f t="shared" si="62"/>
        <v>239.15816326530609</v>
      </c>
      <c r="F126" s="3">
        <f t="shared" si="62"/>
        <v>0</v>
      </c>
      <c r="G126" s="3">
        <f t="shared" si="62"/>
        <v>0</v>
      </c>
      <c r="H126" s="3">
        <f t="shared" si="62"/>
        <v>0</v>
      </c>
      <c r="I126" s="21">
        <f>SUM(C126:H126)</f>
        <v>5239.158163265306</v>
      </c>
      <c r="J126"/>
    </row>
    <row r="127" spans="1:12" ht="57" thickBot="1" x14ac:dyDescent="0.3">
      <c r="A127" s="18" t="s">
        <v>321</v>
      </c>
      <c r="C127" s="288" t="s">
        <v>323</v>
      </c>
      <c r="D127" s="288"/>
      <c r="E127" s="288"/>
      <c r="F127" s="288"/>
      <c r="G127" s="288"/>
      <c r="H127" s="291"/>
      <c r="I127" s="88">
        <f>(I125/I126)^(1/H122)-1</f>
        <v>0.45393666309282543</v>
      </c>
    </row>
    <row r="128" spans="1:12" ht="57" thickBot="1" x14ac:dyDescent="0.3">
      <c r="A128" s="18" t="s">
        <v>321</v>
      </c>
      <c r="C128" s="1" t="s">
        <v>322</v>
      </c>
      <c r="D128" s="3"/>
      <c r="E128" s="3"/>
      <c r="F128" s="3"/>
      <c r="G128" s="3"/>
      <c r="H128" s="3"/>
      <c r="I128" s="76">
        <f>MIRR(C121:H121,B123,B124)</f>
        <v>0.45393666309282543</v>
      </c>
    </row>
    <row r="129" spans="1:12" ht="75.75" thickBot="1" x14ac:dyDescent="0.3">
      <c r="A129" s="18" t="s">
        <v>324</v>
      </c>
      <c r="B129" s="16">
        <v>0.12</v>
      </c>
      <c r="D129" s="3"/>
      <c r="E129" s="3"/>
      <c r="F129" s="3"/>
      <c r="G129" s="3"/>
      <c r="H129" s="3"/>
      <c r="I129" s="88">
        <f>MIRR(C121:H121,B123,B129)</f>
        <v>0.46155988469847808</v>
      </c>
    </row>
    <row r="130" spans="1:12" ht="37.5" x14ac:dyDescent="0.25">
      <c r="A130" s="93" t="s">
        <v>325</v>
      </c>
    </row>
    <row r="131" spans="1:12" ht="56.25" x14ac:dyDescent="0.25">
      <c r="A131" s="39" t="s">
        <v>326</v>
      </c>
      <c r="I131" s="78"/>
    </row>
    <row r="132" spans="1:12" ht="57" thickBot="1" x14ac:dyDescent="0.3">
      <c r="A132" s="45" t="s">
        <v>329</v>
      </c>
      <c r="I132" s="77"/>
    </row>
    <row r="133" spans="1:12" ht="111" thickBot="1" x14ac:dyDescent="0.3">
      <c r="A133" s="148" t="s">
        <v>390</v>
      </c>
      <c r="B133" s="53" t="s">
        <v>237</v>
      </c>
      <c r="C133" s="58" t="s">
        <v>5</v>
      </c>
      <c r="D133" s="59" t="s">
        <v>0</v>
      </c>
      <c r="E133" s="59" t="s">
        <v>1</v>
      </c>
      <c r="F133" s="59" t="s">
        <v>2</v>
      </c>
      <c r="G133" s="59" t="s">
        <v>3</v>
      </c>
      <c r="H133" s="59" t="s">
        <v>4</v>
      </c>
      <c r="I133" s="60" t="s">
        <v>238</v>
      </c>
    </row>
    <row r="134" spans="1:12" ht="57" thickBot="1" x14ac:dyDescent="0.3">
      <c r="A134" s="18" t="s">
        <v>331</v>
      </c>
      <c r="C134" s="75"/>
      <c r="D134" s="75"/>
      <c r="E134" s="75"/>
      <c r="F134" s="75"/>
      <c r="G134" s="75"/>
      <c r="H134" s="75"/>
      <c r="I134" s="63">
        <f>I117</f>
        <v>14076.025241762454</v>
      </c>
      <c r="J134" s="64"/>
      <c r="K134" s="64"/>
      <c r="L134" s="90"/>
    </row>
    <row r="135" spans="1:12" ht="63.75" thickBot="1" x14ac:dyDescent="0.3">
      <c r="A135" s="52" t="s">
        <v>319</v>
      </c>
      <c r="C135" s="3">
        <f t="shared" ref="C135:H135" si="63">C115</f>
        <v>-5000</v>
      </c>
      <c r="D135" s="3">
        <f t="shared" si="63"/>
        <v>0</v>
      </c>
      <c r="E135" s="3">
        <f t="shared" si="63"/>
        <v>-239.15816326530609</v>
      </c>
      <c r="F135" s="3">
        <f t="shared" si="63"/>
        <v>0</v>
      </c>
      <c r="G135" s="3">
        <f t="shared" si="63"/>
        <v>0</v>
      </c>
      <c r="H135" s="3">
        <f t="shared" si="63"/>
        <v>0</v>
      </c>
      <c r="I135" s="21">
        <f>SUM(C135:H135)</f>
        <v>-5239.158163265306</v>
      </c>
      <c r="J135" s="64"/>
      <c r="L135" s="23"/>
    </row>
    <row r="136" spans="1:12" ht="57" thickBot="1" x14ac:dyDescent="0.3">
      <c r="A136" s="18" t="s">
        <v>331</v>
      </c>
      <c r="C136" s="75"/>
      <c r="D136" s="75"/>
      <c r="E136" s="75"/>
      <c r="F136" s="75"/>
      <c r="G136" s="75"/>
      <c r="H136" s="75"/>
      <c r="I136" s="91">
        <f>100%*I134/I135</f>
        <v>-2.6866959925847267</v>
      </c>
      <c r="J136"/>
      <c r="L136" s="23"/>
    </row>
    <row r="137" spans="1:12" ht="18.75" x14ac:dyDescent="0.25">
      <c r="A137" s="40" t="s">
        <v>271</v>
      </c>
    </row>
    <row r="138" spans="1:12" ht="38.25" thickBot="1" x14ac:dyDescent="0.3">
      <c r="A138" s="39" t="s">
        <v>330</v>
      </c>
      <c r="I138" s="78"/>
    </row>
    <row r="139" spans="1:12" ht="78.75" thickBot="1" x14ac:dyDescent="0.3">
      <c r="A139" s="148" t="s">
        <v>391</v>
      </c>
      <c r="B139" s="53" t="s">
        <v>237</v>
      </c>
      <c r="C139" s="58" t="s">
        <v>5</v>
      </c>
      <c r="D139" s="59" t="s">
        <v>0</v>
      </c>
      <c r="E139" s="59" t="s">
        <v>1</v>
      </c>
      <c r="F139" s="59" t="s">
        <v>2</v>
      </c>
      <c r="G139" s="59" t="s">
        <v>3</v>
      </c>
      <c r="H139" s="59" t="s">
        <v>4</v>
      </c>
      <c r="I139" s="60" t="s">
        <v>238</v>
      </c>
    </row>
    <row r="140" spans="1:12" ht="38.25" thickBot="1" x14ac:dyDescent="0.3">
      <c r="A140" s="18" t="s">
        <v>263</v>
      </c>
      <c r="C140" s="75">
        <f>C121</f>
        <v>-5000</v>
      </c>
      <c r="D140" s="75">
        <f>-D121</f>
        <v>-3845</v>
      </c>
      <c r="E140" s="75">
        <f t="shared" ref="E140:H140" si="64">E121</f>
        <v>-300</v>
      </c>
      <c r="F140" s="75">
        <f t="shared" si="64"/>
        <v>6920.1666666666679</v>
      </c>
      <c r="G140" s="75">
        <f>-G121</f>
        <v>-8690.9333333333343</v>
      </c>
      <c r="H140" s="75">
        <f t="shared" si="64"/>
        <v>10477.060000000001</v>
      </c>
      <c r="I140" s="63">
        <f>SUM(C140:H140)</f>
        <v>-438.70666666666511</v>
      </c>
      <c r="J140"/>
    </row>
    <row r="141" spans="1:12" ht="15.75" thickBot="1" x14ac:dyDescent="0.3">
      <c r="A141" s="1" t="s">
        <v>332</v>
      </c>
      <c r="C141" s="79">
        <f>DATE(2016,8,19)</f>
        <v>42601</v>
      </c>
      <c r="D141" s="79">
        <f>DATE(2016,9,21)</f>
        <v>42634</v>
      </c>
      <c r="E141" s="79">
        <f>DATE(2016,9,25)</f>
        <v>42638</v>
      </c>
      <c r="F141" s="79">
        <f>DATE(2016,9,30)</f>
        <v>42643</v>
      </c>
      <c r="G141" s="79">
        <f>DATE(2016,10,7)</f>
        <v>42650</v>
      </c>
      <c r="H141" s="79">
        <f>DATE(2016,10,19)</f>
        <v>42662</v>
      </c>
    </row>
    <row r="142" spans="1:12" ht="57" thickBot="1" x14ac:dyDescent="0.3">
      <c r="A142" s="18" t="s">
        <v>333</v>
      </c>
      <c r="C142" s="1" t="s">
        <v>335</v>
      </c>
      <c r="I142" s="88">
        <f>XIRR(C140:H140,C141:H141)</f>
        <v>-0.34306609258055698</v>
      </c>
    </row>
    <row r="143" spans="1:12" ht="38.25" thickBot="1" x14ac:dyDescent="0.3">
      <c r="A143" s="93" t="s">
        <v>334</v>
      </c>
    </row>
    <row r="144" spans="1:12" ht="78.75" thickBot="1" x14ac:dyDescent="0.3">
      <c r="A144" s="148" t="s">
        <v>392</v>
      </c>
      <c r="B144" s="53" t="s">
        <v>237</v>
      </c>
      <c r="C144" s="58" t="s">
        <v>5</v>
      </c>
      <c r="D144" s="59" t="s">
        <v>0</v>
      </c>
      <c r="E144" s="59" t="s">
        <v>1</v>
      </c>
      <c r="F144" s="59" t="s">
        <v>2</v>
      </c>
      <c r="G144" s="59" t="s">
        <v>3</v>
      </c>
      <c r="H144" s="59" t="s">
        <v>4</v>
      </c>
      <c r="I144" s="60" t="s">
        <v>238</v>
      </c>
      <c r="J144" s="64"/>
      <c r="L144" s="23"/>
    </row>
    <row r="145" spans="1:12" ht="38.25" thickBot="1" x14ac:dyDescent="0.3">
      <c r="A145" s="18" t="s">
        <v>263</v>
      </c>
      <c r="C145" s="75">
        <f>C140</f>
        <v>-5000</v>
      </c>
      <c r="D145" s="75">
        <f t="shared" ref="D145:H145" si="65">D140</f>
        <v>-3845</v>
      </c>
      <c r="E145" s="75">
        <f t="shared" si="65"/>
        <v>-300</v>
      </c>
      <c r="F145" s="75">
        <f t="shared" si="65"/>
        <v>6920.1666666666679</v>
      </c>
      <c r="G145" s="75">
        <f t="shared" si="65"/>
        <v>-8690.9333333333343</v>
      </c>
      <c r="H145" s="75">
        <f t="shared" si="65"/>
        <v>10477.060000000001</v>
      </c>
      <c r="I145" s="63">
        <f>SUM(C145:H145)</f>
        <v>-438.70666666666511</v>
      </c>
      <c r="J145"/>
      <c r="L145" s="23"/>
    </row>
    <row r="146" spans="1:12" ht="18.75" x14ac:dyDescent="0.25">
      <c r="A146" s="1" t="s">
        <v>332</v>
      </c>
      <c r="C146" s="79">
        <f>DATE(2016,8,19)</f>
        <v>42601</v>
      </c>
      <c r="D146" s="79">
        <f>DATE(2016,9,21)</f>
        <v>42634</v>
      </c>
      <c r="E146" s="79">
        <f>DATE(2016,9,25)</f>
        <v>42638</v>
      </c>
      <c r="F146" s="79">
        <f>DATE(2016,9,30)</f>
        <v>42643</v>
      </c>
      <c r="G146" s="79">
        <f>DATE(2016,10,7)</f>
        <v>42650</v>
      </c>
      <c r="H146" s="79">
        <f>DATE(2016,10,19)</f>
        <v>42662</v>
      </c>
      <c r="I146" s="26"/>
      <c r="J146" s="64"/>
      <c r="L146" s="23"/>
    </row>
    <row r="147" spans="1:12" ht="16.5" thickBot="1" x14ac:dyDescent="0.3">
      <c r="A147" s="261" t="s">
        <v>273</v>
      </c>
      <c r="B147" s="16">
        <v>0.12</v>
      </c>
    </row>
    <row r="148" spans="1:12" ht="57" thickBot="1" x14ac:dyDescent="0.3">
      <c r="A148" s="18" t="s">
        <v>336</v>
      </c>
      <c r="C148" s="1" t="s">
        <v>338</v>
      </c>
      <c r="E148" s="75"/>
      <c r="F148" s="75"/>
      <c r="G148" s="75"/>
      <c r="H148" s="75"/>
      <c r="I148" s="92">
        <f>XNPV(B147,C145:H145,C146:H146)</f>
        <v>-551.08534282105575</v>
      </c>
      <c r="L148" s="23"/>
    </row>
    <row r="149" spans="1:12" ht="38.25" thickBot="1" x14ac:dyDescent="0.3">
      <c r="A149" s="93" t="s">
        <v>337</v>
      </c>
    </row>
    <row r="150" spans="1:12" ht="55.5" thickBot="1" x14ac:dyDescent="0.3">
      <c r="A150" s="148" t="s">
        <v>393</v>
      </c>
      <c r="B150" s="53" t="s">
        <v>237</v>
      </c>
      <c r="C150" s="58" t="s">
        <v>5</v>
      </c>
      <c r="D150" s="59" t="s">
        <v>0</v>
      </c>
      <c r="E150" s="59" t="s">
        <v>1</v>
      </c>
      <c r="F150" s="59" t="s">
        <v>2</v>
      </c>
      <c r="G150" s="59" t="s">
        <v>3</v>
      </c>
      <c r="H150" s="59" t="s">
        <v>4</v>
      </c>
      <c r="I150" s="60" t="s">
        <v>238</v>
      </c>
      <c r="L150" s="23"/>
    </row>
    <row r="151" spans="1:12" ht="38.25" thickBot="1" x14ac:dyDescent="0.3">
      <c r="A151" s="18" t="s">
        <v>263</v>
      </c>
      <c r="C151" s="75">
        <f t="shared" ref="C151:H151" si="66">C32</f>
        <v>-5000</v>
      </c>
      <c r="D151" s="75">
        <f t="shared" si="66"/>
        <v>3845</v>
      </c>
      <c r="E151" s="75">
        <f t="shared" si="66"/>
        <v>-300</v>
      </c>
      <c r="F151" s="75">
        <f t="shared" si="66"/>
        <v>6920.1666666666679</v>
      </c>
      <c r="G151" s="75">
        <f t="shared" si="66"/>
        <v>8690.9333333333343</v>
      </c>
      <c r="H151" s="75">
        <f t="shared" si="66"/>
        <v>10477.060000000001</v>
      </c>
      <c r="I151" s="63">
        <f>SUM(C151:H151)</f>
        <v>24633.160000000003</v>
      </c>
      <c r="L151" s="23"/>
    </row>
    <row r="152" spans="1:12" ht="31.5" x14ac:dyDescent="0.25">
      <c r="A152" s="261" t="s">
        <v>341</v>
      </c>
      <c r="B152" s="16">
        <v>0.12</v>
      </c>
      <c r="C152" s="23">
        <f>1</f>
        <v>1</v>
      </c>
      <c r="D152" s="23">
        <f>(1+$B$55)^(D4-1)</f>
        <v>1.1200000000000001</v>
      </c>
      <c r="E152" s="23">
        <f>(1+$B$55)^(E4-1)</f>
        <v>1.2544000000000002</v>
      </c>
      <c r="F152" s="23">
        <f>(1+$B$55)^(F4-1)</f>
        <v>1.4049280000000004</v>
      </c>
      <c r="G152" s="23">
        <f>(1+$B$55)^(G4-1)</f>
        <v>1.5735193600000004</v>
      </c>
      <c r="H152" s="23">
        <f>(1+$B$55)^(H4-1)</f>
        <v>1.7623416832000005</v>
      </c>
      <c r="I152" s="26"/>
      <c r="J152"/>
      <c r="L152" s="23"/>
    </row>
    <row r="153" spans="1:12" ht="38.25" thickBot="1" x14ac:dyDescent="0.3">
      <c r="A153" s="262" t="s">
        <v>302</v>
      </c>
      <c r="B153" s="16"/>
      <c r="C153" s="75">
        <f t="shared" ref="C153:H153" si="67">C98</f>
        <v>-5000</v>
      </c>
      <c r="D153" s="75">
        <f t="shared" si="67"/>
        <v>-1566.9642857142858</v>
      </c>
      <c r="E153" s="75">
        <f t="shared" si="67"/>
        <v>-1806.1224489795918</v>
      </c>
      <c r="F153" s="75">
        <f t="shared" si="67"/>
        <v>3119.5154959305141</v>
      </c>
      <c r="G153" s="75">
        <f t="shared" si="67"/>
        <v>8642.7607474750093</v>
      </c>
      <c r="H153" s="75">
        <f t="shared" si="67"/>
        <v>14587.725960450116</v>
      </c>
      <c r="I153" s="26"/>
      <c r="L153" s="23"/>
    </row>
    <row r="154" spans="1:12" ht="38.25" thickBot="1" x14ac:dyDescent="0.3">
      <c r="A154" s="18" t="s">
        <v>339</v>
      </c>
      <c r="C154" s="75">
        <f>C152*C151</f>
        <v>-5000</v>
      </c>
      <c r="D154" s="75">
        <f t="shared" ref="D154:H154" si="68">D152*D151</f>
        <v>4306.4000000000005</v>
      </c>
      <c r="E154" s="75">
        <f t="shared" si="68"/>
        <v>-376.32000000000005</v>
      </c>
      <c r="F154" s="75">
        <f t="shared" si="68"/>
        <v>9722.3359146666717</v>
      </c>
      <c r="G154" s="75">
        <f t="shared" si="68"/>
        <v>13675.351856469339</v>
      </c>
      <c r="H154" s="75">
        <f t="shared" si="68"/>
        <v>18464.159555387399</v>
      </c>
      <c r="I154" s="83">
        <f>SUM(C154:H154)</f>
        <v>40791.927326523408</v>
      </c>
      <c r="J154"/>
      <c r="L154" s="23"/>
    </row>
    <row r="155" spans="1:12" ht="46.9" customHeight="1" thickBot="1" x14ac:dyDescent="0.3">
      <c r="A155" s="40" t="s">
        <v>271</v>
      </c>
      <c r="C155" s="281" t="s">
        <v>317</v>
      </c>
      <c r="D155" s="281"/>
      <c r="E155" s="281"/>
      <c r="F155" s="281"/>
      <c r="G155" s="281"/>
      <c r="I155" s="114" t="s">
        <v>340</v>
      </c>
      <c r="J155" s="115"/>
    </row>
    <row r="156" spans="1:12" ht="87" thickBot="1" x14ac:dyDescent="0.3">
      <c r="A156" s="148" t="s">
        <v>394</v>
      </c>
      <c r="B156" s="53" t="s">
        <v>237</v>
      </c>
      <c r="C156" s="58" t="s">
        <v>5</v>
      </c>
      <c r="D156" s="59" t="s">
        <v>0</v>
      </c>
      <c r="E156" s="59" t="s">
        <v>1</v>
      </c>
      <c r="F156" s="59" t="s">
        <v>2</v>
      </c>
      <c r="G156" s="59" t="s">
        <v>3</v>
      </c>
      <c r="H156" s="59" t="s">
        <v>4</v>
      </c>
      <c r="I156" s="60" t="s">
        <v>238</v>
      </c>
      <c r="L156" s="23"/>
    </row>
    <row r="157" spans="1:12" ht="38.25" thickBot="1" x14ac:dyDescent="0.3">
      <c r="A157" s="18" t="s">
        <v>263</v>
      </c>
      <c r="C157" s="75">
        <f t="shared" ref="C157:H157" si="69">C151</f>
        <v>-5000</v>
      </c>
      <c r="D157" s="75">
        <f t="shared" si="69"/>
        <v>3845</v>
      </c>
      <c r="E157" s="75">
        <f t="shared" si="69"/>
        <v>-300</v>
      </c>
      <c r="F157" s="75">
        <f t="shared" si="69"/>
        <v>6920.1666666666679</v>
      </c>
      <c r="G157" s="75">
        <f t="shared" si="69"/>
        <v>8690.9333333333343</v>
      </c>
      <c r="H157" s="75">
        <f t="shared" si="69"/>
        <v>10477.060000000001</v>
      </c>
      <c r="I157" s="63">
        <f>SUM(C157:H157)</f>
        <v>24633.160000000003</v>
      </c>
      <c r="L157" s="23"/>
    </row>
    <row r="158" spans="1:12" ht="19.5" thickBot="1" x14ac:dyDescent="0.3">
      <c r="A158" s="48" t="s">
        <v>279</v>
      </c>
      <c r="B158" s="16">
        <v>0.12</v>
      </c>
      <c r="C158" s="23">
        <f>1</f>
        <v>1</v>
      </c>
      <c r="D158" s="23">
        <f>(1+$B$55)^(D4-1)</f>
        <v>1.1200000000000001</v>
      </c>
      <c r="E158" s="23">
        <f>(1+$B$55)^(E4-1)</f>
        <v>1.2544000000000002</v>
      </c>
      <c r="F158" s="23">
        <f>(1+$B$55)^(F4-1)</f>
        <v>1.4049280000000004</v>
      </c>
      <c r="G158" s="23">
        <f>(1+$B$55)^(G4-1)</f>
        <v>1.5735193600000004</v>
      </c>
      <c r="H158" s="23">
        <f>(1+$B$55)^(H4-1)</f>
        <v>1.7623416832000005</v>
      </c>
      <c r="I158" s="21"/>
      <c r="J158"/>
      <c r="L158" s="23"/>
    </row>
    <row r="159" spans="1:12" ht="49.5" customHeight="1" thickBot="1" x14ac:dyDescent="0.3">
      <c r="A159" s="261" t="s">
        <v>294</v>
      </c>
      <c r="B159" s="16">
        <v>0.12</v>
      </c>
      <c r="C159" s="23">
        <f>1/C158</f>
        <v>1</v>
      </c>
      <c r="D159" s="108">
        <f t="shared" ref="D159:H159" si="70">1/D158</f>
        <v>0.89285714285714279</v>
      </c>
      <c r="E159" s="108">
        <f t="shared" si="70"/>
        <v>0.79719387755102034</v>
      </c>
      <c r="F159" s="108">
        <f t="shared" si="70"/>
        <v>0.71178024781341087</v>
      </c>
      <c r="G159" s="108">
        <f t="shared" si="70"/>
        <v>0.63551807840483121</v>
      </c>
      <c r="H159" s="108">
        <f t="shared" si="70"/>
        <v>0.56742685571859919</v>
      </c>
      <c r="I159" s="21">
        <f>SUM(D159:H159)</f>
        <v>3.6047762023450045</v>
      </c>
      <c r="J159" s="286" t="s">
        <v>343</v>
      </c>
      <c r="K159" s="287"/>
      <c r="L159" s="287"/>
    </row>
    <row r="160" spans="1:12" ht="38.25" thickBot="1" x14ac:dyDescent="0.3">
      <c r="A160" s="262" t="s">
        <v>302</v>
      </c>
      <c r="B160" s="16"/>
      <c r="C160" s="75"/>
      <c r="D160" s="75"/>
      <c r="E160" s="75"/>
      <c r="F160" s="75"/>
      <c r="G160" s="75"/>
      <c r="H160" s="75"/>
      <c r="I160" s="21">
        <f>H153</f>
        <v>14587.725960450116</v>
      </c>
      <c r="L160" s="23"/>
    </row>
    <row r="161" spans="1:12" ht="38.25" thickBot="1" x14ac:dyDescent="0.3">
      <c r="A161" s="18" t="s">
        <v>342</v>
      </c>
      <c r="C161" s="75"/>
      <c r="D161" s="75">
        <f>$I$161</f>
        <v>4046.7771483179472</v>
      </c>
      <c r="E161" s="75">
        <f t="shared" ref="E161:H161" si="71">$I$161</f>
        <v>4046.7771483179472</v>
      </c>
      <c r="F161" s="75">
        <f t="shared" si="71"/>
        <v>4046.7771483179472</v>
      </c>
      <c r="G161" s="75">
        <f t="shared" si="71"/>
        <v>4046.7771483179472</v>
      </c>
      <c r="H161" s="75">
        <f t="shared" si="71"/>
        <v>4046.7771483179472</v>
      </c>
      <c r="I161" s="83">
        <f>I160/I159</f>
        <v>4046.7771483179472</v>
      </c>
      <c r="L161" s="23"/>
    </row>
    <row r="162" spans="1:12" ht="32.25" thickBot="1" x14ac:dyDescent="0.3">
      <c r="A162" s="96" t="s">
        <v>621</v>
      </c>
      <c r="C162" s="75"/>
      <c r="D162" s="20">
        <f>D161*D159</f>
        <v>3613.1938824267381</v>
      </c>
      <c r="E162" s="20">
        <f t="shared" ref="E162:H162" si="72">E161*E159</f>
        <v>3226.0659664524451</v>
      </c>
      <c r="F162" s="20">
        <f t="shared" si="72"/>
        <v>2880.4160414753965</v>
      </c>
      <c r="G162" s="20">
        <f t="shared" si="72"/>
        <v>2571.8000370316045</v>
      </c>
      <c r="H162" s="20">
        <f t="shared" si="72"/>
        <v>2296.2500330639323</v>
      </c>
      <c r="I162" s="21">
        <f>SUM(D162:H162)</f>
        <v>14587.725960450116</v>
      </c>
      <c r="L162" s="23"/>
    </row>
    <row r="163" spans="1:12" ht="38.25" thickBot="1" x14ac:dyDescent="0.3">
      <c r="A163" s="93" t="s">
        <v>344</v>
      </c>
      <c r="C163" s="1" t="s">
        <v>620</v>
      </c>
      <c r="I163" s="83">
        <f>-PMT(B158,5,I160,,0)</f>
        <v>4046.7771483179472</v>
      </c>
    </row>
    <row r="164" spans="1:12" ht="112.5" x14ac:dyDescent="0.25">
      <c r="A164" s="45" t="s">
        <v>345</v>
      </c>
      <c r="I164" s="77"/>
    </row>
    <row r="165" spans="1:12" s="64" customFormat="1" x14ac:dyDescent="0.25">
      <c r="A165" s="137"/>
      <c r="I165" s="138"/>
    </row>
    <row r="166" spans="1:12" ht="48" thickBot="1" x14ac:dyDescent="0.3">
      <c r="A166" s="114" t="s">
        <v>346</v>
      </c>
      <c r="B166" s="115"/>
    </row>
    <row r="167" spans="1:12" ht="55.5" thickBot="1" x14ac:dyDescent="0.3">
      <c r="A167" s="148" t="s">
        <v>395</v>
      </c>
      <c r="B167" s="53" t="s">
        <v>237</v>
      </c>
      <c r="C167" s="58" t="s">
        <v>5</v>
      </c>
      <c r="D167" s="59" t="s">
        <v>0</v>
      </c>
      <c r="E167" s="59" t="s">
        <v>1</v>
      </c>
      <c r="F167" s="59" t="s">
        <v>2</v>
      </c>
      <c r="G167" s="59" t="s">
        <v>3</v>
      </c>
      <c r="H167" s="59" t="s">
        <v>4</v>
      </c>
      <c r="I167" s="60" t="s">
        <v>238</v>
      </c>
    </row>
    <row r="168" spans="1:12" ht="38.25" thickBot="1" x14ac:dyDescent="0.3">
      <c r="A168" s="18" t="s">
        <v>263</v>
      </c>
      <c r="B168" s="16">
        <v>0.12</v>
      </c>
      <c r="C168" s="24">
        <v>-500</v>
      </c>
      <c r="D168" s="24">
        <v>100</v>
      </c>
      <c r="E168" s="24">
        <v>200</v>
      </c>
      <c r="F168" s="24">
        <v>300</v>
      </c>
      <c r="G168" s="24">
        <v>400</v>
      </c>
      <c r="H168" s="24">
        <v>500</v>
      </c>
      <c r="I168" s="63">
        <f>SUM(D168:H168)</f>
        <v>1500</v>
      </c>
    </row>
    <row r="169" spans="1:12" ht="16.5" thickBot="1" x14ac:dyDescent="0.3">
      <c r="A169" s="29" t="s">
        <v>313</v>
      </c>
      <c r="D169" s="1">
        <f>D4-1</f>
        <v>1</v>
      </c>
      <c r="E169" s="1">
        <f>E4-1</f>
        <v>2</v>
      </c>
      <c r="F169" s="1">
        <f>F4-1</f>
        <v>3</v>
      </c>
      <c r="G169" s="1">
        <f>G4-1</f>
        <v>4</v>
      </c>
      <c r="H169" s="1">
        <f>H4-1</f>
        <v>5</v>
      </c>
    </row>
    <row r="170" spans="1:12" ht="35.25" thickBot="1" x14ac:dyDescent="0.3">
      <c r="A170" s="96" t="s">
        <v>348</v>
      </c>
      <c r="C170" s="24">
        <f>C168*D169</f>
        <v>-500</v>
      </c>
      <c r="D170" s="24">
        <f>D169*D171</f>
        <v>89.285714285714278</v>
      </c>
      <c r="E170" s="24">
        <f t="shared" ref="E170:H170" si="73">E169*E171</f>
        <v>318.87755102040813</v>
      </c>
      <c r="F170" s="24">
        <f t="shared" si="73"/>
        <v>640.60222303206979</v>
      </c>
      <c r="G170" s="24">
        <f t="shared" si="73"/>
        <v>1016.8289254477298</v>
      </c>
      <c r="H170" s="24">
        <f t="shared" si="73"/>
        <v>1418.567139296498</v>
      </c>
      <c r="I170" s="21">
        <f>SUM(D170:H170)</f>
        <v>3484.1615530824201</v>
      </c>
    </row>
    <row r="171" spans="1:12" ht="19.5" thickBot="1" x14ac:dyDescent="0.3">
      <c r="A171" s="36" t="s">
        <v>349</v>
      </c>
      <c r="B171" s="16">
        <v>0.12</v>
      </c>
      <c r="C171" s="24"/>
      <c r="D171" s="24">
        <f>D168/((1+$B$171)^D169)</f>
        <v>89.285714285714278</v>
      </c>
      <c r="E171" s="24">
        <f t="shared" ref="E171:H171" si="74">E168/((1+$B$171)^E169)</f>
        <v>159.43877551020407</v>
      </c>
      <c r="F171" s="24">
        <f t="shared" si="74"/>
        <v>213.53407434402325</v>
      </c>
      <c r="G171" s="24">
        <f t="shared" si="74"/>
        <v>254.20723136193246</v>
      </c>
      <c r="H171" s="24">
        <f t="shared" si="74"/>
        <v>283.7134278592996</v>
      </c>
      <c r="I171" s="63">
        <f>SUM(D171:H171)</f>
        <v>1000.1792233611736</v>
      </c>
    </row>
    <row r="172" spans="1:12" ht="38.25" thickBot="1" x14ac:dyDescent="0.3">
      <c r="A172" s="18" t="s">
        <v>350</v>
      </c>
      <c r="I172" s="83">
        <f>I170/I171</f>
        <v>3.4835372218327501</v>
      </c>
    </row>
    <row r="173" spans="1:12" ht="55.5" thickBot="1" x14ac:dyDescent="0.3">
      <c r="A173" s="148" t="s">
        <v>393</v>
      </c>
      <c r="B173" s="53" t="s">
        <v>237</v>
      </c>
      <c r="C173" s="58" t="s">
        <v>5</v>
      </c>
      <c r="D173" s="59" t="s">
        <v>0</v>
      </c>
      <c r="E173" s="59" t="s">
        <v>1</v>
      </c>
      <c r="F173" s="59" t="s">
        <v>2</v>
      </c>
      <c r="G173" s="59" t="s">
        <v>3</v>
      </c>
      <c r="H173" s="59" t="s">
        <v>4</v>
      </c>
      <c r="I173" s="60" t="s">
        <v>238</v>
      </c>
    </row>
    <row r="174" spans="1:12" ht="38.25" thickBot="1" x14ac:dyDescent="0.3">
      <c r="A174" s="18" t="s">
        <v>263</v>
      </c>
      <c r="C174" s="75">
        <f>C168</f>
        <v>-500</v>
      </c>
      <c r="D174" s="75">
        <f t="shared" ref="D174:H174" si="75">D168</f>
        <v>100</v>
      </c>
      <c r="E174" s="75">
        <f t="shared" si="75"/>
        <v>200</v>
      </c>
      <c r="F174" s="75">
        <f t="shared" si="75"/>
        <v>300</v>
      </c>
      <c r="G174" s="75">
        <f t="shared" si="75"/>
        <v>400</v>
      </c>
      <c r="H174" s="75">
        <f t="shared" si="75"/>
        <v>500</v>
      </c>
      <c r="I174" s="63">
        <f>SUM(C174:H174)</f>
        <v>1000</v>
      </c>
    </row>
    <row r="175" spans="1:12" ht="35.25" thickBot="1" x14ac:dyDescent="0.3">
      <c r="A175" s="265" t="s">
        <v>347</v>
      </c>
      <c r="B175" s="16"/>
      <c r="C175" s="75"/>
      <c r="D175" s="24">
        <f>D171</f>
        <v>89.285714285714278</v>
      </c>
      <c r="E175" s="24">
        <f t="shared" ref="E175:H175" si="76">E171</f>
        <v>159.43877551020407</v>
      </c>
      <c r="F175" s="24">
        <f t="shared" si="76"/>
        <v>213.53407434402325</v>
      </c>
      <c r="G175" s="24">
        <f t="shared" si="76"/>
        <v>254.20723136193246</v>
      </c>
      <c r="H175" s="24">
        <f t="shared" si="76"/>
        <v>283.7134278592996</v>
      </c>
      <c r="I175" s="21">
        <f>NPV(B177,D174:H174)</f>
        <v>1000.1792233611737</v>
      </c>
    </row>
    <row r="176" spans="1:12" ht="15.75" x14ac:dyDescent="0.25">
      <c r="A176" s="29" t="s">
        <v>313</v>
      </c>
      <c r="D176" s="1">
        <f>D4-1</f>
        <v>1</v>
      </c>
      <c r="E176" s="1">
        <f>E4-1</f>
        <v>2</v>
      </c>
      <c r="F176" s="1">
        <f>F4-1</f>
        <v>3</v>
      </c>
      <c r="G176" s="1">
        <f>G4-1</f>
        <v>4</v>
      </c>
      <c r="H176" s="1">
        <f>H4-1</f>
        <v>5</v>
      </c>
      <c r="I176" s="1">
        <f>H176</f>
        <v>5</v>
      </c>
    </row>
    <row r="177" spans="1:9" ht="16.5" thickBot="1" x14ac:dyDescent="0.3">
      <c r="A177" s="29" t="s">
        <v>79</v>
      </c>
      <c r="B177" s="16">
        <v>0.12</v>
      </c>
      <c r="C177" s="23">
        <f t="shared" ref="C177:H177" si="77">C158</f>
        <v>1</v>
      </c>
      <c r="D177" s="23">
        <f t="shared" si="77"/>
        <v>1.1200000000000001</v>
      </c>
      <c r="E177" s="23">
        <f t="shared" si="77"/>
        <v>1.2544000000000002</v>
      </c>
      <c r="F177" s="23">
        <f t="shared" si="77"/>
        <v>1.4049280000000004</v>
      </c>
      <c r="G177" s="23">
        <f t="shared" si="77"/>
        <v>1.5735193600000004</v>
      </c>
      <c r="H177" s="23">
        <f t="shared" si="77"/>
        <v>1.7623416832000005</v>
      </c>
    </row>
    <row r="178" spans="1:9" ht="38.25" thickBot="1" x14ac:dyDescent="0.3">
      <c r="A178" s="18" t="s">
        <v>351</v>
      </c>
      <c r="D178" s="1">
        <f>D174*(1+$B$177)^($I$176-D176)</f>
        <v>157.35193600000002</v>
      </c>
      <c r="E178" s="1">
        <f t="shared" ref="E178:H178" si="78">E174*(1+$B$177)^($I$176-E176)</f>
        <v>280.98560000000009</v>
      </c>
      <c r="F178" s="1">
        <f t="shared" si="78"/>
        <v>376.32000000000005</v>
      </c>
      <c r="G178" s="1">
        <f t="shared" si="78"/>
        <v>448.00000000000006</v>
      </c>
      <c r="H178" s="1">
        <f t="shared" si="78"/>
        <v>500</v>
      </c>
      <c r="I178" s="83">
        <f>SUM(D178:H178)</f>
        <v>1762.6575360000002</v>
      </c>
    </row>
    <row r="179" spans="1:9" ht="57" thickBot="1" x14ac:dyDescent="0.3">
      <c r="A179" s="18" t="s">
        <v>352</v>
      </c>
      <c r="D179" s="288" t="s">
        <v>353</v>
      </c>
      <c r="E179" s="288"/>
      <c r="F179" s="288"/>
      <c r="G179" s="288"/>
      <c r="I179" s="83">
        <f>I175*(1+B177)^I176</f>
        <v>1762.6575360000002</v>
      </c>
    </row>
  </sheetData>
  <mergeCells count="12">
    <mergeCell ref="D179:G179"/>
    <mergeCell ref="C116:G116"/>
    <mergeCell ref="C63:H63"/>
    <mergeCell ref="C127:H127"/>
    <mergeCell ref="C94:D94"/>
    <mergeCell ref="C106:G106"/>
    <mergeCell ref="C155:G155"/>
    <mergeCell ref="C41:H41"/>
    <mergeCell ref="C93:D93"/>
    <mergeCell ref="E94:H94"/>
    <mergeCell ref="E93:H93"/>
    <mergeCell ref="J159:L159"/>
  </mergeCells>
  <hyperlinks>
    <hyperlink ref="J1" r:id="rId1" xr:uid="{00000000-0004-0000-0000-000000000000}"/>
    <hyperlink ref="J2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0"/>
  <sheetViews>
    <sheetView topLeftCell="A114" workbookViewId="0">
      <selection activeCell="A59" sqref="A59"/>
    </sheetView>
  </sheetViews>
  <sheetFormatPr defaultColWidth="8.85546875" defaultRowHeight="15" x14ac:dyDescent="0.25"/>
  <cols>
    <col min="1" max="1" width="51.5703125" style="1" customWidth="1"/>
    <col min="2" max="2" width="8.5703125" style="1" customWidth="1"/>
    <col min="3" max="8" width="12.7109375" style="1" customWidth="1"/>
    <col min="9" max="9" width="17.140625" style="1" customWidth="1"/>
    <col min="10" max="16384" width="8.85546875" style="1"/>
  </cols>
  <sheetData>
    <row r="1" spans="1:10" ht="28.5" x14ac:dyDescent="0.25">
      <c r="A1" s="222" t="s">
        <v>354</v>
      </c>
      <c r="C1" s="6"/>
      <c r="E1" s="44"/>
    </row>
    <row r="2" spans="1:10" ht="19.5" thickBot="1" x14ac:dyDescent="0.3">
      <c r="A2" s="12" t="s">
        <v>218</v>
      </c>
      <c r="C2" s="6"/>
      <c r="E2" s="44"/>
    </row>
    <row r="3" spans="1:10" ht="63.75" thickBot="1" x14ac:dyDescent="0.3">
      <c r="A3" s="267" t="s">
        <v>378</v>
      </c>
      <c r="B3" s="53" t="s">
        <v>237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238</v>
      </c>
    </row>
    <row r="4" spans="1:10" ht="18.75" x14ac:dyDescent="0.25">
      <c r="A4" s="22" t="s">
        <v>242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0" ht="16.5" thickBot="1" x14ac:dyDescent="0.3">
      <c r="A5" s="1" t="s">
        <v>239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0" ht="16.5" thickBot="1" x14ac:dyDescent="0.3">
      <c r="A6" s="1" t="s">
        <v>240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0" ht="15.75" x14ac:dyDescent="0.25">
      <c r="A7" s="1" t="s">
        <v>241</v>
      </c>
      <c r="C7" s="7"/>
      <c r="D7" s="7">
        <f>'Cash Flow уточненный'!D7</f>
        <v>75</v>
      </c>
      <c r="E7" s="7">
        <f>'Cash Flow уточненный'!E7</f>
        <v>30</v>
      </c>
      <c r="F7" s="7">
        <f>'Cash Flow уточненный'!F7</f>
        <v>125</v>
      </c>
      <c r="G7" s="7">
        <f>'Cash Flow уточненный'!G7</f>
        <v>150</v>
      </c>
      <c r="H7" s="7">
        <f>'Cash Flow уточненный'!H7</f>
        <v>175</v>
      </c>
      <c r="I7" s="8">
        <f t="shared" ref="I7" si="1">SUM(D7:H7)</f>
        <v>555</v>
      </c>
    </row>
    <row r="8" spans="1:10" s="6" customFormat="1" ht="15.75" x14ac:dyDescent="0.25">
      <c r="A8" s="99" t="s">
        <v>355</v>
      </c>
      <c r="B8" s="99"/>
      <c r="C8" s="100"/>
      <c r="D8" s="101">
        <v>0.06</v>
      </c>
      <c r="E8" s="101">
        <v>0.05</v>
      </c>
      <c r="F8" s="101">
        <v>4.4999999999999998E-2</v>
      </c>
      <c r="G8" s="101">
        <v>0.04</v>
      </c>
      <c r="H8" s="101">
        <v>0.04</v>
      </c>
      <c r="I8" s="102"/>
    </row>
    <row r="9" spans="1:10" ht="15.75" x14ac:dyDescent="0.25">
      <c r="A9" s="1" t="s">
        <v>356</v>
      </c>
      <c r="C9" s="7">
        <f>D9/(1+D8)</f>
        <v>188.67924528301887</v>
      </c>
      <c r="D9" s="7">
        <v>200</v>
      </c>
      <c r="E9" s="7">
        <f>D9*(1+E8)</f>
        <v>210</v>
      </c>
      <c r="F9" s="7">
        <f t="shared" ref="F9:H9" si="2">E9*(1+F8)</f>
        <v>219.45</v>
      </c>
      <c r="G9" s="7">
        <f t="shared" si="2"/>
        <v>228.22800000000001</v>
      </c>
      <c r="H9" s="7">
        <f t="shared" si="2"/>
        <v>237.35712000000001</v>
      </c>
      <c r="I9" s="8">
        <f>SUM(D9:H9)/COUNTA(D9:H9)</f>
        <v>219.007024</v>
      </c>
      <c r="J9" s="1" t="s">
        <v>8</v>
      </c>
    </row>
    <row r="10" spans="1:10" ht="15.75" x14ac:dyDescent="0.25">
      <c r="A10" s="4" t="s">
        <v>357</v>
      </c>
      <c r="B10" s="4"/>
      <c r="C10" s="11"/>
      <c r="D10" s="11">
        <f>D9*D7</f>
        <v>15000</v>
      </c>
      <c r="E10" s="11">
        <f>E9*E7</f>
        <v>6300</v>
      </c>
      <c r="F10" s="11">
        <f>F9*F7</f>
        <v>27431.25</v>
      </c>
      <c r="G10" s="11">
        <f>G9*G7</f>
        <v>34234.200000000004</v>
      </c>
      <c r="H10" s="11">
        <f>H9*H7</f>
        <v>41537.495999999999</v>
      </c>
      <c r="I10" s="8">
        <f>SUM(D10:H10)</f>
        <v>124502.94600000001</v>
      </c>
    </row>
    <row r="11" spans="1:10" s="6" customFormat="1" ht="15.75" x14ac:dyDescent="0.25">
      <c r="A11" s="99" t="s">
        <v>358</v>
      </c>
      <c r="B11" s="99"/>
      <c r="C11" s="100"/>
      <c r="D11" s="101">
        <v>0.08</v>
      </c>
      <c r="E11" s="101">
        <v>7.0000000000000007E-2</v>
      </c>
      <c r="F11" s="101">
        <v>0.06</v>
      </c>
      <c r="G11" s="101">
        <v>0.05</v>
      </c>
      <c r="H11" s="101">
        <v>4.4999999999999998E-2</v>
      </c>
      <c r="I11" s="102"/>
    </row>
    <row r="12" spans="1:10" ht="15.75" x14ac:dyDescent="0.25">
      <c r="A12" s="4" t="s">
        <v>252</v>
      </c>
      <c r="B12" s="4"/>
      <c r="C12" s="11"/>
      <c r="D12" s="11">
        <f>D13+D14</f>
        <v>-10250</v>
      </c>
      <c r="E12" s="11">
        <f t="shared" ref="E12:H12" si="3">E13+E14</f>
        <v>-6531</v>
      </c>
      <c r="F12" s="11">
        <f t="shared" si="3"/>
        <v>-18775.25</v>
      </c>
      <c r="G12" s="11">
        <f t="shared" si="3"/>
        <v>-22989.015000000003</v>
      </c>
      <c r="H12" s="11">
        <f t="shared" si="3"/>
        <v>-27445.898287500007</v>
      </c>
      <c r="I12" s="8">
        <f t="shared" ref="I12:I14" si="4">SUM(D12:H12)</f>
        <v>-85991.163287500007</v>
      </c>
    </row>
    <row r="13" spans="1:10" s="6" customFormat="1" ht="15.75" x14ac:dyDescent="0.25">
      <c r="A13" s="6" t="s">
        <v>244</v>
      </c>
      <c r="C13" s="10"/>
      <c r="D13" s="10">
        <v>-2000</v>
      </c>
      <c r="E13" s="10">
        <v>-3000</v>
      </c>
      <c r="F13" s="7">
        <f>E13*(1+F11)</f>
        <v>-3180</v>
      </c>
      <c r="G13" s="7">
        <f t="shared" ref="G13:H13" si="5">F13*(1+G11)</f>
        <v>-3339</v>
      </c>
      <c r="H13" s="7">
        <f t="shared" si="5"/>
        <v>-3489.2549999999997</v>
      </c>
      <c r="I13" s="8">
        <f t="shared" si="4"/>
        <v>-15008.254999999999</v>
      </c>
    </row>
    <row r="14" spans="1:10" s="6" customFormat="1" ht="15.75" x14ac:dyDescent="0.25">
      <c r="A14" s="6" t="s">
        <v>245</v>
      </c>
      <c r="C14" s="10"/>
      <c r="D14" s="10">
        <f>-D15*D7</f>
        <v>-8250</v>
      </c>
      <c r="E14" s="10">
        <f>-E15*E7</f>
        <v>-3531</v>
      </c>
      <c r="F14" s="10">
        <f>-F15*F7</f>
        <v>-15595.250000000002</v>
      </c>
      <c r="G14" s="10">
        <f>-G15*G7</f>
        <v>-19650.015000000003</v>
      </c>
      <c r="H14" s="10">
        <f>-H15*H7</f>
        <v>-23956.643287500006</v>
      </c>
      <c r="I14" s="8">
        <f t="shared" si="4"/>
        <v>-70982.908287500002</v>
      </c>
    </row>
    <row r="15" spans="1:10" s="6" customFormat="1" ht="15.75" x14ac:dyDescent="0.25">
      <c r="A15" s="6" t="s">
        <v>247</v>
      </c>
      <c r="C15" s="10"/>
      <c r="D15" s="10">
        <v>110</v>
      </c>
      <c r="E15" s="10">
        <f>D15*(1+E11)</f>
        <v>117.7</v>
      </c>
      <c r="F15" s="10">
        <f t="shared" ref="F15:H15" si="6">E15*(1+F11)</f>
        <v>124.76200000000001</v>
      </c>
      <c r="G15" s="10">
        <f t="shared" si="6"/>
        <v>131.00010000000003</v>
      </c>
      <c r="H15" s="10">
        <f t="shared" si="6"/>
        <v>136.89510450000003</v>
      </c>
      <c r="I15" s="8">
        <f>SUM(D15:H15)/COUNTA(D15:H15)</f>
        <v>124.07144090000001</v>
      </c>
      <c r="J15" s="1" t="s">
        <v>9</v>
      </c>
    </row>
    <row r="16" spans="1:10" s="6" customFormat="1" ht="30" x14ac:dyDescent="0.25">
      <c r="A16" s="257" t="s">
        <v>248</v>
      </c>
      <c r="C16" s="10"/>
      <c r="D16" s="10">
        <f>-D12/D7</f>
        <v>136.66666666666666</v>
      </c>
      <c r="E16" s="10">
        <f>-E12/E7</f>
        <v>217.7</v>
      </c>
      <c r="F16" s="10">
        <f>-F12/F7</f>
        <v>150.202</v>
      </c>
      <c r="G16" s="10">
        <f>-G12/G7</f>
        <v>153.26010000000002</v>
      </c>
      <c r="H16" s="10">
        <f>-H12/H7</f>
        <v>156.83370450000004</v>
      </c>
      <c r="I16" s="8">
        <f>SUM(D16:H16)/COUNTA(D16:H16)</f>
        <v>162.93249423333336</v>
      </c>
      <c r="J16" s="1" t="s">
        <v>9</v>
      </c>
    </row>
    <row r="17" spans="1:9" s="5" customFormat="1" ht="45" x14ac:dyDescent="0.25">
      <c r="A17" s="106" t="s">
        <v>359</v>
      </c>
      <c r="B17" s="103"/>
      <c r="C17" s="104"/>
      <c r="D17" s="104">
        <v>5000</v>
      </c>
      <c r="E17" s="104">
        <v>6000</v>
      </c>
      <c r="F17" s="104">
        <v>7000</v>
      </c>
      <c r="G17" s="104">
        <v>8000</v>
      </c>
      <c r="H17" s="104">
        <v>9000</v>
      </c>
      <c r="I17" s="105">
        <f t="shared" ref="I17:I27" si="7">SUM(D17:H17)</f>
        <v>35000</v>
      </c>
    </row>
    <row r="18" spans="1:9" s="144" customFormat="1" ht="15.75" x14ac:dyDescent="0.25">
      <c r="A18" s="122" t="s">
        <v>360</v>
      </c>
      <c r="B18" s="122"/>
      <c r="C18" s="123"/>
      <c r="D18" s="123">
        <f>-D17</f>
        <v>-5000</v>
      </c>
      <c r="E18" s="123">
        <f t="shared" ref="E18:H18" si="8">-E17</f>
        <v>-6000</v>
      </c>
      <c r="F18" s="123">
        <f t="shared" si="8"/>
        <v>-7000</v>
      </c>
      <c r="G18" s="123">
        <f t="shared" si="8"/>
        <v>-8000</v>
      </c>
      <c r="H18" s="123">
        <f t="shared" si="8"/>
        <v>-9000</v>
      </c>
      <c r="I18" s="124">
        <f t="shared" si="7"/>
        <v>-35000</v>
      </c>
    </row>
    <row r="19" spans="1:9" s="6" customFormat="1" ht="16.5" thickBot="1" x14ac:dyDescent="0.3">
      <c r="A19" s="99" t="s">
        <v>361</v>
      </c>
      <c r="B19" s="99"/>
      <c r="C19" s="100"/>
      <c r="D19" s="101">
        <v>0.08</v>
      </c>
      <c r="E19" s="101">
        <v>7.0000000000000007E-2</v>
      </c>
      <c r="F19" s="101">
        <v>0.06</v>
      </c>
      <c r="G19" s="101">
        <v>0.05</v>
      </c>
      <c r="H19" s="101">
        <v>4.4999999999999998E-2</v>
      </c>
      <c r="I19" s="102"/>
    </row>
    <row r="20" spans="1:9" s="3" customFormat="1" ht="63.75" thickBot="1" x14ac:dyDescent="0.3">
      <c r="A20" s="13" t="s">
        <v>458</v>
      </c>
      <c r="B20" s="13"/>
      <c r="C20" s="8">
        <f>C10+C12</f>
        <v>0</v>
      </c>
      <c r="D20" s="8">
        <f>D10+D12</f>
        <v>4750</v>
      </c>
      <c r="E20" s="8">
        <f t="shared" ref="E20:H20" si="9">E10+E12</f>
        <v>-231</v>
      </c>
      <c r="F20" s="8">
        <f t="shared" si="9"/>
        <v>8656</v>
      </c>
      <c r="G20" s="8">
        <f t="shared" si="9"/>
        <v>11245.185000000001</v>
      </c>
      <c r="H20" s="8">
        <f t="shared" si="9"/>
        <v>14091.597712499992</v>
      </c>
      <c r="I20" s="49">
        <f t="shared" si="7"/>
        <v>38511.782712499989</v>
      </c>
    </row>
    <row r="21" spans="1:9" s="5" customFormat="1" ht="15.75" x14ac:dyDescent="0.25">
      <c r="A21" s="5" t="s">
        <v>253</v>
      </c>
      <c r="B21" s="16"/>
      <c r="C21" s="9">
        <v>0</v>
      </c>
      <c r="D21" s="9">
        <f>'Cash Flow уточненный'!D21</f>
        <v>-225</v>
      </c>
      <c r="E21" s="9">
        <f>'Cash Flow уточненный'!E21</f>
        <v>-1025</v>
      </c>
      <c r="F21" s="9">
        <f>'Cash Flow уточненный'!F21</f>
        <v>-1600.8333333333333</v>
      </c>
      <c r="G21" s="9">
        <f>'Cash Flow уточненный'!G21</f>
        <v>-1454.6666666666667</v>
      </c>
      <c r="H21" s="9">
        <f>'Cash Flow уточненный'!H21</f>
        <v>-1385.3</v>
      </c>
      <c r="I21" s="8">
        <f t="shared" si="7"/>
        <v>-5690.8</v>
      </c>
    </row>
    <row r="22" spans="1:9" s="5" customFormat="1" ht="31.5" x14ac:dyDescent="0.25">
      <c r="A22" s="13" t="s">
        <v>459</v>
      </c>
      <c r="B22" s="17"/>
      <c r="C22" s="8">
        <f>C20+C21</f>
        <v>0</v>
      </c>
      <c r="D22" s="8">
        <f>D20+D21</f>
        <v>4525</v>
      </c>
      <c r="E22" s="8">
        <f t="shared" ref="E22:H22" si="10">E20+E21</f>
        <v>-1256</v>
      </c>
      <c r="F22" s="8">
        <f t="shared" si="10"/>
        <v>7055.166666666667</v>
      </c>
      <c r="G22" s="8">
        <f t="shared" si="10"/>
        <v>9790.5183333333352</v>
      </c>
      <c r="H22" s="8">
        <f t="shared" si="10"/>
        <v>12706.297712499992</v>
      </c>
      <c r="I22" s="8">
        <f t="shared" si="7"/>
        <v>32820.982712500001</v>
      </c>
    </row>
    <row r="23" spans="1:9" s="144" customFormat="1" ht="15.75" x14ac:dyDescent="0.25">
      <c r="A23" s="5" t="s">
        <v>254</v>
      </c>
      <c r="B23" s="111"/>
      <c r="D23" s="145">
        <f>-D17*D19</f>
        <v>-400</v>
      </c>
      <c r="E23" s="145">
        <f t="shared" ref="E23:H23" si="11">-E17*E19</f>
        <v>-420.00000000000006</v>
      </c>
      <c r="F23" s="145">
        <f t="shared" si="11"/>
        <v>-420</v>
      </c>
      <c r="G23" s="145">
        <f t="shared" si="11"/>
        <v>-400</v>
      </c>
      <c r="H23" s="145">
        <f t="shared" si="11"/>
        <v>-405</v>
      </c>
      <c r="I23" s="146">
        <f t="shared" si="7"/>
        <v>-2045</v>
      </c>
    </row>
    <row r="24" spans="1:9" s="5" customFormat="1" ht="16.5" thickBot="1" x14ac:dyDescent="0.3">
      <c r="A24" s="5" t="s">
        <v>255</v>
      </c>
      <c r="B24" s="16">
        <v>0.2</v>
      </c>
      <c r="C24" s="9">
        <f t="shared" ref="C24:D24" si="12">IF(C22+C23&lt;0,0,-(C22+C23)*$B$24)</f>
        <v>0</v>
      </c>
      <c r="D24" s="9">
        <f t="shared" si="12"/>
        <v>-825</v>
      </c>
      <c r="E24" s="9">
        <f>IF(E22+E23&lt;0,0,-(E22+E23)*$B$24)</f>
        <v>0</v>
      </c>
      <c r="F24" s="9">
        <f t="shared" ref="F24:H24" si="13">IF(F22+F23&lt;0,0,-(F22+F23)*$B$24)</f>
        <v>-1327.0333333333335</v>
      </c>
      <c r="G24" s="9">
        <f t="shared" si="13"/>
        <v>-1878.1036666666671</v>
      </c>
      <c r="H24" s="9">
        <f t="shared" si="13"/>
        <v>-2460.2595424999986</v>
      </c>
      <c r="I24" s="8">
        <f t="shared" si="7"/>
        <v>-6490.3965424999988</v>
      </c>
    </row>
    <row r="25" spans="1:9" s="3" customFormat="1" ht="32.25" thickBot="1" x14ac:dyDescent="0.3">
      <c r="A25" s="13" t="s">
        <v>462</v>
      </c>
      <c r="C25" s="8">
        <f>C22+C23+C24</f>
        <v>0</v>
      </c>
      <c r="D25" s="8">
        <f>D22+D23+D24</f>
        <v>3300</v>
      </c>
      <c r="E25" s="8">
        <f t="shared" ref="E25:H25" si="14">E22+E23+E24</f>
        <v>-1676</v>
      </c>
      <c r="F25" s="8">
        <f t="shared" si="14"/>
        <v>5308.1333333333332</v>
      </c>
      <c r="G25" s="8">
        <f t="shared" si="14"/>
        <v>7512.4146666666684</v>
      </c>
      <c r="H25" s="8">
        <f t="shared" si="14"/>
        <v>9841.0381699999944</v>
      </c>
      <c r="I25" s="49">
        <f t="shared" si="7"/>
        <v>24285.586169999995</v>
      </c>
    </row>
    <row r="26" spans="1:9" s="5" customFormat="1" ht="30" x14ac:dyDescent="0.25">
      <c r="A26" s="258" t="s">
        <v>256</v>
      </c>
      <c r="C26" s="9">
        <f>C5</f>
        <v>5000</v>
      </c>
      <c r="D26" s="9">
        <f>C30</f>
        <v>0</v>
      </c>
      <c r="E26" s="9">
        <f t="shared" ref="E26:H26" si="15">D30</f>
        <v>3525</v>
      </c>
      <c r="F26" s="9">
        <f t="shared" si="15"/>
        <v>2874</v>
      </c>
      <c r="G26" s="9">
        <f t="shared" si="15"/>
        <v>9782.9666666666672</v>
      </c>
      <c r="H26" s="9">
        <f t="shared" si="15"/>
        <v>18750.048000000003</v>
      </c>
      <c r="I26" s="9">
        <f>C26</f>
        <v>5000</v>
      </c>
    </row>
    <row r="27" spans="1:9" s="4" customFormat="1" x14ac:dyDescent="0.25">
      <c r="A27" s="4" t="s">
        <v>258</v>
      </c>
      <c r="C27" s="11">
        <f>C10</f>
        <v>0</v>
      </c>
      <c r="D27" s="11">
        <f>D10+D5+D17</f>
        <v>22000</v>
      </c>
      <c r="E27" s="11">
        <f t="shared" ref="E27:H27" si="16">E10+E5+E17</f>
        <v>17300</v>
      </c>
      <c r="F27" s="11">
        <f t="shared" si="16"/>
        <v>34431.25</v>
      </c>
      <c r="G27" s="11">
        <f t="shared" si="16"/>
        <v>42234.200000000004</v>
      </c>
      <c r="H27" s="11">
        <f t="shared" si="16"/>
        <v>50537.495999999999</v>
      </c>
      <c r="I27" s="11">
        <f t="shared" si="7"/>
        <v>166502.946</v>
      </c>
    </row>
    <row r="28" spans="1:9" s="4" customFormat="1" ht="15.75" thickBot="1" x14ac:dyDescent="0.3">
      <c r="A28" s="4" t="s">
        <v>257</v>
      </c>
      <c r="C28" s="11">
        <f t="shared" ref="C28" si="17">C6+C12+C23+C24</f>
        <v>-5000</v>
      </c>
      <c r="D28" s="11">
        <f>D6+D12+D23+D24+D18</f>
        <v>-18475</v>
      </c>
      <c r="E28" s="11">
        <f t="shared" ref="E28:H28" si="18">E6+E12+E23+E24+E18</f>
        <v>-17951</v>
      </c>
      <c r="F28" s="11">
        <f t="shared" si="18"/>
        <v>-27522.283333333333</v>
      </c>
      <c r="G28" s="11">
        <f t="shared" si="18"/>
        <v>-33267.118666666669</v>
      </c>
      <c r="H28" s="11">
        <f t="shared" si="18"/>
        <v>-39311.157830000011</v>
      </c>
      <c r="I28" s="11">
        <f>SUM(C28:H28)</f>
        <v>-141526.55983000001</v>
      </c>
    </row>
    <row r="29" spans="1:9" s="4" customFormat="1" ht="30.75" thickBot="1" x14ac:dyDescent="0.3">
      <c r="A29" s="259" t="s">
        <v>259</v>
      </c>
      <c r="C29" s="11">
        <f>C28+C27</f>
        <v>-5000</v>
      </c>
      <c r="D29" s="11">
        <f>D28+D27</f>
        <v>3525</v>
      </c>
      <c r="E29" s="11">
        <f t="shared" ref="E29:H29" si="19">E28+E27</f>
        <v>-651</v>
      </c>
      <c r="F29" s="11">
        <f t="shared" si="19"/>
        <v>6908.9666666666672</v>
      </c>
      <c r="G29" s="11">
        <f t="shared" si="19"/>
        <v>8967.0813333333354</v>
      </c>
      <c r="H29" s="11">
        <f t="shared" si="19"/>
        <v>11226.338169999988</v>
      </c>
      <c r="I29" s="42">
        <f>SUM(C29:H29)</f>
        <v>24976.386169999991</v>
      </c>
    </row>
    <row r="30" spans="1:9" s="5" customFormat="1" ht="30" x14ac:dyDescent="0.25">
      <c r="A30" s="258" t="s">
        <v>260</v>
      </c>
      <c r="C30" s="9">
        <f>C29+C26</f>
        <v>0</v>
      </c>
      <c r="D30" s="9">
        <f>D29+D26</f>
        <v>3525</v>
      </c>
      <c r="E30" s="9">
        <f t="shared" ref="E30:H30" si="20">E29+E26</f>
        <v>2874</v>
      </c>
      <c r="F30" s="9">
        <f t="shared" si="20"/>
        <v>9782.9666666666672</v>
      </c>
      <c r="G30" s="9">
        <f t="shared" si="20"/>
        <v>18750.048000000003</v>
      </c>
      <c r="H30" s="9">
        <f t="shared" si="20"/>
        <v>29976.386169999991</v>
      </c>
      <c r="I30" s="9">
        <f>H30</f>
        <v>29976.386169999991</v>
      </c>
    </row>
    <row r="31" spans="1:9" s="5" customFormat="1" ht="30.75" thickBot="1" x14ac:dyDescent="0.3">
      <c r="A31" s="258" t="s">
        <v>261</v>
      </c>
      <c r="C31" s="9">
        <f>C29</f>
        <v>-5000</v>
      </c>
      <c r="D31" s="9">
        <f>C31+D29</f>
        <v>-1475</v>
      </c>
      <c r="E31" s="9">
        <f t="shared" ref="E31:H31" si="21">D31+E29</f>
        <v>-2126</v>
      </c>
      <c r="F31" s="9">
        <f t="shared" si="21"/>
        <v>4782.9666666666672</v>
      </c>
      <c r="G31" s="9">
        <f t="shared" si="21"/>
        <v>13750.048000000003</v>
      </c>
      <c r="H31" s="9">
        <f t="shared" si="21"/>
        <v>24976.386169999991</v>
      </c>
      <c r="I31" s="46">
        <f>H31</f>
        <v>24976.386169999991</v>
      </c>
    </row>
    <row r="32" spans="1:9" ht="32.25" thickBot="1" x14ac:dyDescent="0.3">
      <c r="A32" s="266" t="s">
        <v>362</v>
      </c>
      <c r="B32" s="107">
        <v>0.25</v>
      </c>
      <c r="C32" s="108"/>
      <c r="D32" s="109">
        <f>IF(D25&gt;0,D25*$B$32,0)</f>
        <v>825</v>
      </c>
      <c r="E32" s="109">
        <f>IF(E25&gt;0,E25*$B$32,0)</f>
        <v>0</v>
      </c>
      <c r="F32" s="109">
        <f>IF(F25&gt;0,F25*$B$32,0)</f>
        <v>1327.0333333333333</v>
      </c>
      <c r="G32" s="109">
        <f>IF(G25&gt;0,G25*$B$32,0)</f>
        <v>1878.1036666666671</v>
      </c>
      <c r="H32" s="109">
        <f>IF(H25&gt;0,H25*$B$32,0)</f>
        <v>2460.2595424999986</v>
      </c>
      <c r="I32" s="110">
        <f>SUM(C32:H32)</f>
        <v>6490.3965424999988</v>
      </c>
    </row>
    <row r="33" spans="1:11" s="64" customFormat="1" ht="16.5" thickBot="1" x14ac:dyDescent="0.3">
      <c r="A33" s="117" t="s">
        <v>363</v>
      </c>
      <c r="B33" s="118">
        <v>0.05</v>
      </c>
      <c r="C33" s="119"/>
      <c r="D33" s="120"/>
      <c r="E33" s="120"/>
      <c r="F33" s="120"/>
      <c r="G33" s="120"/>
      <c r="H33" s="120"/>
      <c r="I33" s="121"/>
    </row>
    <row r="34" spans="1:11" s="64" customFormat="1" ht="15.75" thickBot="1" x14ac:dyDescent="0.3">
      <c r="A34" s="108" t="s">
        <v>364</v>
      </c>
      <c r="B34" s="37"/>
      <c r="C34" s="37"/>
      <c r="D34" s="37"/>
      <c r="E34" s="116">
        <f>(E20-D20)/D20</f>
        <v>-1.0486315789473684</v>
      </c>
      <c r="F34" s="116">
        <f>(F20-E20)/E20</f>
        <v>-38.471861471861473</v>
      </c>
      <c r="G34" s="116">
        <f>(G20-F20)/F20</f>
        <v>0.2991202634011092</v>
      </c>
      <c r="H34" s="116">
        <f>(H20-G20)/G20</f>
        <v>0.25312279989168612</v>
      </c>
      <c r="I34" s="126">
        <f>AVERAGE(E34:H34)</f>
        <v>-9.7420624968790115</v>
      </c>
    </row>
    <row r="35" spans="1:11" s="64" customFormat="1" ht="15.75" thickBot="1" x14ac:dyDescent="0.3">
      <c r="A35" s="119" t="s">
        <v>365</v>
      </c>
      <c r="B35" s="120"/>
      <c r="C35" s="120"/>
      <c r="D35" s="120"/>
      <c r="E35" s="125">
        <f>(E22-D22)/D22</f>
        <v>-1.2775690607734806</v>
      </c>
      <c r="F35" s="125">
        <f t="shared" ref="F35:H35" si="22">(F22-E22)/E22</f>
        <v>-6.6171709129511687</v>
      </c>
      <c r="G35" s="125">
        <f t="shared" si="22"/>
        <v>0.38770900758309534</v>
      </c>
      <c r="H35" s="125">
        <f t="shared" si="22"/>
        <v>0.29781665075274255</v>
      </c>
      <c r="I35" s="127">
        <f t="shared" ref="I35:I36" si="23">AVERAGE(E35:H35)</f>
        <v>-1.8023035788472028</v>
      </c>
    </row>
    <row r="36" spans="1:11" s="64" customFormat="1" ht="15.75" thickBot="1" x14ac:dyDescent="0.3">
      <c r="A36" s="108" t="s">
        <v>366</v>
      </c>
      <c r="B36" s="37"/>
      <c r="C36" s="37"/>
      <c r="D36" s="37"/>
      <c r="E36" s="116">
        <f>(E25-D25)/D25</f>
        <v>-1.5078787878787878</v>
      </c>
      <c r="F36" s="116">
        <f t="shared" ref="F36:H36" si="24">(F25-E25)/E25</f>
        <v>-4.1671439936356407</v>
      </c>
      <c r="G36" s="116">
        <f t="shared" si="24"/>
        <v>0.41526487654165972</v>
      </c>
      <c r="H36" s="116">
        <f t="shared" si="24"/>
        <v>0.30997004380837234</v>
      </c>
      <c r="I36" s="126">
        <f t="shared" si="23"/>
        <v>-1.2374469652910993</v>
      </c>
    </row>
    <row r="37" spans="1:11" s="64" customFormat="1" ht="78.75" thickBot="1" x14ac:dyDescent="0.3">
      <c r="A37" s="148" t="s">
        <v>377</v>
      </c>
      <c r="B37" s="53" t="s">
        <v>237</v>
      </c>
      <c r="C37" s="58" t="s">
        <v>5</v>
      </c>
      <c r="D37" s="59" t="s">
        <v>0</v>
      </c>
      <c r="E37" s="59" t="s">
        <v>1</v>
      </c>
      <c r="F37" s="59" t="s">
        <v>2</v>
      </c>
      <c r="G37" s="59" t="s">
        <v>3</v>
      </c>
      <c r="H37" s="59" t="s">
        <v>4</v>
      </c>
      <c r="I37" s="60" t="s">
        <v>238</v>
      </c>
    </row>
    <row r="38" spans="1:11" s="64" customFormat="1" ht="38.25" thickBot="1" x14ac:dyDescent="0.3">
      <c r="A38" s="18" t="s">
        <v>263</v>
      </c>
      <c r="B38" s="51"/>
      <c r="C38" s="8">
        <f>C29</f>
        <v>-5000</v>
      </c>
      <c r="D38" s="8">
        <f t="shared" ref="D38:H38" si="25">D29</f>
        <v>3525</v>
      </c>
      <c r="E38" s="8">
        <f t="shared" si="25"/>
        <v>-651</v>
      </c>
      <c r="F38" s="8">
        <f t="shared" si="25"/>
        <v>6908.9666666666672</v>
      </c>
      <c r="G38" s="8">
        <f t="shared" si="25"/>
        <v>8967.0813333333354</v>
      </c>
      <c r="H38" s="8">
        <f t="shared" si="25"/>
        <v>11226.338169999988</v>
      </c>
      <c r="I38" s="21">
        <f>SUM(C38:H38)</f>
        <v>24976.386169999991</v>
      </c>
    </row>
    <row r="39" spans="1:11" s="64" customFormat="1" ht="15.75" x14ac:dyDescent="0.25">
      <c r="A39" s="48" t="s">
        <v>273</v>
      </c>
      <c r="B39" s="16">
        <v>0.12</v>
      </c>
      <c r="C39" s="23">
        <f>1</f>
        <v>1</v>
      </c>
      <c r="D39" s="23">
        <f>(1+$B$39)^(D4-1)</f>
        <v>1.1200000000000001</v>
      </c>
      <c r="E39" s="23">
        <f>(1+$B$39)^(E4-1)</f>
        <v>1.2544000000000002</v>
      </c>
      <c r="F39" s="23">
        <f>(1+$B$39)^(F4-1)</f>
        <v>1.4049280000000004</v>
      </c>
      <c r="G39" s="23">
        <f>(1+$B$39)^(G4-1)</f>
        <v>1.5735193600000004</v>
      </c>
      <c r="H39" s="23">
        <f>(1+$B$39)^(H4-1)</f>
        <v>1.7623416832000005</v>
      </c>
      <c r="I39" s="1"/>
    </row>
    <row r="40" spans="1:11" s="64" customFormat="1" ht="32.25" thickBot="1" x14ac:dyDescent="0.3">
      <c r="A40" s="261" t="s">
        <v>294</v>
      </c>
      <c r="B40" s="16"/>
      <c r="C40" s="23">
        <f>1/C39</f>
        <v>1</v>
      </c>
      <c r="D40" s="23">
        <f t="shared" ref="D40:H40" si="26">1/D39</f>
        <v>0.89285714285714279</v>
      </c>
      <c r="E40" s="23">
        <f t="shared" si="26"/>
        <v>0.79719387755102034</v>
      </c>
      <c r="F40" s="23">
        <f t="shared" si="26"/>
        <v>0.71178024781341087</v>
      </c>
      <c r="G40" s="23">
        <f t="shared" si="26"/>
        <v>0.63551807840483121</v>
      </c>
      <c r="H40" s="23">
        <f t="shared" si="26"/>
        <v>0.56742685571859919</v>
      </c>
      <c r="I40" s="1"/>
    </row>
    <row r="41" spans="1:11" s="64" customFormat="1" ht="57" thickBot="1" x14ac:dyDescent="0.3">
      <c r="A41" s="18" t="s">
        <v>368</v>
      </c>
      <c r="B41" s="111"/>
      <c r="C41" s="8">
        <f>C38*C40</f>
        <v>-5000</v>
      </c>
      <c r="D41" s="8">
        <f t="shared" ref="D41:H41" si="27">D38*D40</f>
        <v>3147.3214285714284</v>
      </c>
      <c r="E41" s="8">
        <f t="shared" si="27"/>
        <v>-518.97321428571422</v>
      </c>
      <c r="F41" s="8">
        <f t="shared" si="27"/>
        <v>4917.6660061345956</v>
      </c>
      <c r="G41" s="8">
        <f t="shared" si="27"/>
        <v>5698.7422978598333</v>
      </c>
      <c r="H41" s="8">
        <f t="shared" si="27"/>
        <v>6370.1257690367866</v>
      </c>
      <c r="I41" s="83">
        <f>SUM(C41:H41)</f>
        <v>14614.88228731693</v>
      </c>
    </row>
    <row r="42" spans="1:11" ht="78.75" thickBot="1" x14ac:dyDescent="0.3">
      <c r="A42" s="148" t="s">
        <v>376</v>
      </c>
      <c r="B42" s="53" t="s">
        <v>237</v>
      </c>
      <c r="C42" s="58" t="s">
        <v>5</v>
      </c>
      <c r="D42" s="59" t="s">
        <v>0</v>
      </c>
      <c r="E42" s="59" t="s">
        <v>1</v>
      </c>
      <c r="F42" s="59" t="s">
        <v>2</v>
      </c>
      <c r="G42" s="59" t="s">
        <v>3</v>
      </c>
      <c r="H42" s="59" t="s">
        <v>4</v>
      </c>
      <c r="I42" s="60" t="s">
        <v>238</v>
      </c>
    </row>
    <row r="43" spans="1:11" ht="34.5" thickBot="1" x14ac:dyDescent="0.3">
      <c r="A43" s="18" t="s">
        <v>369</v>
      </c>
      <c r="B43" s="14"/>
      <c r="C43" s="8">
        <f>IF(C31&lt;0,0,1)</f>
        <v>0</v>
      </c>
      <c r="D43" s="8">
        <f t="shared" ref="D43:H43" si="28">IF(D31&lt;0,0,1)</f>
        <v>0</v>
      </c>
      <c r="E43" s="8">
        <f t="shared" si="28"/>
        <v>0</v>
      </c>
      <c r="F43" s="8">
        <f t="shared" si="28"/>
        <v>1</v>
      </c>
      <c r="G43" s="8">
        <f t="shared" si="28"/>
        <v>1</v>
      </c>
      <c r="H43" s="8">
        <f t="shared" si="28"/>
        <v>1</v>
      </c>
      <c r="I43" s="82">
        <f>I4-SUM(C43:H43)-SUM(C44:H44)</f>
        <v>2.3077160598063386</v>
      </c>
      <c r="K43"/>
    </row>
    <row r="44" spans="1:11" ht="15.75" thickBot="1" x14ac:dyDescent="0.3">
      <c r="A44" s="19" t="s">
        <v>370</v>
      </c>
      <c r="C44" s="20">
        <f>IF(AND(B43=0,C43=1),C35/E12,0)</f>
        <v>0</v>
      </c>
      <c r="D44" s="20">
        <f>IF(AND(C43=0,D43=1),D35/F12,0)</f>
        <v>0</v>
      </c>
      <c r="E44" s="20">
        <f>IF(AND(D43=0,E43=1),E35/G12,0)</f>
        <v>0</v>
      </c>
      <c r="F44" s="20">
        <f>IF(AND(E43=0,F43=1),F31/F29,0)</f>
        <v>0.69228394019366135</v>
      </c>
      <c r="G44" s="20">
        <f>IF(AND(F43=0,G43=1),G35/G33,0)</f>
        <v>0</v>
      </c>
      <c r="H44" s="20">
        <f>IF(AND(G43=0,H43=1),H35/J12,0)</f>
        <v>0</v>
      </c>
    </row>
    <row r="45" spans="1:11" ht="55.5" thickBot="1" x14ac:dyDescent="0.3">
      <c r="A45" s="148" t="s">
        <v>375</v>
      </c>
      <c r="B45" s="53" t="s">
        <v>237</v>
      </c>
      <c r="C45" s="58" t="s">
        <v>5</v>
      </c>
      <c r="D45" s="59" t="s">
        <v>0</v>
      </c>
      <c r="E45" s="59" t="s">
        <v>1</v>
      </c>
      <c r="F45" s="59" t="s">
        <v>2</v>
      </c>
      <c r="G45" s="59" t="s">
        <v>3</v>
      </c>
      <c r="H45" s="59" t="s">
        <v>4</v>
      </c>
      <c r="I45" s="60" t="s">
        <v>238</v>
      </c>
    </row>
    <row r="46" spans="1:11" ht="57" thickBot="1" x14ac:dyDescent="0.3">
      <c r="A46" s="18" t="s">
        <v>371</v>
      </c>
      <c r="C46" s="75"/>
      <c r="D46" s="75"/>
      <c r="E46" s="75"/>
      <c r="F46" s="75"/>
      <c r="G46" s="75"/>
      <c r="H46" s="75"/>
      <c r="I46" s="63">
        <f>H41</f>
        <v>6370.1257690367866</v>
      </c>
    </row>
    <row r="47" spans="1:11" ht="18.75" x14ac:dyDescent="0.25">
      <c r="A47" s="96" t="s">
        <v>273</v>
      </c>
      <c r="B47" s="16">
        <v>0.12</v>
      </c>
      <c r="C47" s="75"/>
      <c r="D47" s="75"/>
      <c r="E47" s="75"/>
      <c r="F47" s="75"/>
      <c r="G47" s="75"/>
      <c r="H47" s="75"/>
      <c r="I47" s="26"/>
      <c r="J47"/>
    </row>
    <row r="48" spans="1:11" ht="19.5" thickBot="1" x14ac:dyDescent="0.3">
      <c r="A48" s="96" t="s">
        <v>372</v>
      </c>
      <c r="B48" s="16">
        <f>B33</f>
        <v>0.05</v>
      </c>
      <c r="C48" s="75"/>
      <c r="D48" s="75"/>
      <c r="E48" s="75"/>
      <c r="F48" s="75"/>
      <c r="G48" s="75"/>
      <c r="H48" s="75"/>
      <c r="I48" s="26"/>
    </row>
    <row r="49" spans="1:10" ht="38.25" thickBot="1" x14ac:dyDescent="0.3">
      <c r="A49" s="18" t="s">
        <v>373</v>
      </c>
      <c r="C49" s="75"/>
      <c r="D49" s="75"/>
      <c r="E49" s="75"/>
      <c r="F49" s="75"/>
      <c r="G49" s="75"/>
      <c r="H49" s="75"/>
      <c r="I49" s="83">
        <f>(I46*(1+$B$48))/($B$47-$B$48)</f>
        <v>95551.886535551806</v>
      </c>
    </row>
    <row r="50" spans="1:10" ht="105" thickBot="1" x14ac:dyDescent="0.3">
      <c r="A50" s="148" t="s">
        <v>374</v>
      </c>
      <c r="B50" s="53" t="s">
        <v>237</v>
      </c>
      <c r="C50" s="58" t="s">
        <v>5</v>
      </c>
      <c r="D50" s="59" t="s">
        <v>0</v>
      </c>
      <c r="E50" s="59" t="s">
        <v>1</v>
      </c>
      <c r="F50" s="59" t="s">
        <v>2</v>
      </c>
      <c r="G50" s="59" t="s">
        <v>3</v>
      </c>
      <c r="H50" s="59" t="s">
        <v>4</v>
      </c>
      <c r="I50" s="60" t="s">
        <v>238</v>
      </c>
    </row>
    <row r="51" spans="1:10" ht="18.75" x14ac:dyDescent="0.25">
      <c r="A51" s="18" t="s">
        <v>396</v>
      </c>
      <c r="C51" s="75">
        <f>C5</f>
        <v>5000</v>
      </c>
      <c r="D51" s="75">
        <f>C51+D5</f>
        <v>7000</v>
      </c>
      <c r="E51" s="75">
        <f>D51+E5</f>
        <v>12000</v>
      </c>
      <c r="F51" s="75">
        <f>E51+F5</f>
        <v>12000</v>
      </c>
      <c r="G51" s="75">
        <f>F51+G5</f>
        <v>12000</v>
      </c>
      <c r="H51" s="75">
        <f>G51+H5</f>
        <v>12000</v>
      </c>
    </row>
    <row r="52" spans="1:10" ht="37.5" x14ac:dyDescent="0.25">
      <c r="A52" s="18" t="s">
        <v>397</v>
      </c>
      <c r="C52" s="75">
        <f t="shared" ref="C52:H52" si="29">C17*360/365</f>
        <v>0</v>
      </c>
      <c r="D52" s="75">
        <f t="shared" si="29"/>
        <v>4931.5068493150684</v>
      </c>
      <c r="E52" s="75">
        <f t="shared" si="29"/>
        <v>5917.8082191780823</v>
      </c>
      <c r="F52" s="75">
        <f t="shared" si="29"/>
        <v>6904.1095890410961</v>
      </c>
      <c r="G52" s="75">
        <f t="shared" si="29"/>
        <v>7890.41095890411</v>
      </c>
      <c r="H52" s="75">
        <f t="shared" si="29"/>
        <v>8876.7123287671238</v>
      </c>
      <c r="I52" s="26"/>
    </row>
    <row r="53" spans="1:10" ht="39.75" x14ac:dyDescent="0.25">
      <c r="A53" s="18" t="s">
        <v>398</v>
      </c>
      <c r="C53" s="75">
        <f>C51+C52</f>
        <v>5000</v>
      </c>
      <c r="D53" s="75">
        <f t="shared" ref="D53:H53" si="30">D51+D52</f>
        <v>11931.506849315068</v>
      </c>
      <c r="E53" s="75">
        <f t="shared" si="30"/>
        <v>17917.808219178081</v>
      </c>
      <c r="F53" s="75">
        <f t="shared" si="30"/>
        <v>18904.109589041094</v>
      </c>
      <c r="G53" s="75">
        <f t="shared" si="30"/>
        <v>19890.410958904111</v>
      </c>
      <c r="H53" s="75">
        <f t="shared" si="30"/>
        <v>20876.712328767124</v>
      </c>
      <c r="I53" s="26"/>
      <c r="J53"/>
    </row>
    <row r="54" spans="1:10" ht="31.5" x14ac:dyDescent="0.25">
      <c r="A54" s="96" t="s">
        <v>399</v>
      </c>
      <c r="B54" s="16">
        <f>B32</f>
        <v>0.25</v>
      </c>
      <c r="C54" s="239">
        <f>B54</f>
        <v>0.25</v>
      </c>
      <c r="D54" s="239">
        <f t="shared" ref="D54:H54" si="31">C54</f>
        <v>0.25</v>
      </c>
      <c r="E54" s="239">
        <f t="shared" si="31"/>
        <v>0.25</v>
      </c>
      <c r="F54" s="239">
        <f t="shared" si="31"/>
        <v>0.25</v>
      </c>
      <c r="G54" s="239">
        <f t="shared" si="31"/>
        <v>0.25</v>
      </c>
      <c r="H54" s="239">
        <f t="shared" si="31"/>
        <v>0.25</v>
      </c>
      <c r="I54" s="26"/>
    </row>
    <row r="55" spans="1:10" ht="18.75" x14ac:dyDescent="0.25">
      <c r="A55" s="96" t="s">
        <v>361</v>
      </c>
      <c r="B55" s="130">
        <f>AVERAGEIF(C55:H55,"&gt;0")</f>
        <v>6.0999999999999999E-2</v>
      </c>
      <c r="C55" s="239">
        <f t="shared" ref="C55:H55" si="32">C19</f>
        <v>0</v>
      </c>
      <c r="D55" s="239">
        <f t="shared" si="32"/>
        <v>0.08</v>
      </c>
      <c r="E55" s="239">
        <f t="shared" si="32"/>
        <v>7.0000000000000007E-2</v>
      </c>
      <c r="F55" s="239">
        <f t="shared" si="32"/>
        <v>0.06</v>
      </c>
      <c r="G55" s="239">
        <f t="shared" si="32"/>
        <v>0.05</v>
      </c>
      <c r="H55" s="239">
        <f t="shared" si="32"/>
        <v>4.4999999999999998E-2</v>
      </c>
      <c r="I55" s="26"/>
    </row>
    <row r="56" spans="1:10" ht="19.5" thickBot="1" x14ac:dyDescent="0.3">
      <c r="A56" s="96" t="s">
        <v>400</v>
      </c>
      <c r="B56" s="16">
        <f>B24</f>
        <v>0.2</v>
      </c>
      <c r="C56" s="75"/>
      <c r="D56" s="75"/>
      <c r="E56" s="75"/>
      <c r="F56" s="75"/>
      <c r="G56" s="75"/>
      <c r="H56" s="75"/>
      <c r="I56" s="26"/>
    </row>
    <row r="57" spans="1:10" ht="38.25" thickBot="1" x14ac:dyDescent="0.3">
      <c r="A57" s="18" t="s">
        <v>401</v>
      </c>
      <c r="C57" s="128">
        <f>(C51/C53)*C54+(C52/C53)*C55*(1-$B$56)</f>
        <v>0.25</v>
      </c>
      <c r="D57" s="128">
        <f t="shared" ref="D57:H57" si="33">(D51/D53)*D54+(D52/D53)*D55*(1-$B$56)</f>
        <v>0.17312284730195179</v>
      </c>
      <c r="E57" s="128">
        <f t="shared" si="33"/>
        <v>0.18592660550458714</v>
      </c>
      <c r="F57" s="128">
        <f t="shared" si="33"/>
        <v>0.17622608695652175</v>
      </c>
      <c r="G57" s="128">
        <f t="shared" si="33"/>
        <v>0.16669421487603306</v>
      </c>
      <c r="H57" s="128">
        <f t="shared" si="33"/>
        <v>0.15900787401574804</v>
      </c>
      <c r="I57" s="240">
        <f>AVERAGE(C57:H57)</f>
        <v>0.18516293810914031</v>
      </c>
      <c r="J57" s="1" t="s">
        <v>402</v>
      </c>
    </row>
    <row r="58" spans="1:10" ht="87.75" thickBot="1" x14ac:dyDescent="0.3">
      <c r="A58" s="134" t="s">
        <v>409</v>
      </c>
      <c r="B58" s="53" t="s">
        <v>237</v>
      </c>
      <c r="C58" s="131" t="s">
        <v>5</v>
      </c>
      <c r="D58" s="132" t="s">
        <v>0</v>
      </c>
      <c r="E58" s="132" t="s">
        <v>1</v>
      </c>
      <c r="F58" s="132" t="s">
        <v>2</v>
      </c>
      <c r="G58" s="132" t="s">
        <v>3</v>
      </c>
      <c r="H58" s="132" t="s">
        <v>4</v>
      </c>
      <c r="I58" s="133" t="s">
        <v>238</v>
      </c>
    </row>
    <row r="59" spans="1:10" ht="38.25" thickBot="1" x14ac:dyDescent="0.3">
      <c r="A59" s="18" t="s">
        <v>401</v>
      </c>
      <c r="B59" s="130">
        <f>I57</f>
        <v>0.18516293810914031</v>
      </c>
      <c r="C59" s="128"/>
      <c r="D59" s="128"/>
      <c r="E59" s="128"/>
      <c r="F59" s="128"/>
      <c r="G59" s="128"/>
      <c r="H59" s="128"/>
      <c r="I59" s="129"/>
    </row>
    <row r="60" spans="1:10" ht="78.75" thickBot="1" x14ac:dyDescent="0.3">
      <c r="A60" s="134" t="s">
        <v>403</v>
      </c>
      <c r="B60" s="53" t="s">
        <v>237</v>
      </c>
      <c r="C60" s="131" t="s">
        <v>5</v>
      </c>
      <c r="D60" s="132" t="s">
        <v>0</v>
      </c>
      <c r="E60" s="132" t="s">
        <v>1</v>
      </c>
      <c r="F60" s="132" t="s">
        <v>2</v>
      </c>
      <c r="G60" s="132" t="s">
        <v>3</v>
      </c>
      <c r="H60" s="132" t="s">
        <v>4</v>
      </c>
      <c r="I60" s="133" t="s">
        <v>238</v>
      </c>
    </row>
    <row r="61" spans="1:10" ht="38.25" thickBot="1" x14ac:dyDescent="0.3">
      <c r="A61" s="18" t="s">
        <v>263</v>
      </c>
      <c r="B61" s="51"/>
      <c r="C61" s="8">
        <f t="shared" ref="C61:H61" si="34">C29</f>
        <v>-5000</v>
      </c>
      <c r="D61" s="8">
        <f t="shared" si="34"/>
        <v>3525</v>
      </c>
      <c r="E61" s="8">
        <f t="shared" si="34"/>
        <v>-651</v>
      </c>
      <c r="F61" s="8">
        <f t="shared" si="34"/>
        <v>6908.9666666666672</v>
      </c>
      <c r="G61" s="8">
        <f t="shared" si="34"/>
        <v>8967.0813333333354</v>
      </c>
      <c r="H61" s="8">
        <f t="shared" si="34"/>
        <v>11226.338169999988</v>
      </c>
      <c r="I61" s="95">
        <f>SUM(C61:H61)</f>
        <v>24976.386169999991</v>
      </c>
    </row>
    <row r="62" spans="1:10" ht="15.75" x14ac:dyDescent="0.25">
      <c r="A62" s="48" t="s">
        <v>273</v>
      </c>
      <c r="B62" s="130">
        <f>B59</f>
        <v>0.18516293810914031</v>
      </c>
      <c r="C62" s="23">
        <v>1</v>
      </c>
      <c r="D62" s="23">
        <f>(1+$B$62)^(D4-1)</f>
        <v>1.1851629381091402</v>
      </c>
      <c r="E62" s="23">
        <f>(1+$B$62)^(E4-1)</f>
        <v>1.4046111898674898</v>
      </c>
      <c r="F62" s="23">
        <f>(1+$B$62)^(F4-1)</f>
        <v>1.6646931246843295</v>
      </c>
      <c r="G62" s="23">
        <f>(1+$B$62)^(G4-1)</f>
        <v>1.9729325947009655</v>
      </c>
      <c r="H62" s="23">
        <f>(1+$B$62)^(H4-1)</f>
        <v>2.3382465906270857</v>
      </c>
    </row>
    <row r="63" spans="1:10" ht="16.5" thickBot="1" x14ac:dyDescent="0.3">
      <c r="A63" s="48" t="s">
        <v>410</v>
      </c>
      <c r="B63" s="16"/>
      <c r="C63" s="23">
        <f>1/C62</f>
        <v>1</v>
      </c>
      <c r="D63" s="23">
        <f t="shared" ref="D63:H63" si="35">1/D62</f>
        <v>0.84376583830358631</v>
      </c>
      <c r="E63" s="23">
        <f t="shared" si="35"/>
        <v>0.71194078988815357</v>
      </c>
      <c r="F63" s="23">
        <f t="shared" si="35"/>
        <v>0.60071131740249528</v>
      </c>
      <c r="G63" s="23">
        <f t="shared" si="35"/>
        <v>0.50685968830656813</v>
      </c>
      <c r="H63" s="23">
        <f t="shared" si="35"/>
        <v>0.42767088980628587</v>
      </c>
    </row>
    <row r="64" spans="1:10" ht="57" thickBot="1" x14ac:dyDescent="0.3">
      <c r="A64" s="18" t="s">
        <v>367</v>
      </c>
      <c r="B64" s="111"/>
      <c r="C64" s="8">
        <f>C61*C63</f>
        <v>-5000</v>
      </c>
      <c r="D64" s="8">
        <f t="shared" ref="D64" si="36">D61*D63</f>
        <v>2974.2745800201419</v>
      </c>
      <c r="E64" s="8">
        <f t="shared" ref="E64" si="37">E61*E63</f>
        <v>-463.47345421718796</v>
      </c>
      <c r="F64" s="8">
        <f t="shared" ref="F64" si="38">F61*F63</f>
        <v>4150.2944682232601</v>
      </c>
      <c r="G64" s="8">
        <f t="shared" ref="G64" si="39">G61*G63</f>
        <v>4545.05204963298</v>
      </c>
      <c r="H64" s="8">
        <f t="shared" ref="H64" si="40">H61*H63</f>
        <v>4801.178034430166</v>
      </c>
      <c r="I64" s="83">
        <f>SUM(C64:H64)</f>
        <v>11007.325678089361</v>
      </c>
    </row>
    <row r="65" spans="1:9" ht="55.5" thickBot="1" x14ac:dyDescent="0.3">
      <c r="A65" s="134" t="s">
        <v>404</v>
      </c>
      <c r="B65" s="53" t="s">
        <v>237</v>
      </c>
      <c r="C65" s="131" t="s">
        <v>5</v>
      </c>
      <c r="D65" s="132" t="s">
        <v>0</v>
      </c>
      <c r="E65" s="132" t="s">
        <v>1</v>
      </c>
      <c r="F65" s="132" t="s">
        <v>2</v>
      </c>
      <c r="G65" s="132" t="s">
        <v>3</v>
      </c>
      <c r="H65" s="132" t="s">
        <v>4</v>
      </c>
      <c r="I65" s="133" t="s">
        <v>238</v>
      </c>
    </row>
    <row r="66" spans="1:9" ht="54" thickBot="1" x14ac:dyDescent="0.3">
      <c r="A66" s="18" t="s">
        <v>411</v>
      </c>
      <c r="I66" s="84">
        <f>IRR(C29:H29,0.0001)</f>
        <v>0.71462228398451022</v>
      </c>
    </row>
    <row r="67" spans="1:9" ht="105" thickBot="1" x14ac:dyDescent="0.3">
      <c r="A67" s="134" t="s">
        <v>405</v>
      </c>
      <c r="B67" s="53" t="s">
        <v>237</v>
      </c>
      <c r="C67" s="131" t="s">
        <v>5</v>
      </c>
      <c r="D67" s="132" t="s">
        <v>0</v>
      </c>
      <c r="E67" s="132" t="s">
        <v>1</v>
      </c>
      <c r="F67" s="132" t="s">
        <v>2</v>
      </c>
      <c r="G67" s="132" t="s">
        <v>3</v>
      </c>
      <c r="H67" s="132" t="s">
        <v>4</v>
      </c>
      <c r="I67" s="133" t="s">
        <v>238</v>
      </c>
    </row>
    <row r="68" spans="1:9" ht="34.5" thickBot="1" x14ac:dyDescent="0.3">
      <c r="A68" s="18" t="s">
        <v>412</v>
      </c>
      <c r="C68" s="8">
        <f t="shared" ref="C68:H68" si="41">IF(C69&lt;0,0,1)</f>
        <v>0</v>
      </c>
      <c r="D68" s="8">
        <f t="shared" si="41"/>
        <v>0</v>
      </c>
      <c r="E68" s="8">
        <f t="shared" si="41"/>
        <v>0</v>
      </c>
      <c r="F68" s="8">
        <f t="shared" si="41"/>
        <v>1</v>
      </c>
      <c r="G68" s="8">
        <f t="shared" si="41"/>
        <v>1</v>
      </c>
      <c r="H68" s="8">
        <f t="shared" si="41"/>
        <v>1</v>
      </c>
      <c r="I68" s="135">
        <f>I4-SUM(C68:H68)-SUM(C70:H70)</f>
        <v>2.5997644006360523</v>
      </c>
    </row>
    <row r="69" spans="1:9" ht="37.5" x14ac:dyDescent="0.25">
      <c r="A69" s="262" t="s">
        <v>302</v>
      </c>
      <c r="C69" s="24">
        <f>C64</f>
        <v>-5000</v>
      </c>
      <c r="D69" s="24">
        <f>C69+D64</f>
        <v>-2025.7254199798581</v>
      </c>
      <c r="E69" s="24">
        <f t="shared" ref="E69:H69" si="42">D69+E64</f>
        <v>-2489.1988741970463</v>
      </c>
      <c r="F69" s="24">
        <f t="shared" si="42"/>
        <v>1661.0955940262138</v>
      </c>
      <c r="G69" s="24">
        <f t="shared" si="42"/>
        <v>6206.1476436591938</v>
      </c>
      <c r="H69" s="24">
        <f t="shared" si="42"/>
        <v>11007.325678089361</v>
      </c>
      <c r="I69" s="129"/>
    </row>
    <row r="70" spans="1:9" ht="30.75" thickBot="1" x14ac:dyDescent="0.3">
      <c r="A70" s="263" t="s">
        <v>303</v>
      </c>
      <c r="C70" s="20">
        <f t="shared" ref="C70:H70" si="43">IF(AND(B68=0,C68=1),C69/C64,0)</f>
        <v>0</v>
      </c>
      <c r="D70" s="20">
        <f t="shared" si="43"/>
        <v>0</v>
      </c>
      <c r="E70" s="20">
        <f t="shared" si="43"/>
        <v>0</v>
      </c>
      <c r="F70" s="20">
        <f t="shared" si="43"/>
        <v>0.40023559936394787</v>
      </c>
      <c r="G70" s="20">
        <f t="shared" si="43"/>
        <v>0</v>
      </c>
      <c r="H70" s="20">
        <f t="shared" si="43"/>
        <v>0</v>
      </c>
      <c r="I70" s="129"/>
    </row>
    <row r="71" spans="1:9" ht="105" thickBot="1" x14ac:dyDescent="0.3">
      <c r="A71" s="134" t="s">
        <v>406</v>
      </c>
      <c r="B71" s="53" t="s">
        <v>237</v>
      </c>
      <c r="C71" s="131" t="s">
        <v>5</v>
      </c>
      <c r="D71" s="132" t="s">
        <v>0</v>
      </c>
      <c r="E71" s="132" t="s">
        <v>1</v>
      </c>
      <c r="F71" s="132" t="s">
        <v>2</v>
      </c>
      <c r="G71" s="132" t="s">
        <v>3</v>
      </c>
      <c r="H71" s="132" t="s">
        <v>4</v>
      </c>
      <c r="I71" s="133" t="s">
        <v>238</v>
      </c>
    </row>
    <row r="72" spans="1:9" ht="38.25" thickBot="1" x14ac:dyDescent="0.3">
      <c r="A72" s="18" t="s">
        <v>263</v>
      </c>
      <c r="B72" s="51"/>
      <c r="C72" s="8">
        <f t="shared" ref="C72:H72" si="44">C29</f>
        <v>-5000</v>
      </c>
      <c r="D72" s="8">
        <f t="shared" si="44"/>
        <v>3525</v>
      </c>
      <c r="E72" s="8">
        <f t="shared" si="44"/>
        <v>-651</v>
      </c>
      <c r="F72" s="8">
        <f t="shared" si="44"/>
        <v>6908.9666666666672</v>
      </c>
      <c r="G72" s="8">
        <f t="shared" si="44"/>
        <v>8967.0813333333354</v>
      </c>
      <c r="H72" s="8">
        <f t="shared" si="44"/>
        <v>11226.338169999988</v>
      </c>
      <c r="I72" s="95">
        <f>SUM(C72:H72)</f>
        <v>24976.386169999991</v>
      </c>
    </row>
    <row r="73" spans="1:9" ht="18.75" x14ac:dyDescent="0.25">
      <c r="A73" s="48" t="s">
        <v>413</v>
      </c>
      <c r="B73" s="130">
        <v>0.1</v>
      </c>
      <c r="C73" s="20">
        <f t="shared" ref="C73:H73" si="45">(1+$B$73)^($H$4-C4)</f>
        <v>1.6105100000000006</v>
      </c>
      <c r="D73" s="20">
        <f t="shared" si="45"/>
        <v>1.4641000000000004</v>
      </c>
      <c r="E73" s="20">
        <f t="shared" si="45"/>
        <v>1.3310000000000004</v>
      </c>
      <c r="F73" s="20">
        <f t="shared" si="45"/>
        <v>1.2100000000000002</v>
      </c>
      <c r="G73" s="20">
        <f t="shared" si="45"/>
        <v>1.1000000000000001</v>
      </c>
      <c r="H73" s="20">
        <f t="shared" si="45"/>
        <v>1</v>
      </c>
      <c r="I73" s="129"/>
    </row>
    <row r="74" spans="1:9" ht="19.5" thickBot="1" x14ac:dyDescent="0.3">
      <c r="A74" s="268" t="s">
        <v>410</v>
      </c>
      <c r="B74" s="130">
        <f>B62</f>
        <v>0.18516293810914031</v>
      </c>
      <c r="C74" s="30">
        <f>C63</f>
        <v>1</v>
      </c>
      <c r="D74" s="30">
        <f t="shared" ref="D74:H74" si="46">D63</f>
        <v>0.84376583830358631</v>
      </c>
      <c r="E74" s="30">
        <f t="shared" si="46"/>
        <v>0.71194078988815357</v>
      </c>
      <c r="F74" s="30">
        <f t="shared" si="46"/>
        <v>0.60071131740249528</v>
      </c>
      <c r="G74" s="30">
        <f t="shared" si="46"/>
        <v>0.50685968830656813</v>
      </c>
      <c r="H74" s="30">
        <f t="shared" si="46"/>
        <v>0.42767088980628587</v>
      </c>
      <c r="I74" s="129"/>
    </row>
    <row r="75" spans="1:9" ht="57" thickBot="1" x14ac:dyDescent="0.3">
      <c r="A75" s="264" t="s">
        <v>318</v>
      </c>
      <c r="B75" s="16"/>
      <c r="C75" s="24">
        <f>IF(C72&gt;0,C72*C73,0)</f>
        <v>0</v>
      </c>
      <c r="D75" s="24">
        <f>IF(D72&gt;0,D72*D73,0)</f>
        <v>5160.9525000000012</v>
      </c>
      <c r="E75" s="24">
        <f t="shared" ref="E75:H75" si="47">IF(E72&gt;0,E72*E73,0)</f>
        <v>0</v>
      </c>
      <c r="F75" s="24">
        <f t="shared" si="47"/>
        <v>8359.8496666666688</v>
      </c>
      <c r="G75" s="24">
        <f t="shared" si="47"/>
        <v>9863.7894666666689</v>
      </c>
      <c r="H75" s="24">
        <f t="shared" si="47"/>
        <v>11226.338169999988</v>
      </c>
      <c r="I75" s="21">
        <f>SUM(C75:H75)</f>
        <v>34610.929803333325</v>
      </c>
    </row>
    <row r="76" spans="1:9" ht="63.75" thickBot="1" x14ac:dyDescent="0.3">
      <c r="A76" s="52" t="s">
        <v>319</v>
      </c>
      <c r="C76" s="97">
        <f>IF(C72&lt;0,-C72*C74,0)</f>
        <v>5000</v>
      </c>
      <c r="D76" s="97">
        <f>IF(D72&lt;0,-D72*D74,0)</f>
        <v>0</v>
      </c>
      <c r="E76" s="97">
        <f>IF(E72&lt;0,-E72*E74,0)</f>
        <v>463.47345421718796</v>
      </c>
      <c r="F76" s="97">
        <f t="shared" ref="F76:H76" si="48">IF(F72&lt;0,-F72*F74,0)</f>
        <v>0</v>
      </c>
      <c r="G76" s="97">
        <f t="shared" si="48"/>
        <v>0</v>
      </c>
      <c r="H76" s="97">
        <f t="shared" si="48"/>
        <v>0</v>
      </c>
      <c r="I76" s="21">
        <f>SUM(C76:H76)</f>
        <v>5463.4734542171882</v>
      </c>
    </row>
    <row r="77" spans="1:9" s="64" customFormat="1" ht="32.25" thickBot="1" x14ac:dyDescent="0.3">
      <c r="A77" s="96" t="s">
        <v>414</v>
      </c>
      <c r="B77" s="111"/>
      <c r="C77" s="90"/>
      <c r="D77" s="112"/>
      <c r="E77" s="112"/>
      <c r="F77" s="112"/>
      <c r="G77" s="112"/>
      <c r="H77" s="112"/>
      <c r="I77" s="136">
        <f>I75/((1+B74)^G4)</f>
        <v>14802.087146014463</v>
      </c>
    </row>
    <row r="78" spans="1:9" s="64" customFormat="1" ht="57" thickBot="1" x14ac:dyDescent="0.3">
      <c r="A78" s="18" t="s">
        <v>327</v>
      </c>
      <c r="B78" s="1"/>
      <c r="C78" s="1"/>
      <c r="D78" s="1"/>
      <c r="E78" s="1"/>
      <c r="F78" s="1"/>
      <c r="G78" s="1"/>
      <c r="H78" s="1"/>
      <c r="I78" s="83">
        <f>I77-I76</f>
        <v>9338.6136917972744</v>
      </c>
    </row>
    <row r="79" spans="1:9" ht="105" thickBot="1" x14ac:dyDescent="0.3">
      <c r="A79" s="134" t="s">
        <v>407</v>
      </c>
      <c r="B79" s="53" t="s">
        <v>237</v>
      </c>
      <c r="C79" s="131" t="s">
        <v>5</v>
      </c>
      <c r="D79" s="132" t="s">
        <v>0</v>
      </c>
      <c r="E79" s="132" t="s">
        <v>1</v>
      </c>
      <c r="F79" s="132" t="s">
        <v>2</v>
      </c>
      <c r="G79" s="132" t="s">
        <v>3</v>
      </c>
      <c r="H79" s="132" t="s">
        <v>4</v>
      </c>
      <c r="I79" s="133" t="s">
        <v>238</v>
      </c>
    </row>
    <row r="80" spans="1:9" s="64" customFormat="1" ht="57" thickBot="1" x14ac:dyDescent="0.3">
      <c r="A80" s="18" t="s">
        <v>321</v>
      </c>
      <c r="B80" s="1"/>
      <c r="C80" s="3"/>
      <c r="D80" s="3"/>
      <c r="E80" s="3"/>
      <c r="F80" s="3"/>
      <c r="G80" s="3"/>
      <c r="H80" s="3"/>
      <c r="I80" s="88">
        <f>MIRR(C29:H29,B74,B73)</f>
        <v>0.44660141593824876</v>
      </c>
    </row>
    <row r="81" spans="1:9" s="64" customFormat="1" ht="16.5" thickBot="1" x14ac:dyDescent="0.3">
      <c r="A81" s="29"/>
      <c r="B81" s="111"/>
      <c r="C81" s="90"/>
      <c r="D81" s="112"/>
      <c r="E81" s="112"/>
      <c r="F81" s="112"/>
      <c r="G81" s="112"/>
      <c r="H81" s="112"/>
      <c r="I81" s="113"/>
    </row>
    <row r="82" spans="1:9" ht="87.75" thickBot="1" x14ac:dyDescent="0.3">
      <c r="A82" s="134" t="s">
        <v>408</v>
      </c>
      <c r="B82" s="53" t="s">
        <v>237</v>
      </c>
      <c r="C82" s="131" t="s">
        <v>5</v>
      </c>
      <c r="D82" s="132" t="s">
        <v>0</v>
      </c>
      <c r="E82" s="132" t="s">
        <v>1</v>
      </c>
      <c r="F82" s="132" t="s">
        <v>2</v>
      </c>
      <c r="G82" s="132" t="s">
        <v>3</v>
      </c>
      <c r="H82" s="132" t="s">
        <v>4</v>
      </c>
      <c r="I82" s="133" t="s">
        <v>238</v>
      </c>
    </row>
    <row r="83" spans="1:9" ht="38.25" thickBot="1" x14ac:dyDescent="0.3">
      <c r="A83" s="18" t="s">
        <v>401</v>
      </c>
      <c r="B83" s="130">
        <f>B59</f>
        <v>0.18516293810914031</v>
      </c>
      <c r="C83" s="128">
        <f t="shared" ref="C83:H83" si="49">C57</f>
        <v>0.25</v>
      </c>
      <c r="D83" s="128">
        <f t="shared" si="49"/>
        <v>0.17312284730195179</v>
      </c>
      <c r="E83" s="128">
        <f t="shared" si="49"/>
        <v>0.18592660550458714</v>
      </c>
      <c r="F83" s="128">
        <f t="shared" si="49"/>
        <v>0.17622608695652175</v>
      </c>
      <c r="G83" s="128">
        <f t="shared" si="49"/>
        <v>0.16669421487603306</v>
      </c>
      <c r="H83" s="128">
        <f t="shared" si="49"/>
        <v>0.15900787401574804</v>
      </c>
      <c r="I83" s="129"/>
    </row>
    <row r="84" spans="1:9" ht="78.75" thickBot="1" x14ac:dyDescent="0.3">
      <c r="A84" s="134" t="s">
        <v>403</v>
      </c>
      <c r="B84" s="53" t="s">
        <v>237</v>
      </c>
      <c r="C84" s="131" t="s">
        <v>5</v>
      </c>
      <c r="D84" s="132" t="s">
        <v>0</v>
      </c>
      <c r="E84" s="132" t="s">
        <v>1</v>
      </c>
      <c r="F84" s="132" t="s">
        <v>2</v>
      </c>
      <c r="G84" s="132" t="s">
        <v>3</v>
      </c>
      <c r="H84" s="132" t="s">
        <v>4</v>
      </c>
      <c r="I84" s="133" t="s">
        <v>238</v>
      </c>
    </row>
    <row r="85" spans="1:9" ht="38.25" thickBot="1" x14ac:dyDescent="0.3">
      <c r="A85" s="18" t="s">
        <v>263</v>
      </c>
      <c r="B85" s="51"/>
      <c r="C85" s="8">
        <f>C61</f>
        <v>-5000</v>
      </c>
      <c r="D85" s="8">
        <f t="shared" ref="D85:H85" si="50">D61</f>
        <v>3525</v>
      </c>
      <c r="E85" s="8">
        <f t="shared" si="50"/>
        <v>-651</v>
      </c>
      <c r="F85" s="8">
        <f t="shared" si="50"/>
        <v>6908.9666666666672</v>
      </c>
      <c r="G85" s="8">
        <f t="shared" si="50"/>
        <v>8967.0813333333354</v>
      </c>
      <c r="H85" s="8">
        <f t="shared" si="50"/>
        <v>11226.338169999988</v>
      </c>
      <c r="I85" s="95">
        <f>SUM(C85:H85)</f>
        <v>24976.386169999991</v>
      </c>
    </row>
    <row r="86" spans="1:9" ht="15.75" x14ac:dyDescent="0.25">
      <c r="A86" s="48" t="s">
        <v>273</v>
      </c>
      <c r="B86" s="130"/>
      <c r="C86" s="98">
        <v>0</v>
      </c>
      <c r="D86" s="98">
        <f t="shared" ref="D86:H86" si="51">D83</f>
        <v>0.17312284730195179</v>
      </c>
      <c r="E86" s="98">
        <f t="shared" si="51"/>
        <v>0.18592660550458714</v>
      </c>
      <c r="F86" s="98">
        <f t="shared" si="51"/>
        <v>0.17622608695652175</v>
      </c>
      <c r="G86" s="98">
        <f t="shared" si="51"/>
        <v>0.16669421487603306</v>
      </c>
      <c r="H86" s="98">
        <f t="shared" si="51"/>
        <v>0.15900787401574804</v>
      </c>
    </row>
    <row r="87" spans="1:9" ht="16.5" thickBot="1" x14ac:dyDescent="0.3">
      <c r="A87" s="48" t="s">
        <v>410</v>
      </c>
      <c r="B87" s="16"/>
      <c r="C87" s="23">
        <f>1/(1+C86)</f>
        <v>1</v>
      </c>
      <c r="D87" s="23">
        <f>C87*(1/(1+D86))</f>
        <v>0.85242564519128206</v>
      </c>
      <c r="E87" s="23">
        <f t="shared" ref="E87:H87" si="52">D87*(1/(1+E86))</f>
        <v>0.71878448567952702</v>
      </c>
      <c r="F87" s="23">
        <f t="shared" si="52"/>
        <v>0.61109381406373819</v>
      </c>
      <c r="G87" s="23">
        <f t="shared" si="52"/>
        <v>0.52378232982724604</v>
      </c>
      <c r="H87" s="23">
        <f t="shared" si="52"/>
        <v>0.45192301240580618</v>
      </c>
    </row>
    <row r="88" spans="1:9" ht="57" thickBot="1" x14ac:dyDescent="0.3">
      <c r="A88" s="18" t="s">
        <v>367</v>
      </c>
      <c r="B88" s="111"/>
      <c r="C88" s="8">
        <f>C85*C87</f>
        <v>-5000</v>
      </c>
      <c r="D88" s="8">
        <f t="shared" ref="D88" si="53">D85*D87</f>
        <v>3004.8003992992694</v>
      </c>
      <c r="E88" s="8">
        <f t="shared" ref="E88" si="54">E85*E87</f>
        <v>-467.92870017737209</v>
      </c>
      <c r="F88" s="8">
        <f t="shared" ref="F88" si="55">F85*F87</f>
        <v>4222.0267915725653</v>
      </c>
      <c r="G88" s="8">
        <f t="shared" ref="G88" si="56">G85*G87</f>
        <v>4696.7987525237422</v>
      </c>
      <c r="H88" s="8">
        <f t="shared" ref="H88" si="57">H85*H87</f>
        <v>5073.44056407268</v>
      </c>
      <c r="I88" s="83">
        <f>SUM(C88:H88)</f>
        <v>11529.137807290885</v>
      </c>
    </row>
    <row r="89" spans="1:9" ht="105" thickBot="1" x14ac:dyDescent="0.3">
      <c r="A89" s="134" t="s">
        <v>405</v>
      </c>
      <c r="B89" s="53" t="s">
        <v>237</v>
      </c>
      <c r="C89" s="131" t="s">
        <v>5</v>
      </c>
      <c r="D89" s="132" t="s">
        <v>0</v>
      </c>
      <c r="E89" s="132" t="s">
        <v>1</v>
      </c>
      <c r="F89" s="132" t="s">
        <v>2</v>
      </c>
      <c r="G89" s="132" t="s">
        <v>3</v>
      </c>
      <c r="H89" s="132" t="s">
        <v>4</v>
      </c>
      <c r="I89" s="133" t="s">
        <v>238</v>
      </c>
    </row>
    <row r="90" spans="1:9" ht="34.5" thickBot="1" x14ac:dyDescent="0.3">
      <c r="A90" s="18" t="s">
        <v>412</v>
      </c>
      <c r="C90" s="8">
        <f>IF(C91&lt;0,0,1)</f>
        <v>0</v>
      </c>
      <c r="D90" s="8">
        <f t="shared" ref="D90:H90" si="58">IF(D91&lt;0,0,1)</f>
        <v>0</v>
      </c>
      <c r="E90" s="8">
        <f t="shared" si="58"/>
        <v>0</v>
      </c>
      <c r="F90" s="8">
        <f t="shared" si="58"/>
        <v>1</v>
      </c>
      <c r="G90" s="8">
        <f t="shared" si="58"/>
        <v>1</v>
      </c>
      <c r="H90" s="8">
        <f t="shared" si="58"/>
        <v>1</v>
      </c>
      <c r="I90" s="135">
        <f>I4-SUM(C90:H90)-SUM(C92:H92)</f>
        <v>2.5833994956627619</v>
      </c>
    </row>
    <row r="91" spans="1:9" ht="37.5" x14ac:dyDescent="0.25">
      <c r="A91" s="262" t="s">
        <v>302</v>
      </c>
      <c r="C91" s="24">
        <f>C88</f>
        <v>-5000</v>
      </c>
      <c r="D91" s="24">
        <f>C91+D88</f>
        <v>-1995.1996007007306</v>
      </c>
      <c r="E91" s="24">
        <f t="shared" ref="E91:H91" si="59">D91+E88</f>
        <v>-2463.1283008781029</v>
      </c>
      <c r="F91" s="24">
        <f t="shared" si="59"/>
        <v>1758.8984906944625</v>
      </c>
      <c r="G91" s="24">
        <f t="shared" si="59"/>
        <v>6455.6972432182047</v>
      </c>
      <c r="H91" s="24">
        <f t="shared" si="59"/>
        <v>11529.137807290885</v>
      </c>
      <c r="I91" s="129"/>
    </row>
    <row r="92" spans="1:9" ht="30.75" thickBot="1" x14ac:dyDescent="0.3">
      <c r="A92" s="263" t="s">
        <v>303</v>
      </c>
      <c r="C92" s="20">
        <f t="shared" ref="C92:H92" si="60">IF(AND(B90=0,C90=1),C91/C88,0)</f>
        <v>0</v>
      </c>
      <c r="D92" s="20">
        <f t="shared" si="60"/>
        <v>0</v>
      </c>
      <c r="E92" s="20">
        <f t="shared" si="60"/>
        <v>0</v>
      </c>
      <c r="F92" s="20">
        <f t="shared" si="60"/>
        <v>0.41660050433723822</v>
      </c>
      <c r="G92" s="20">
        <f t="shared" si="60"/>
        <v>0</v>
      </c>
      <c r="H92" s="20">
        <f t="shared" si="60"/>
        <v>0</v>
      </c>
      <c r="I92" s="129"/>
    </row>
    <row r="93" spans="1:9" ht="105" thickBot="1" x14ac:dyDescent="0.3">
      <c r="A93" s="134" t="s">
        <v>406</v>
      </c>
      <c r="B93" s="53" t="s">
        <v>237</v>
      </c>
      <c r="C93" s="131" t="s">
        <v>5</v>
      </c>
      <c r="D93" s="132" t="s">
        <v>0</v>
      </c>
      <c r="E93" s="132" t="s">
        <v>1</v>
      </c>
      <c r="F93" s="132" t="s">
        <v>2</v>
      </c>
      <c r="G93" s="132" t="s">
        <v>3</v>
      </c>
      <c r="H93" s="132" t="s">
        <v>4</v>
      </c>
      <c r="I93" s="133" t="s">
        <v>238</v>
      </c>
    </row>
    <row r="94" spans="1:9" ht="38.25" thickBot="1" x14ac:dyDescent="0.3">
      <c r="A94" s="18" t="s">
        <v>263</v>
      </c>
      <c r="B94" s="51"/>
      <c r="C94" s="8">
        <f>C85</f>
        <v>-5000</v>
      </c>
      <c r="D94" s="8">
        <f t="shared" ref="D94:H94" si="61">D85</f>
        <v>3525</v>
      </c>
      <c r="E94" s="8">
        <f t="shared" si="61"/>
        <v>-651</v>
      </c>
      <c r="F94" s="8">
        <f t="shared" si="61"/>
        <v>6908.9666666666672</v>
      </c>
      <c r="G94" s="8">
        <f t="shared" si="61"/>
        <v>8967.0813333333354</v>
      </c>
      <c r="H94" s="8">
        <f t="shared" si="61"/>
        <v>11226.338169999988</v>
      </c>
      <c r="I94" s="95">
        <f>SUM(C94:H94)</f>
        <v>24976.386169999991</v>
      </c>
    </row>
    <row r="95" spans="1:9" ht="18.75" x14ac:dyDescent="0.25">
      <c r="A95" s="48" t="s">
        <v>413</v>
      </c>
      <c r="B95" s="130">
        <f>B73</f>
        <v>0.1</v>
      </c>
      <c r="C95" s="20">
        <f>C73</f>
        <v>1.6105100000000006</v>
      </c>
      <c r="D95" s="20">
        <f t="shared" ref="D95:H95" si="62">D73</f>
        <v>1.4641000000000004</v>
      </c>
      <c r="E95" s="20">
        <f t="shared" si="62"/>
        <v>1.3310000000000004</v>
      </c>
      <c r="F95" s="20">
        <f t="shared" si="62"/>
        <v>1.2100000000000002</v>
      </c>
      <c r="G95" s="20">
        <f t="shared" si="62"/>
        <v>1.1000000000000001</v>
      </c>
      <c r="H95" s="20">
        <f t="shared" si="62"/>
        <v>1</v>
      </c>
      <c r="I95" s="129"/>
    </row>
    <row r="96" spans="1:9" ht="19.5" thickBot="1" x14ac:dyDescent="0.3">
      <c r="A96" s="268" t="s">
        <v>410</v>
      </c>
      <c r="B96" s="130">
        <f>B104</f>
        <v>0.18516293810914031</v>
      </c>
      <c r="C96" s="139">
        <f>C87</f>
        <v>1</v>
      </c>
      <c r="D96" s="139">
        <f t="shared" ref="D96:H96" si="63">D87</f>
        <v>0.85242564519128206</v>
      </c>
      <c r="E96" s="139">
        <f t="shared" si="63"/>
        <v>0.71878448567952702</v>
      </c>
      <c r="F96" s="139">
        <f t="shared" si="63"/>
        <v>0.61109381406373819</v>
      </c>
      <c r="G96" s="139">
        <f t="shared" si="63"/>
        <v>0.52378232982724604</v>
      </c>
      <c r="H96" s="139">
        <f t="shared" si="63"/>
        <v>0.45192301240580618</v>
      </c>
      <c r="I96" s="129"/>
    </row>
    <row r="97" spans="1:10" ht="57" thickBot="1" x14ac:dyDescent="0.3">
      <c r="A97" s="264" t="s">
        <v>318</v>
      </c>
      <c r="B97" s="16"/>
      <c r="C97" s="24">
        <f>IF(C94&gt;0,C94*C95,0)</f>
        <v>0</v>
      </c>
      <c r="D97" s="24">
        <f>IF(D94&gt;0,D94*D95,0)</f>
        <v>5160.9525000000012</v>
      </c>
      <c r="E97" s="24">
        <f t="shared" ref="E97:H97" si="64">IF(E94&gt;0,E94*E95,0)</f>
        <v>0</v>
      </c>
      <c r="F97" s="24">
        <f t="shared" si="64"/>
        <v>8359.8496666666688</v>
      </c>
      <c r="G97" s="24">
        <f t="shared" si="64"/>
        <v>9863.7894666666689</v>
      </c>
      <c r="H97" s="24">
        <f t="shared" si="64"/>
        <v>11226.338169999988</v>
      </c>
      <c r="I97" s="21">
        <f>SUM(C97:H97)</f>
        <v>34610.929803333325</v>
      </c>
    </row>
    <row r="98" spans="1:10" ht="63.75" thickBot="1" x14ac:dyDescent="0.3">
      <c r="A98" s="52" t="s">
        <v>319</v>
      </c>
      <c r="C98" s="97">
        <f>IF(C94&lt;0,-C94*C96,0)</f>
        <v>5000</v>
      </c>
      <c r="D98" s="97">
        <f>IF(D94&lt;0,-D94*D96,0)</f>
        <v>0</v>
      </c>
      <c r="E98" s="97">
        <f>IF(E94&lt;0,-E94*E96,0)</f>
        <v>467.92870017737209</v>
      </c>
      <c r="F98" s="97">
        <f t="shared" ref="F98:H98" si="65">IF(F94&lt;0,-F94*F96,0)</f>
        <v>0</v>
      </c>
      <c r="G98" s="97">
        <f t="shared" si="65"/>
        <v>0</v>
      </c>
      <c r="H98" s="97">
        <f t="shared" si="65"/>
        <v>0</v>
      </c>
      <c r="I98" s="21">
        <f>SUM(C98:H98)</f>
        <v>5467.9287001773719</v>
      </c>
    </row>
    <row r="99" spans="1:10" s="64" customFormat="1" ht="32.25" thickBot="1" x14ac:dyDescent="0.3">
      <c r="A99" s="96" t="s">
        <v>414</v>
      </c>
      <c r="B99" s="111"/>
      <c r="C99" s="90"/>
      <c r="D99" s="112"/>
      <c r="E99" s="112"/>
      <c r="F99" s="112"/>
      <c r="G99" s="112"/>
      <c r="H99" s="112"/>
      <c r="I99" s="136">
        <f>I97/((1+B96)^G4)</f>
        <v>14802.087146014463</v>
      </c>
    </row>
    <row r="100" spans="1:10" s="64" customFormat="1" ht="57" thickBot="1" x14ac:dyDescent="0.3">
      <c r="A100" s="18" t="s">
        <v>327</v>
      </c>
      <c r="B100" s="1"/>
      <c r="C100" s="1"/>
      <c r="D100" s="1"/>
      <c r="E100" s="1"/>
      <c r="F100" s="1"/>
      <c r="G100" s="1"/>
      <c r="H100" s="1"/>
      <c r="I100" s="83">
        <f>I99-I98</f>
        <v>9334.1584458370908</v>
      </c>
    </row>
    <row r="101" spans="1:10" s="64" customFormat="1" ht="105" thickBot="1" x14ac:dyDescent="0.3">
      <c r="A101" s="134" t="s">
        <v>407</v>
      </c>
      <c r="B101" s="53" t="s">
        <v>237</v>
      </c>
      <c r="C101" s="131" t="s">
        <v>5</v>
      </c>
      <c r="D101" s="132" t="s">
        <v>0</v>
      </c>
      <c r="E101" s="132" t="s">
        <v>1</v>
      </c>
      <c r="F101" s="132" t="s">
        <v>2</v>
      </c>
      <c r="G101" s="132" t="s">
        <v>3</v>
      </c>
      <c r="H101" s="132" t="s">
        <v>4</v>
      </c>
      <c r="I101" s="133" t="s">
        <v>238</v>
      </c>
    </row>
    <row r="102" spans="1:10" s="64" customFormat="1" ht="38.25" thickBot="1" x14ac:dyDescent="0.3">
      <c r="A102" s="18" t="s">
        <v>263</v>
      </c>
      <c r="B102" s="1"/>
      <c r="C102" s="8">
        <f>C94</f>
        <v>-5000</v>
      </c>
      <c r="D102" s="8">
        <f t="shared" ref="D102:H102" si="66">D94</f>
        <v>3525</v>
      </c>
      <c r="E102" s="8">
        <f t="shared" si="66"/>
        <v>-651</v>
      </c>
      <c r="F102" s="8">
        <f t="shared" si="66"/>
        <v>6908.9666666666672</v>
      </c>
      <c r="G102" s="8">
        <f t="shared" si="66"/>
        <v>8967.0813333333354</v>
      </c>
      <c r="H102" s="8">
        <f t="shared" si="66"/>
        <v>11226.338169999988</v>
      </c>
      <c r="I102" s="95">
        <f>SUM(C102:H102)</f>
        <v>24976.386169999991</v>
      </c>
    </row>
    <row r="103" spans="1:10" s="64" customFormat="1" ht="18.75" x14ac:dyDescent="0.25">
      <c r="A103" s="29" t="s">
        <v>313</v>
      </c>
      <c r="B103" s="1"/>
      <c r="C103" s="5">
        <f t="shared" ref="C103:H103" si="67">C4-1</f>
        <v>0</v>
      </c>
      <c r="D103" s="5">
        <f t="shared" si="67"/>
        <v>1</v>
      </c>
      <c r="E103" s="5">
        <f t="shared" si="67"/>
        <v>2</v>
      </c>
      <c r="F103" s="5">
        <f t="shared" si="67"/>
        <v>3</v>
      </c>
      <c r="G103" s="5">
        <f t="shared" si="67"/>
        <v>4</v>
      </c>
      <c r="H103" s="5">
        <f t="shared" si="67"/>
        <v>5</v>
      </c>
      <c r="I103" s="140"/>
    </row>
    <row r="104" spans="1:10" s="64" customFormat="1" ht="31.5" x14ac:dyDescent="0.25">
      <c r="A104" s="52" t="s">
        <v>415</v>
      </c>
      <c r="B104" s="130">
        <f>B83</f>
        <v>0.18516293810914031</v>
      </c>
      <c r="C104" s="141">
        <f>C83</f>
        <v>0.25</v>
      </c>
      <c r="D104" s="141">
        <f t="shared" ref="D104:H104" si="68">D83</f>
        <v>0.17312284730195179</v>
      </c>
      <c r="E104" s="141">
        <f t="shared" si="68"/>
        <v>0.18592660550458714</v>
      </c>
      <c r="F104" s="141">
        <f t="shared" si="68"/>
        <v>0.17622608695652175</v>
      </c>
      <c r="G104" s="141">
        <f t="shared" si="68"/>
        <v>0.16669421487603306</v>
      </c>
      <c r="H104" s="141">
        <f t="shared" si="68"/>
        <v>0.15900787401574804</v>
      </c>
      <c r="I104" s="140"/>
      <c r="J104"/>
    </row>
    <row r="105" spans="1:10" s="64" customFormat="1" ht="18.75" x14ac:dyDescent="0.25">
      <c r="A105" s="268" t="s">
        <v>410</v>
      </c>
      <c r="B105" s="1"/>
      <c r="C105" s="139">
        <f>C96</f>
        <v>1</v>
      </c>
      <c r="D105" s="139">
        <f>C105*(1/(1+D104))</f>
        <v>0.85242564519128206</v>
      </c>
      <c r="E105" s="139">
        <f t="shared" ref="E105:H105" si="69">D105*(1/(1+E104))</f>
        <v>0.71878448567952702</v>
      </c>
      <c r="F105" s="139">
        <f t="shared" si="69"/>
        <v>0.61109381406373819</v>
      </c>
      <c r="G105" s="139">
        <f t="shared" si="69"/>
        <v>0.52378232982724604</v>
      </c>
      <c r="H105" s="139">
        <f t="shared" si="69"/>
        <v>0.45192301240580618</v>
      </c>
      <c r="I105" s="140"/>
      <c r="J105"/>
    </row>
    <row r="106" spans="1:10" s="64" customFormat="1" ht="19.5" thickBot="1" x14ac:dyDescent="0.3">
      <c r="A106" s="48" t="s">
        <v>416</v>
      </c>
      <c r="B106" s="1"/>
      <c r="C106" s="139"/>
      <c r="D106" s="139">
        <f t="shared" ref="D106:F106" si="70">E106*(1+D104)</f>
        <v>2.2127662733449074</v>
      </c>
      <c r="E106" s="139">
        <f t="shared" si="70"/>
        <v>1.8862187182135413</v>
      </c>
      <c r="F106" s="139">
        <f t="shared" si="70"/>
        <v>1.5905020677152228</v>
      </c>
      <c r="G106" s="139">
        <f>H106*(1+G104)</f>
        <v>1.3522077816099436</v>
      </c>
      <c r="H106" s="139">
        <f>(1+H104)</f>
        <v>1.1590078740157481</v>
      </c>
      <c r="I106" s="140"/>
    </row>
    <row r="107" spans="1:10" s="64" customFormat="1" ht="57" thickBot="1" x14ac:dyDescent="0.3">
      <c r="A107" s="264" t="s">
        <v>318</v>
      </c>
      <c r="B107" s="16"/>
      <c r="C107" s="142">
        <f>IF(C94&gt;0,C94*C106,0)</f>
        <v>0</v>
      </c>
      <c r="D107" s="142">
        <f t="shared" ref="D107:H107" si="71">IF(D94&gt;0,D94*D106,0)</f>
        <v>7800.0011135407985</v>
      </c>
      <c r="E107" s="142">
        <f t="shared" si="71"/>
        <v>0</v>
      </c>
      <c r="F107" s="142">
        <f t="shared" si="71"/>
        <v>10988.725769108885</v>
      </c>
      <c r="G107" s="142">
        <f t="shared" si="71"/>
        <v>12125.357157262604</v>
      </c>
      <c r="H107" s="142">
        <f t="shared" si="71"/>
        <v>13011.414335393531</v>
      </c>
      <c r="I107" s="95">
        <f>SUM(C107:H107)</f>
        <v>43925.498375305819</v>
      </c>
    </row>
    <row r="108" spans="1:10" s="64" customFormat="1" ht="63.75" thickBot="1" x14ac:dyDescent="0.3">
      <c r="A108" s="52" t="s">
        <v>319</v>
      </c>
      <c r="B108" s="16"/>
      <c r="C108" s="142">
        <f>IF(C102&lt;0,C105*C102,0)</f>
        <v>-5000</v>
      </c>
      <c r="D108" s="142">
        <f t="shared" ref="D108:H108" si="72">IF(D102&lt;0,D105*D102,0)</f>
        <v>0</v>
      </c>
      <c r="E108" s="142">
        <f t="shared" si="72"/>
        <v>-467.92870017737209</v>
      </c>
      <c r="F108" s="142">
        <f t="shared" si="72"/>
        <v>0</v>
      </c>
      <c r="G108" s="142">
        <f t="shared" si="72"/>
        <v>0</v>
      </c>
      <c r="H108" s="142">
        <f t="shared" si="72"/>
        <v>0</v>
      </c>
      <c r="I108" s="95">
        <f>SUM(C108:H108)</f>
        <v>-5467.9287001773719</v>
      </c>
    </row>
    <row r="109" spans="1:10" s="64" customFormat="1" ht="57" thickBot="1" x14ac:dyDescent="0.3">
      <c r="A109" s="18" t="s">
        <v>321</v>
      </c>
      <c r="B109" s="16"/>
      <c r="C109" s="142"/>
      <c r="D109" s="142"/>
      <c r="E109" s="142"/>
      <c r="F109" s="142"/>
      <c r="G109" s="142"/>
      <c r="H109" s="142"/>
      <c r="I109" s="88">
        <f>(I107/-I108)^(1/H103)</f>
        <v>1.516976213299307</v>
      </c>
    </row>
    <row r="110" spans="1:10" s="64" customFormat="1" ht="19.5" thickBot="1" x14ac:dyDescent="0.3">
      <c r="A110" s="18"/>
      <c r="B110" s="16"/>
      <c r="C110" s="142"/>
      <c r="D110" s="142"/>
      <c r="E110" s="142"/>
      <c r="F110" s="142"/>
      <c r="G110" s="142"/>
      <c r="H110" s="142"/>
      <c r="I110" s="113"/>
    </row>
    <row r="111" spans="1:10" ht="78.75" thickBot="1" x14ac:dyDescent="0.3">
      <c r="A111" s="148" t="s">
        <v>418</v>
      </c>
    </row>
    <row r="112" spans="1:10" ht="38.25" thickBot="1" x14ac:dyDescent="0.3">
      <c r="A112" s="18" t="s">
        <v>417</v>
      </c>
      <c r="C112" s="75">
        <f t="shared" ref="C112:H112" si="73">C38</f>
        <v>-5000</v>
      </c>
      <c r="D112" s="75">
        <f t="shared" si="73"/>
        <v>3525</v>
      </c>
      <c r="E112" s="75">
        <f t="shared" si="73"/>
        <v>-651</v>
      </c>
      <c r="F112" s="75">
        <f t="shared" si="73"/>
        <v>6908.9666666666672</v>
      </c>
      <c r="G112" s="75">
        <f t="shared" si="73"/>
        <v>8967.0813333333354</v>
      </c>
      <c r="H112" s="75">
        <f t="shared" si="73"/>
        <v>11226.338169999988</v>
      </c>
      <c r="I112" s="21">
        <f>SUM(C112:H112)</f>
        <v>24976.386169999991</v>
      </c>
    </row>
    <row r="113" spans="1:9" ht="38.25" thickBot="1" x14ac:dyDescent="0.3">
      <c r="A113" s="18" t="s">
        <v>401</v>
      </c>
      <c r="C113" s="128">
        <f t="shared" ref="C113:I113" si="74">C57</f>
        <v>0.25</v>
      </c>
      <c r="D113" s="128">
        <f t="shared" si="74"/>
        <v>0.17312284730195179</v>
      </c>
      <c r="E113" s="128">
        <f t="shared" si="74"/>
        <v>0.18592660550458714</v>
      </c>
      <c r="F113" s="128">
        <f t="shared" si="74"/>
        <v>0.17622608695652175</v>
      </c>
      <c r="G113" s="128">
        <f t="shared" si="74"/>
        <v>0.16669421487603306</v>
      </c>
      <c r="H113" s="128">
        <f t="shared" si="74"/>
        <v>0.15900787401574804</v>
      </c>
      <c r="I113" s="149">
        <f t="shared" si="74"/>
        <v>0.18516293810914031</v>
      </c>
    </row>
    <row r="114" spans="1:9" ht="38.25" thickBot="1" x14ac:dyDescent="0.3">
      <c r="A114" s="18" t="s">
        <v>373</v>
      </c>
      <c r="I114" s="150">
        <f>(I46*(1+$B$116))/($B$115-$B$116)</f>
        <v>49485.695938983961</v>
      </c>
    </row>
    <row r="115" spans="1:9" ht="15.75" x14ac:dyDescent="0.25">
      <c r="A115" s="96" t="s">
        <v>273</v>
      </c>
      <c r="B115" s="130">
        <f>I113</f>
        <v>0.18516293810914031</v>
      </c>
    </row>
    <row r="116" spans="1:9" ht="15.75" x14ac:dyDescent="0.25">
      <c r="A116" s="96" t="s">
        <v>372</v>
      </c>
      <c r="B116" s="16">
        <f>B48</f>
        <v>0.05</v>
      </c>
    </row>
    <row r="117" spans="1:9" ht="15.75" x14ac:dyDescent="0.25">
      <c r="A117" s="29" t="s">
        <v>313</v>
      </c>
      <c r="C117" s="5">
        <f>C103+1</f>
        <v>1</v>
      </c>
      <c r="D117" s="5">
        <f t="shared" ref="D117:H117" si="75">D103+1</f>
        <v>2</v>
      </c>
      <c r="E117" s="5">
        <f t="shared" si="75"/>
        <v>3</v>
      </c>
      <c r="F117" s="5">
        <f t="shared" si="75"/>
        <v>4</v>
      </c>
      <c r="G117" s="5">
        <f t="shared" si="75"/>
        <v>5</v>
      </c>
      <c r="H117" s="5">
        <f t="shared" si="75"/>
        <v>6</v>
      </c>
    </row>
    <row r="118" spans="1:9" ht="16.5" thickBot="1" x14ac:dyDescent="0.3">
      <c r="A118" s="96" t="s">
        <v>419</v>
      </c>
      <c r="B118" s="16"/>
      <c r="C118" s="23">
        <f>1/((1+$B$115)^(C117-0.5))</f>
        <v>0.9185672747837178</v>
      </c>
      <c r="D118" s="23">
        <f t="shared" ref="D118:H118" si="76">1/((1+$B$115)^(D117-0.5))</f>
        <v>0.77505568664612434</v>
      </c>
      <c r="E118" s="23">
        <f t="shared" si="76"/>
        <v>0.65396551117492885</v>
      </c>
      <c r="F118" s="23">
        <f t="shared" si="76"/>
        <v>0.5517937577581471</v>
      </c>
      <c r="G118" s="23">
        <f t="shared" si="76"/>
        <v>0.465584722585489</v>
      </c>
      <c r="H118" s="23">
        <f t="shared" si="76"/>
        <v>0.3928444837536878</v>
      </c>
    </row>
    <row r="119" spans="1:9" ht="34.5" thickBot="1" x14ac:dyDescent="0.3">
      <c r="A119" s="18" t="s">
        <v>420</v>
      </c>
      <c r="B119" s="16"/>
      <c r="C119" s="24">
        <f>C118*C112</f>
        <v>-4592.8363739185888</v>
      </c>
      <c r="D119" s="24">
        <f t="shared" ref="D119:H119" si="77">D118*D112</f>
        <v>2732.0712954275882</v>
      </c>
      <c r="E119" s="24">
        <f t="shared" si="77"/>
        <v>-425.73154777487866</v>
      </c>
      <c r="F119" s="24">
        <f t="shared" si="77"/>
        <v>3812.3246792257801</v>
      </c>
      <c r="G119" s="24">
        <f t="shared" si="77"/>
        <v>4174.9360749815178</v>
      </c>
      <c r="H119" s="24">
        <f t="shared" si="77"/>
        <v>4410.2050228379658</v>
      </c>
      <c r="I119" s="21">
        <f>SUM(C119:H119)</f>
        <v>10110.969150779383</v>
      </c>
    </row>
    <row r="120" spans="1:9" ht="24" thickBot="1" x14ac:dyDescent="0.3">
      <c r="A120" s="151" t="s">
        <v>421</v>
      </c>
      <c r="I120" s="173">
        <f>I119+I114/((1+B115)^(H117-0.5))</f>
        <v>29551.151825121502</v>
      </c>
    </row>
    <row r="122" spans="1:9" x14ac:dyDescent="0.25">
      <c r="G122" s="65"/>
    </row>
    <row r="124" spans="1:9" ht="29.45" customHeight="1" x14ac:dyDescent="0.25"/>
    <row r="126" spans="1:9" x14ac:dyDescent="0.25">
      <c r="A126" s="19"/>
      <c r="E126"/>
    </row>
    <row r="127" spans="1:9" x14ac:dyDescent="0.25">
      <c r="A127" s="74"/>
      <c r="E127"/>
      <c r="G127" s="65"/>
    </row>
    <row r="128" spans="1:9" x14ac:dyDescent="0.25">
      <c r="A128" s="44"/>
      <c r="E128" s="65"/>
      <c r="G128" s="66"/>
    </row>
    <row r="129" spans="1:11" ht="30.6" customHeight="1" x14ac:dyDescent="0.25">
      <c r="A129" s="14"/>
      <c r="E129" s="65"/>
      <c r="G129" s="65"/>
    </row>
    <row r="130" spans="1:11" x14ac:dyDescent="0.25">
      <c r="G130" s="65"/>
      <c r="J130" s="65"/>
      <c r="K130" s="6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14"/>
  <sheetViews>
    <sheetView topLeftCell="A119" workbookViewId="0">
      <selection activeCell="A122" sqref="A122"/>
    </sheetView>
  </sheetViews>
  <sheetFormatPr defaultColWidth="8.85546875" defaultRowHeight="15" x14ac:dyDescent="0.25"/>
  <cols>
    <col min="1" max="1" width="51.5703125" style="1" customWidth="1"/>
    <col min="2" max="2" width="10.42578125" style="1" customWidth="1"/>
    <col min="3" max="8" width="10.7109375" style="1" customWidth="1"/>
    <col min="9" max="10" width="12.7109375" style="1" customWidth="1"/>
    <col min="11" max="16384" width="8.85546875" style="1"/>
  </cols>
  <sheetData>
    <row r="1" spans="1:10" ht="28.5" x14ac:dyDescent="0.25">
      <c r="A1" s="222" t="s">
        <v>422</v>
      </c>
      <c r="C1" s="6"/>
      <c r="E1" s="44"/>
    </row>
    <row r="2" spans="1:10" ht="19.5" thickBot="1" x14ac:dyDescent="0.3">
      <c r="A2" s="12" t="s">
        <v>218</v>
      </c>
      <c r="C2" s="6"/>
      <c r="E2" s="44"/>
    </row>
    <row r="3" spans="1:10" ht="63.75" thickBot="1" x14ac:dyDescent="0.3">
      <c r="A3" s="267" t="s">
        <v>378</v>
      </c>
      <c r="B3" s="53" t="s">
        <v>237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7</v>
      </c>
    </row>
    <row r="4" spans="1:10" ht="18.75" x14ac:dyDescent="0.25">
      <c r="A4" s="22" t="s">
        <v>242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0" ht="16.5" thickBot="1" x14ac:dyDescent="0.3">
      <c r="A5" s="1" t="s">
        <v>239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0" ht="16.5" thickBot="1" x14ac:dyDescent="0.3">
      <c r="A6" s="1" t="s">
        <v>240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0" ht="15.75" x14ac:dyDescent="0.25">
      <c r="A7" s="1" t="s">
        <v>241</v>
      </c>
      <c r="C7" s="7"/>
      <c r="D7" s="7">
        <v>75</v>
      </c>
      <c r="E7" s="7">
        <v>30</v>
      </c>
      <c r="F7" s="7">
        <v>125</v>
      </c>
      <c r="G7" s="7">
        <v>150</v>
      </c>
      <c r="H7" s="7">
        <v>175</v>
      </c>
      <c r="I7" s="8">
        <f t="shared" ref="I7" si="1">SUM(D7:H7)</f>
        <v>555</v>
      </c>
    </row>
    <row r="8" spans="1:10" s="6" customFormat="1" ht="15.75" x14ac:dyDescent="0.25">
      <c r="A8" s="99" t="s">
        <v>355</v>
      </c>
      <c r="B8" s="99"/>
      <c r="C8" s="100"/>
      <c r="D8" s="101">
        <v>0.06</v>
      </c>
      <c r="E8" s="101">
        <v>0.05</v>
      </c>
      <c r="F8" s="101">
        <v>4.4999999999999998E-2</v>
      </c>
      <c r="G8" s="101">
        <v>0.04</v>
      </c>
      <c r="H8" s="101">
        <v>0.04</v>
      </c>
      <c r="I8" s="102"/>
    </row>
    <row r="9" spans="1:10" ht="15.75" x14ac:dyDescent="0.25">
      <c r="A9" s="1" t="s">
        <v>356</v>
      </c>
      <c r="C9" s="7">
        <f>D9/(1+D8)</f>
        <v>188.67924528301887</v>
      </c>
      <c r="D9" s="7">
        <v>200</v>
      </c>
      <c r="E9" s="7">
        <f>D9*(1+E8)</f>
        <v>210</v>
      </c>
      <c r="F9" s="7">
        <f t="shared" ref="F9:H9" si="2">E9*(1+F8)</f>
        <v>219.45</v>
      </c>
      <c r="G9" s="7">
        <f t="shared" si="2"/>
        <v>228.22800000000001</v>
      </c>
      <c r="H9" s="7">
        <f t="shared" si="2"/>
        <v>237.35712000000001</v>
      </c>
      <c r="I9" s="8">
        <f>SUM(D9:H9)/COUNTA(D9:H9)</f>
        <v>219.007024</v>
      </c>
      <c r="J9" s="1" t="s">
        <v>246</v>
      </c>
    </row>
    <row r="10" spans="1:10" ht="15.75" x14ac:dyDescent="0.25">
      <c r="A10" s="4" t="s">
        <v>357</v>
      </c>
      <c r="B10" s="4"/>
      <c r="C10" s="11"/>
      <c r="D10" s="11">
        <f>D9*D7</f>
        <v>15000</v>
      </c>
      <c r="E10" s="11">
        <f>E9*E7</f>
        <v>6300</v>
      </c>
      <c r="F10" s="11">
        <f>F9*F7</f>
        <v>27431.25</v>
      </c>
      <c r="G10" s="11">
        <f>G9*G7</f>
        <v>34234.200000000004</v>
      </c>
      <c r="H10" s="11">
        <f>H9*H7</f>
        <v>41537.495999999999</v>
      </c>
      <c r="I10" s="8">
        <f>SUM(D10:H10)</f>
        <v>124502.94600000001</v>
      </c>
    </row>
    <row r="11" spans="1:10" s="6" customFormat="1" ht="15.75" x14ac:dyDescent="0.25">
      <c r="A11" s="99" t="s">
        <v>358</v>
      </c>
      <c r="B11" s="99"/>
      <c r="C11" s="100"/>
      <c r="D11" s="101">
        <v>0.08</v>
      </c>
      <c r="E11" s="101">
        <v>7.0000000000000007E-2</v>
      </c>
      <c r="F11" s="101">
        <v>0.06</v>
      </c>
      <c r="G11" s="101">
        <v>0.05</v>
      </c>
      <c r="H11" s="101">
        <v>4.4999999999999998E-2</v>
      </c>
      <c r="I11" s="102"/>
    </row>
    <row r="12" spans="1:10" ht="15.75" x14ac:dyDescent="0.25">
      <c r="A12" s="4" t="s">
        <v>252</v>
      </c>
      <c r="B12" s="4"/>
      <c r="C12" s="11"/>
      <c r="D12" s="11">
        <f>D13+D14</f>
        <v>-10250</v>
      </c>
      <c r="E12" s="11">
        <f t="shared" ref="E12:H12" si="3">E13+E14</f>
        <v>-6531</v>
      </c>
      <c r="F12" s="11">
        <f t="shared" si="3"/>
        <v>-18775.25</v>
      </c>
      <c r="G12" s="11">
        <f t="shared" si="3"/>
        <v>-22989.015000000003</v>
      </c>
      <c r="H12" s="11">
        <f t="shared" si="3"/>
        <v>-27445.898287500007</v>
      </c>
      <c r="I12" s="8">
        <f t="shared" ref="I12:I14" si="4">SUM(D12:H12)</f>
        <v>-85991.163287500007</v>
      </c>
    </row>
    <row r="13" spans="1:10" s="6" customFormat="1" ht="15.75" x14ac:dyDescent="0.25">
      <c r="A13" s="6" t="s">
        <v>244</v>
      </c>
      <c r="C13" s="10"/>
      <c r="D13" s="10">
        <v>-2000</v>
      </c>
      <c r="E13" s="10">
        <v>-3000</v>
      </c>
      <c r="F13" s="7">
        <f>E13*(1+F11)</f>
        <v>-3180</v>
      </c>
      <c r="G13" s="7">
        <f t="shared" ref="G13:H13" si="5">F13*(1+G11)</f>
        <v>-3339</v>
      </c>
      <c r="H13" s="7">
        <f t="shared" si="5"/>
        <v>-3489.2549999999997</v>
      </c>
      <c r="I13" s="8">
        <f t="shared" si="4"/>
        <v>-15008.254999999999</v>
      </c>
    </row>
    <row r="14" spans="1:10" s="6" customFormat="1" ht="15.75" x14ac:dyDescent="0.25">
      <c r="A14" s="6" t="s">
        <v>245</v>
      </c>
      <c r="C14" s="10"/>
      <c r="D14" s="10">
        <f>-D15*D7</f>
        <v>-8250</v>
      </c>
      <c r="E14" s="10">
        <f>-E15*E7</f>
        <v>-3531</v>
      </c>
      <c r="F14" s="10">
        <f>-F15*F7</f>
        <v>-15595.250000000002</v>
      </c>
      <c r="G14" s="10">
        <f>-G15*G7</f>
        <v>-19650.015000000003</v>
      </c>
      <c r="H14" s="10">
        <f>-H15*H7</f>
        <v>-23956.643287500006</v>
      </c>
      <c r="I14" s="8">
        <f t="shared" si="4"/>
        <v>-70982.908287500002</v>
      </c>
    </row>
    <row r="15" spans="1:10" s="6" customFormat="1" ht="15.75" x14ac:dyDescent="0.25">
      <c r="A15" s="6" t="s">
        <v>247</v>
      </c>
      <c r="C15" s="10"/>
      <c r="D15" s="10">
        <v>110</v>
      </c>
      <c r="E15" s="10">
        <f>D15*(1+E11)</f>
        <v>117.7</v>
      </c>
      <c r="F15" s="10">
        <f t="shared" ref="F15:H15" si="6">E15*(1+F11)</f>
        <v>124.76200000000001</v>
      </c>
      <c r="G15" s="10">
        <f t="shared" si="6"/>
        <v>131.00010000000003</v>
      </c>
      <c r="H15" s="10">
        <f t="shared" si="6"/>
        <v>136.89510450000003</v>
      </c>
      <c r="I15" s="8">
        <f>SUM(D15:H15)/COUNTA(D15:H15)</f>
        <v>124.07144090000001</v>
      </c>
      <c r="J15" s="1" t="s">
        <v>558</v>
      </c>
    </row>
    <row r="16" spans="1:10" s="6" customFormat="1" ht="30" x14ac:dyDescent="0.25">
      <c r="A16" s="257" t="s">
        <v>248</v>
      </c>
      <c r="C16" s="10"/>
      <c r="D16" s="10">
        <f>-D12/D7</f>
        <v>136.66666666666666</v>
      </c>
      <c r="E16" s="10">
        <f>-E12/E7</f>
        <v>217.7</v>
      </c>
      <c r="F16" s="10">
        <f>-F12/F7</f>
        <v>150.202</v>
      </c>
      <c r="G16" s="10">
        <f>-G12/G7</f>
        <v>153.26010000000002</v>
      </c>
      <c r="H16" s="10">
        <f>-H12/H7</f>
        <v>156.83370450000004</v>
      </c>
      <c r="I16" s="8">
        <f>SUM(D16:H16)/COUNTA(D16:H16)</f>
        <v>162.93249423333336</v>
      </c>
      <c r="J16" s="1" t="s">
        <v>558</v>
      </c>
    </row>
    <row r="17" spans="1:9" s="5" customFormat="1" ht="45" x14ac:dyDescent="0.25">
      <c r="A17" s="106" t="s">
        <v>359</v>
      </c>
      <c r="B17" s="103"/>
      <c r="C17" s="104"/>
      <c r="D17" s="104">
        <v>5000</v>
      </c>
      <c r="E17" s="104">
        <v>6000</v>
      </c>
      <c r="F17" s="104">
        <v>7000</v>
      </c>
      <c r="G17" s="104">
        <v>8000</v>
      </c>
      <c r="H17" s="104">
        <v>9000</v>
      </c>
      <c r="I17" s="105">
        <f t="shared" ref="I17:I27" si="7">SUM(D17:H17)</f>
        <v>35000</v>
      </c>
    </row>
    <row r="18" spans="1:9" s="144" customFormat="1" ht="15.75" x14ac:dyDescent="0.25">
      <c r="A18" s="122" t="s">
        <v>360</v>
      </c>
      <c r="B18" s="122"/>
      <c r="C18" s="123"/>
      <c r="D18" s="123">
        <f>-D17</f>
        <v>-5000</v>
      </c>
      <c r="E18" s="123">
        <f t="shared" ref="E18:H18" si="8">-E17</f>
        <v>-6000</v>
      </c>
      <c r="F18" s="123">
        <f t="shared" si="8"/>
        <v>-7000</v>
      </c>
      <c r="G18" s="123">
        <f t="shared" si="8"/>
        <v>-8000</v>
      </c>
      <c r="H18" s="123">
        <f t="shared" si="8"/>
        <v>-9000</v>
      </c>
      <c r="I18" s="124">
        <f t="shared" si="7"/>
        <v>-35000</v>
      </c>
    </row>
    <row r="19" spans="1:9" s="6" customFormat="1" ht="16.5" thickBot="1" x14ac:dyDescent="0.3">
      <c r="A19" s="99" t="s">
        <v>361</v>
      </c>
      <c r="B19" s="99"/>
      <c r="C19" s="100"/>
      <c r="D19" s="101">
        <v>0.08</v>
      </c>
      <c r="E19" s="101">
        <v>7.0000000000000007E-2</v>
      </c>
      <c r="F19" s="101">
        <v>0.06</v>
      </c>
      <c r="G19" s="101">
        <v>0.05</v>
      </c>
      <c r="H19" s="101">
        <v>4.4999999999999998E-2</v>
      </c>
      <c r="I19" s="102"/>
    </row>
    <row r="20" spans="1:9" s="3" customFormat="1" ht="63.75" thickBot="1" x14ac:dyDescent="0.3">
      <c r="A20" s="13" t="s">
        <v>458</v>
      </c>
      <c r="B20" s="13"/>
      <c r="C20" s="8">
        <f>C10+C12</f>
        <v>0</v>
      </c>
      <c r="D20" s="8">
        <f>D10+D12</f>
        <v>4750</v>
      </c>
      <c r="E20" s="8">
        <f t="shared" ref="E20:H20" si="9">E10+E12</f>
        <v>-231</v>
      </c>
      <c r="F20" s="8">
        <f t="shared" si="9"/>
        <v>8656</v>
      </c>
      <c r="G20" s="8">
        <f t="shared" si="9"/>
        <v>11245.185000000001</v>
      </c>
      <c r="H20" s="8">
        <f t="shared" si="9"/>
        <v>14091.597712499992</v>
      </c>
      <c r="I20" s="49">
        <f t="shared" si="7"/>
        <v>38511.782712499989</v>
      </c>
    </row>
    <row r="21" spans="1:9" s="5" customFormat="1" ht="15.75" x14ac:dyDescent="0.25">
      <c r="A21" s="5" t="s">
        <v>253</v>
      </c>
      <c r="B21" s="16"/>
      <c r="C21" s="9">
        <v>0</v>
      </c>
      <c r="D21" s="9">
        <f>-D83</f>
        <v>-225</v>
      </c>
      <c r="E21" s="9">
        <f t="shared" ref="E21:H21" si="10">-E83</f>
        <v>-1025</v>
      </c>
      <c r="F21" s="9">
        <f t="shared" si="10"/>
        <v>-1600.8333333333333</v>
      </c>
      <c r="G21" s="9">
        <f t="shared" si="10"/>
        <v>-1454.6666666666667</v>
      </c>
      <c r="H21" s="9">
        <f t="shared" si="10"/>
        <v>-1385.3</v>
      </c>
      <c r="I21" s="8">
        <f t="shared" si="7"/>
        <v>-5690.8</v>
      </c>
    </row>
    <row r="22" spans="1:9" s="5" customFormat="1" ht="31.5" x14ac:dyDescent="0.25">
      <c r="A22" s="13" t="s">
        <v>459</v>
      </c>
      <c r="B22" s="17"/>
      <c r="C22" s="8">
        <f>C20+C21</f>
        <v>0</v>
      </c>
      <c r="D22" s="8">
        <f>D20+D21</f>
        <v>4525</v>
      </c>
      <c r="E22" s="8">
        <f t="shared" ref="E22:H22" si="11">E20+E21</f>
        <v>-1256</v>
      </c>
      <c r="F22" s="8">
        <f t="shared" si="11"/>
        <v>7055.166666666667</v>
      </c>
      <c r="G22" s="8">
        <f t="shared" si="11"/>
        <v>9790.5183333333352</v>
      </c>
      <c r="H22" s="8">
        <f t="shared" si="11"/>
        <v>12706.297712499992</v>
      </c>
      <c r="I22" s="8">
        <f t="shared" si="7"/>
        <v>32820.982712500001</v>
      </c>
    </row>
    <row r="23" spans="1:9" s="144" customFormat="1" ht="15.75" x14ac:dyDescent="0.25">
      <c r="A23" s="5" t="s">
        <v>254</v>
      </c>
      <c r="B23" s="111"/>
      <c r="D23" s="145">
        <f>-D17*D19</f>
        <v>-400</v>
      </c>
      <c r="E23" s="145">
        <f t="shared" ref="E23:H23" si="12">-E17*E19</f>
        <v>-420.00000000000006</v>
      </c>
      <c r="F23" s="145">
        <f t="shared" si="12"/>
        <v>-420</v>
      </c>
      <c r="G23" s="145">
        <f t="shared" si="12"/>
        <v>-400</v>
      </c>
      <c r="H23" s="145">
        <f t="shared" si="12"/>
        <v>-405</v>
      </c>
      <c r="I23" s="146">
        <f t="shared" si="7"/>
        <v>-2045</v>
      </c>
    </row>
    <row r="24" spans="1:9" s="5" customFormat="1" ht="16.5" thickBot="1" x14ac:dyDescent="0.3">
      <c r="A24" s="5" t="s">
        <v>255</v>
      </c>
      <c r="B24" s="16">
        <v>0.2</v>
      </c>
      <c r="C24" s="9">
        <f t="shared" ref="C24:D24" si="13">IF(C22+C23&lt;0,0,-(C22+C23)*$B$24)</f>
        <v>0</v>
      </c>
      <c r="D24" s="9">
        <f t="shared" si="13"/>
        <v>-825</v>
      </c>
      <c r="E24" s="9">
        <f>IF(E22+E23&lt;0,0,-(E22+E23)*$B$24)</f>
        <v>0</v>
      </c>
      <c r="F24" s="9">
        <f t="shared" ref="F24:H24" si="14">IF(F22+F23&lt;0,0,-(F22+F23)*$B$24)</f>
        <v>-1327.0333333333335</v>
      </c>
      <c r="G24" s="9">
        <f t="shared" si="14"/>
        <v>-1878.1036666666671</v>
      </c>
      <c r="H24" s="9">
        <f t="shared" si="14"/>
        <v>-2460.2595424999986</v>
      </c>
      <c r="I24" s="8">
        <f t="shared" si="7"/>
        <v>-6490.3965424999988</v>
      </c>
    </row>
    <row r="25" spans="1:9" s="3" customFormat="1" ht="32.25" thickBot="1" x14ac:dyDescent="0.3">
      <c r="A25" s="13" t="s">
        <v>462</v>
      </c>
      <c r="C25" s="8">
        <f>C22+C23+C24</f>
        <v>0</v>
      </c>
      <c r="D25" s="8">
        <f>D22+D23+D24</f>
        <v>3300</v>
      </c>
      <c r="E25" s="8">
        <f t="shared" ref="E25:H25" si="15">E22+E23+E24</f>
        <v>-1676</v>
      </c>
      <c r="F25" s="8">
        <f t="shared" si="15"/>
        <v>5308.1333333333332</v>
      </c>
      <c r="G25" s="8">
        <f t="shared" si="15"/>
        <v>7512.4146666666684</v>
      </c>
      <c r="H25" s="8">
        <f t="shared" si="15"/>
        <v>9841.0381699999944</v>
      </c>
      <c r="I25" s="49">
        <f t="shared" si="7"/>
        <v>24285.586169999995</v>
      </c>
    </row>
    <row r="26" spans="1:9" s="5" customFormat="1" ht="30" x14ac:dyDescent="0.25">
      <c r="A26" s="258" t="s">
        <v>256</v>
      </c>
      <c r="C26" s="9">
        <f>C5</f>
        <v>5000</v>
      </c>
      <c r="D26" s="9">
        <f>C30</f>
        <v>0</v>
      </c>
      <c r="E26" s="9">
        <f t="shared" ref="E26:H26" si="16">D30</f>
        <v>3525</v>
      </c>
      <c r="F26" s="9">
        <f t="shared" si="16"/>
        <v>2874</v>
      </c>
      <c r="G26" s="9">
        <f t="shared" si="16"/>
        <v>9782.9666666666672</v>
      </c>
      <c r="H26" s="9">
        <f t="shared" si="16"/>
        <v>18750.048000000003</v>
      </c>
      <c r="I26" s="9">
        <f>C26</f>
        <v>5000</v>
      </c>
    </row>
    <row r="27" spans="1:9" s="4" customFormat="1" x14ac:dyDescent="0.25">
      <c r="A27" s="4" t="s">
        <v>258</v>
      </c>
      <c r="C27" s="11">
        <f>C10</f>
        <v>0</v>
      </c>
      <c r="D27" s="11">
        <f>D10+D5+D17</f>
        <v>22000</v>
      </c>
      <c r="E27" s="11">
        <f t="shared" ref="E27:H27" si="17">E10+E5+E17</f>
        <v>17300</v>
      </c>
      <c r="F27" s="11">
        <f t="shared" si="17"/>
        <v>34431.25</v>
      </c>
      <c r="G27" s="11">
        <f t="shared" si="17"/>
        <v>42234.200000000004</v>
      </c>
      <c r="H27" s="11">
        <f t="shared" si="17"/>
        <v>50537.495999999999</v>
      </c>
      <c r="I27" s="11">
        <f t="shared" si="7"/>
        <v>166502.946</v>
      </c>
    </row>
    <row r="28" spans="1:9" s="4" customFormat="1" ht="15.75" thickBot="1" x14ac:dyDescent="0.3">
      <c r="A28" s="4" t="s">
        <v>257</v>
      </c>
      <c r="C28" s="11">
        <f t="shared" ref="C28" si="18">C6+C12+C23+C24</f>
        <v>-5000</v>
      </c>
      <c r="D28" s="11">
        <f>D6+D12+D23+D24+D18</f>
        <v>-18475</v>
      </c>
      <c r="E28" s="11">
        <f t="shared" ref="E28:H28" si="19">E6+E12+E23+E24+E18</f>
        <v>-17951</v>
      </c>
      <c r="F28" s="11">
        <f t="shared" si="19"/>
        <v>-27522.283333333333</v>
      </c>
      <c r="G28" s="11">
        <f t="shared" si="19"/>
        <v>-33267.118666666669</v>
      </c>
      <c r="H28" s="11">
        <f t="shared" si="19"/>
        <v>-39311.157830000011</v>
      </c>
      <c r="I28" s="11">
        <f>SUM(C28:H28)</f>
        <v>-141526.55983000001</v>
      </c>
    </row>
    <row r="29" spans="1:9" s="4" customFormat="1" ht="30.75" thickBot="1" x14ac:dyDescent="0.3">
      <c r="A29" s="259" t="s">
        <v>259</v>
      </c>
      <c r="C29" s="11">
        <f>C6</f>
        <v>-5000</v>
      </c>
      <c r="D29" s="11">
        <f>D28+D27</f>
        <v>3525</v>
      </c>
      <c r="E29" s="11">
        <f t="shared" ref="E29:H29" si="20">E28+E27</f>
        <v>-651</v>
      </c>
      <c r="F29" s="11">
        <f t="shared" si="20"/>
        <v>6908.9666666666672</v>
      </c>
      <c r="G29" s="11">
        <f t="shared" si="20"/>
        <v>8967.0813333333354</v>
      </c>
      <c r="H29" s="11">
        <f t="shared" si="20"/>
        <v>11226.338169999988</v>
      </c>
      <c r="I29" s="42">
        <f>SUM(C29:H29)</f>
        <v>24976.386169999991</v>
      </c>
    </row>
    <row r="30" spans="1:9" s="5" customFormat="1" ht="30" x14ac:dyDescent="0.25">
      <c r="A30" s="258" t="s">
        <v>260</v>
      </c>
      <c r="C30" s="9">
        <f>C29+C26</f>
        <v>0</v>
      </c>
      <c r="D30" s="9">
        <f>D29+D26</f>
        <v>3525</v>
      </c>
      <c r="E30" s="9">
        <f t="shared" ref="E30:H30" si="21">E29+E26</f>
        <v>2874</v>
      </c>
      <c r="F30" s="9">
        <f t="shared" si="21"/>
        <v>9782.9666666666672</v>
      </c>
      <c r="G30" s="9">
        <f t="shared" si="21"/>
        <v>18750.048000000003</v>
      </c>
      <c r="H30" s="9">
        <f t="shared" si="21"/>
        <v>29976.386169999991</v>
      </c>
      <c r="I30" s="9">
        <f>H30</f>
        <v>29976.386169999991</v>
      </c>
    </row>
    <row r="31" spans="1:9" s="5" customFormat="1" ht="30.75" thickBot="1" x14ac:dyDescent="0.3">
      <c r="A31" s="258" t="s">
        <v>261</v>
      </c>
      <c r="C31" s="9">
        <f>C29</f>
        <v>-5000</v>
      </c>
      <c r="D31" s="9">
        <f>C31+D29</f>
        <v>-1475</v>
      </c>
      <c r="E31" s="9">
        <f t="shared" ref="E31:H31" si="22">D31+E29</f>
        <v>-2126</v>
      </c>
      <c r="F31" s="9">
        <f t="shared" si="22"/>
        <v>4782.9666666666672</v>
      </c>
      <c r="G31" s="9">
        <f t="shared" si="22"/>
        <v>13750.048000000003</v>
      </c>
      <c r="H31" s="9">
        <f t="shared" si="22"/>
        <v>24976.386169999991</v>
      </c>
      <c r="I31" s="46">
        <f>H31</f>
        <v>24976.386169999991</v>
      </c>
    </row>
    <row r="32" spans="1:9" ht="32.25" thickBot="1" x14ac:dyDescent="0.3">
      <c r="A32" s="266" t="s">
        <v>362</v>
      </c>
      <c r="B32" s="107">
        <v>0.25</v>
      </c>
      <c r="C32" s="108"/>
      <c r="D32" s="109">
        <f>IF(C25&gt;0,C25*$B$32,0)</f>
        <v>0</v>
      </c>
      <c r="E32" s="109">
        <f>IF(D25&gt;0,D25*$B$32,0)</f>
        <v>825</v>
      </c>
      <c r="F32" s="109">
        <f t="shared" ref="F32:H32" si="23">IF(E25&gt;0,E25*$B$32,0)</f>
        <v>0</v>
      </c>
      <c r="G32" s="109">
        <f t="shared" si="23"/>
        <v>1327.0333333333333</v>
      </c>
      <c r="H32" s="109">
        <f t="shared" si="23"/>
        <v>1878.1036666666671</v>
      </c>
      <c r="I32" s="110">
        <f>SUM(C32:H32)</f>
        <v>4030.1370000000006</v>
      </c>
    </row>
    <row r="33" spans="1:11" s="64" customFormat="1" ht="16.5" thickBot="1" x14ac:dyDescent="0.3">
      <c r="A33" s="117" t="s">
        <v>363</v>
      </c>
      <c r="B33" s="118">
        <v>0.05</v>
      </c>
      <c r="C33" s="119"/>
      <c r="D33" s="120"/>
      <c r="E33" s="120"/>
      <c r="F33" s="120"/>
      <c r="G33" s="120"/>
      <c r="H33" s="120"/>
      <c r="I33" s="121"/>
    </row>
    <row r="34" spans="1:11" s="64" customFormat="1" ht="15.75" thickBot="1" x14ac:dyDescent="0.3">
      <c r="A34" s="108" t="s">
        <v>364</v>
      </c>
      <c r="B34" s="37"/>
      <c r="C34" s="37"/>
      <c r="D34" s="37"/>
      <c r="E34" s="116">
        <f>(E20-D20)/D20</f>
        <v>-1.0486315789473684</v>
      </c>
      <c r="F34" s="116">
        <f>(F20-E20)/E20</f>
        <v>-38.471861471861473</v>
      </c>
      <c r="G34" s="116">
        <f>(G20-F20)/F20</f>
        <v>0.2991202634011092</v>
      </c>
      <c r="H34" s="116">
        <f>(H20-G20)/G20</f>
        <v>0.25312279989168612</v>
      </c>
      <c r="I34" s="126">
        <f>AVERAGE(E34:H34)</f>
        <v>-9.7420624968790115</v>
      </c>
    </row>
    <row r="35" spans="1:11" s="64" customFormat="1" ht="15.75" thickBot="1" x14ac:dyDescent="0.3">
      <c r="A35" s="119" t="s">
        <v>365</v>
      </c>
      <c r="B35" s="120"/>
      <c r="C35" s="120"/>
      <c r="D35" s="120"/>
      <c r="E35" s="125">
        <f>(E22-D22)/D22</f>
        <v>-1.2775690607734806</v>
      </c>
      <c r="F35" s="125">
        <f t="shared" ref="F35:H35" si="24">(F22-E22)/E22</f>
        <v>-6.6171709129511687</v>
      </c>
      <c r="G35" s="125">
        <f t="shared" si="24"/>
        <v>0.38770900758309534</v>
      </c>
      <c r="H35" s="125">
        <f t="shared" si="24"/>
        <v>0.29781665075274255</v>
      </c>
      <c r="I35" s="127">
        <f t="shared" ref="I35:I36" si="25">AVERAGE(E35:H35)</f>
        <v>-1.8023035788472028</v>
      </c>
    </row>
    <row r="36" spans="1:11" s="64" customFormat="1" ht="15.75" thickBot="1" x14ac:dyDescent="0.3">
      <c r="A36" s="108" t="s">
        <v>366</v>
      </c>
      <c r="B36" s="37"/>
      <c r="C36" s="37"/>
      <c r="D36" s="37"/>
      <c r="E36" s="116">
        <f>(E25-D25)/D25</f>
        <v>-1.5078787878787878</v>
      </c>
      <c r="F36" s="116">
        <f t="shared" ref="F36:H36" si="26">(F25-E25)/E25</f>
        <v>-4.1671439936356407</v>
      </c>
      <c r="G36" s="116">
        <f t="shared" si="26"/>
        <v>0.41526487654165972</v>
      </c>
      <c r="H36" s="116">
        <f t="shared" si="26"/>
        <v>0.30997004380837234</v>
      </c>
      <c r="I36" s="126">
        <f t="shared" si="25"/>
        <v>-1.2374469652910993</v>
      </c>
    </row>
    <row r="37" spans="1:11" s="64" customFormat="1" ht="55.5" thickBot="1" x14ac:dyDescent="0.3">
      <c r="A37" s="148" t="s">
        <v>424</v>
      </c>
      <c r="C37" s="58" t="s">
        <v>5</v>
      </c>
      <c r="D37" s="59" t="s">
        <v>0</v>
      </c>
      <c r="E37" s="59" t="s">
        <v>1</v>
      </c>
      <c r="F37" s="59" t="s">
        <v>2</v>
      </c>
      <c r="G37" s="59" t="s">
        <v>3</v>
      </c>
      <c r="H37" s="272" t="s">
        <v>4</v>
      </c>
      <c r="I37" s="60" t="s">
        <v>238</v>
      </c>
    </row>
    <row r="38" spans="1:11" s="64" customFormat="1" ht="21.75" thickBot="1" x14ac:dyDescent="0.3">
      <c r="A38" s="162" t="s">
        <v>425</v>
      </c>
      <c r="E38" s="155"/>
      <c r="F38" s="155"/>
      <c r="G38" s="155"/>
      <c r="H38" s="155"/>
      <c r="I38" s="156"/>
    </row>
    <row r="39" spans="1:11" s="64" customFormat="1" ht="15.75" x14ac:dyDescent="0.25">
      <c r="A39" s="182" t="s">
        <v>432</v>
      </c>
      <c r="B39" s="160">
        <f>C5</f>
        <v>5000</v>
      </c>
      <c r="C39" s="169">
        <f>B39</f>
        <v>5000</v>
      </c>
      <c r="D39" s="169">
        <f>C39-D46</f>
        <v>4775</v>
      </c>
      <c r="E39" s="169">
        <f t="shared" ref="E39:H39" si="27">D39-E46</f>
        <v>4550</v>
      </c>
      <c r="F39" s="169">
        <f t="shared" si="27"/>
        <v>4325</v>
      </c>
      <c r="G39" s="169">
        <f t="shared" si="27"/>
        <v>4100</v>
      </c>
      <c r="H39" s="169">
        <f t="shared" si="27"/>
        <v>3875</v>
      </c>
      <c r="I39" s="156"/>
    </row>
    <row r="40" spans="1:11" s="64" customFormat="1" ht="15.75" x14ac:dyDescent="0.25">
      <c r="A40" s="182" t="s">
        <v>435</v>
      </c>
      <c r="B40" s="160" t="s">
        <v>0</v>
      </c>
      <c r="E40" s="155"/>
      <c r="F40" s="155"/>
      <c r="G40" s="155"/>
      <c r="H40" s="155"/>
      <c r="I40" s="156"/>
    </row>
    <row r="41" spans="1:11" s="64" customFormat="1" ht="38.25" x14ac:dyDescent="0.25">
      <c r="A41" s="182" t="s">
        <v>429</v>
      </c>
      <c r="B41" s="270" t="s">
        <v>430</v>
      </c>
      <c r="C41" s="178" t="s">
        <v>431</v>
      </c>
      <c r="D41" s="147"/>
      <c r="E41" s="166"/>
      <c r="F41" s="166"/>
      <c r="G41" s="166"/>
      <c r="H41" s="166"/>
      <c r="I41"/>
    </row>
    <row r="42" spans="1:11" s="64" customFormat="1" ht="27" x14ac:dyDescent="0.25">
      <c r="A42" s="183" t="s">
        <v>433</v>
      </c>
      <c r="B42" s="160">
        <v>20</v>
      </c>
      <c r="E42" s="155"/>
      <c r="F42" s="155"/>
      <c r="G42" s="155"/>
      <c r="H42" s="155"/>
      <c r="I42" s="156"/>
    </row>
    <row r="43" spans="1:11" s="64" customFormat="1" ht="27" x14ac:dyDescent="0.25">
      <c r="A43" s="183" t="s">
        <v>434</v>
      </c>
      <c r="B43" s="160">
        <v>500</v>
      </c>
      <c r="E43" s="155"/>
      <c r="F43" s="155"/>
      <c r="G43" s="155"/>
      <c r="H43" s="155"/>
      <c r="I43" s="156"/>
    </row>
    <row r="44" spans="1:11" s="64" customFormat="1" ht="15.75" x14ac:dyDescent="0.25">
      <c r="A44" s="182" t="s">
        <v>436</v>
      </c>
      <c r="B44" s="160">
        <f>B39-B43</f>
        <v>4500</v>
      </c>
      <c r="E44" s="155"/>
      <c r="F44" s="155"/>
      <c r="G44" s="155"/>
      <c r="H44" s="155"/>
      <c r="I44" s="156"/>
      <c r="K44"/>
    </row>
    <row r="45" spans="1:11" s="64" customFormat="1" ht="16.5" thickBot="1" x14ac:dyDescent="0.3">
      <c r="A45" s="182" t="s">
        <v>437</v>
      </c>
      <c r="B45" s="161">
        <f>1/B42</f>
        <v>0.05</v>
      </c>
      <c r="E45" s="155"/>
      <c r="F45" s="155"/>
      <c r="G45" s="155"/>
      <c r="H45" s="155"/>
      <c r="I45" s="156"/>
    </row>
    <row r="46" spans="1:11" s="64" customFormat="1" ht="19.5" thickBot="1" x14ac:dyDescent="0.3">
      <c r="A46" s="182" t="s">
        <v>438</v>
      </c>
      <c r="B46" s="164">
        <f>(B39-B43)/B42</f>
        <v>225</v>
      </c>
      <c r="D46" s="169">
        <f>B46</f>
        <v>225</v>
      </c>
      <c r="E46" s="169">
        <f>D46</f>
        <v>225</v>
      </c>
      <c r="F46" s="169">
        <f t="shared" ref="F46:H46" si="28">E46</f>
        <v>225</v>
      </c>
      <c r="G46" s="169">
        <f t="shared" si="28"/>
        <v>225</v>
      </c>
      <c r="H46" s="169">
        <f t="shared" si="28"/>
        <v>225</v>
      </c>
      <c r="I46" s="170">
        <f>SUM(D46:H46)</f>
        <v>1125</v>
      </c>
    </row>
    <row r="47" spans="1:11" s="64" customFormat="1" ht="38.25" thickBot="1" x14ac:dyDescent="0.3">
      <c r="A47" s="162" t="s">
        <v>428</v>
      </c>
      <c r="B47" s="160"/>
      <c r="C47" s="58" t="s">
        <v>5</v>
      </c>
      <c r="D47" s="59" t="s">
        <v>0</v>
      </c>
      <c r="E47" s="59" t="s">
        <v>1</v>
      </c>
      <c r="F47" s="59" t="s">
        <v>2</v>
      </c>
      <c r="G47" s="59" t="s">
        <v>3</v>
      </c>
      <c r="H47" s="272" t="s">
        <v>4</v>
      </c>
      <c r="I47" s="60" t="s">
        <v>238</v>
      </c>
    </row>
    <row r="48" spans="1:11" s="64" customFormat="1" ht="15.75" x14ac:dyDescent="0.25">
      <c r="A48" s="182" t="s">
        <v>432</v>
      </c>
      <c r="B48" s="175">
        <f>D5</f>
        <v>2000</v>
      </c>
      <c r="D48" s="169">
        <f>B48</f>
        <v>2000</v>
      </c>
      <c r="E48" s="169">
        <f>D48-E54</f>
        <v>1200</v>
      </c>
      <c r="F48" s="169">
        <f>E48-F54</f>
        <v>720</v>
      </c>
      <c r="G48" s="169">
        <f>F48-G54</f>
        <v>432</v>
      </c>
      <c r="H48" s="169">
        <f>G48-H54</f>
        <v>259.2</v>
      </c>
      <c r="I48" s="156"/>
    </row>
    <row r="49" spans="1:15" s="64" customFormat="1" ht="15.75" x14ac:dyDescent="0.25">
      <c r="A49" s="182" t="s">
        <v>435</v>
      </c>
      <c r="B49" s="175" t="s">
        <v>1</v>
      </c>
      <c r="E49" s="155"/>
      <c r="F49" s="155"/>
      <c r="G49" s="155"/>
      <c r="H49" s="155"/>
      <c r="I49" s="156"/>
    </row>
    <row r="50" spans="1:15" s="64" customFormat="1" ht="106.5" customHeight="1" x14ac:dyDescent="0.25">
      <c r="A50" s="182" t="s">
        <v>429</v>
      </c>
      <c r="B50" s="270" t="s">
        <v>442</v>
      </c>
      <c r="C50" s="295" t="s">
        <v>441</v>
      </c>
      <c r="D50" s="295"/>
      <c r="E50" s="295"/>
      <c r="F50" s="295"/>
      <c r="G50" s="295"/>
      <c r="H50" s="295"/>
      <c r="I50" s="296" t="s">
        <v>559</v>
      </c>
      <c r="J50" s="296"/>
      <c r="K50" s="296"/>
      <c r="L50" s="296"/>
      <c r="M50" s="296"/>
      <c r="N50" s="296"/>
      <c r="O50" s="296"/>
    </row>
    <row r="51" spans="1:15" s="64" customFormat="1" ht="30.6" customHeight="1" x14ac:dyDescent="0.25">
      <c r="A51" s="183" t="s">
        <v>433</v>
      </c>
      <c r="B51" s="175">
        <v>5</v>
      </c>
      <c r="E51" s="155"/>
      <c r="F51" s="155"/>
      <c r="G51" s="155"/>
      <c r="H51" s="155"/>
      <c r="I51" s="297" t="s">
        <v>561</v>
      </c>
      <c r="J51" s="297"/>
      <c r="K51" s="297"/>
      <c r="L51" s="297"/>
      <c r="M51" s="297"/>
      <c r="N51" s="297"/>
      <c r="O51" s="297"/>
    </row>
    <row r="52" spans="1:15" s="64" customFormat="1" ht="27" x14ac:dyDescent="0.25">
      <c r="A52" s="183" t="s">
        <v>434</v>
      </c>
      <c r="B52" s="175">
        <v>200</v>
      </c>
      <c r="D52"/>
      <c r="E52" s="155"/>
      <c r="F52" s="155"/>
      <c r="G52" s="155"/>
      <c r="H52" s="155"/>
      <c r="I52"/>
    </row>
    <row r="53" spans="1:15" s="64" customFormat="1" ht="16.5" thickBot="1" x14ac:dyDescent="0.3">
      <c r="A53" s="182" t="s">
        <v>436</v>
      </c>
      <c r="B53" s="175">
        <f>B48-B52</f>
        <v>1800</v>
      </c>
      <c r="E53" s="155"/>
      <c r="F53" s="155"/>
      <c r="G53" s="155"/>
      <c r="H53" s="155"/>
      <c r="I53" s="156"/>
    </row>
    <row r="54" spans="1:15" s="64" customFormat="1" ht="68.25" customHeight="1" thickBot="1" x14ac:dyDescent="0.3">
      <c r="A54" s="182" t="s">
        <v>437</v>
      </c>
      <c r="B54" s="176">
        <f>2*1/B51</f>
        <v>0.4</v>
      </c>
      <c r="E54" s="169">
        <f>$B$54*B48</f>
        <v>800</v>
      </c>
      <c r="F54" s="169">
        <f>$B$54*E48</f>
        <v>480</v>
      </c>
      <c r="G54" s="169">
        <f>$B$54*F48</f>
        <v>288</v>
      </c>
      <c r="H54" s="169">
        <f>$B$54*G48</f>
        <v>172.8</v>
      </c>
      <c r="I54" s="170">
        <f>H48-B52</f>
        <v>59.199999999999989</v>
      </c>
      <c r="J54" s="293" t="s">
        <v>560</v>
      </c>
      <c r="K54" s="294"/>
      <c r="L54" s="294"/>
    </row>
    <row r="55" spans="1:15" s="64" customFormat="1" ht="50.25" customHeight="1" thickBot="1" x14ac:dyDescent="0.3">
      <c r="A55" s="182" t="s">
        <v>438</v>
      </c>
      <c r="B55" s="165">
        <f>1-(B52/B48)^(1/B51)</f>
        <v>0.36904265551980675</v>
      </c>
      <c r="E55" s="167">
        <f>(B48-B52)/B51</f>
        <v>360</v>
      </c>
      <c r="F55" s="167">
        <f>E55</f>
        <v>360</v>
      </c>
      <c r="G55" s="167">
        <f t="shared" ref="G55:H55" si="29">F55</f>
        <v>360</v>
      </c>
      <c r="H55" s="167">
        <f t="shared" si="29"/>
        <v>360</v>
      </c>
      <c r="I55" s="168">
        <f>H55</f>
        <v>360</v>
      </c>
      <c r="J55" s="293" t="s">
        <v>562</v>
      </c>
      <c r="K55" s="294"/>
      <c r="L55" s="294"/>
      <c r="M55"/>
    </row>
    <row r="56" spans="1:15" s="64" customFormat="1" ht="42.75" thickBot="1" x14ac:dyDescent="0.3">
      <c r="A56" s="230" t="s">
        <v>426</v>
      </c>
      <c r="B56" s="160"/>
      <c r="C56" s="58" t="s">
        <v>5</v>
      </c>
      <c r="D56" s="59" t="s">
        <v>0</v>
      </c>
      <c r="E56" s="59" t="s">
        <v>1</v>
      </c>
      <c r="F56" s="59" t="s">
        <v>2</v>
      </c>
      <c r="G56" s="59" t="s">
        <v>3</v>
      </c>
      <c r="H56" s="272" t="s">
        <v>4</v>
      </c>
      <c r="I56" s="60" t="s">
        <v>238</v>
      </c>
    </row>
    <row r="57" spans="1:15" s="64" customFormat="1" ht="15.75" x14ac:dyDescent="0.25">
      <c r="A57" s="182" t="s">
        <v>432</v>
      </c>
      <c r="B57" s="175">
        <v>1000</v>
      </c>
      <c r="E57" s="175">
        <f>B57</f>
        <v>1000</v>
      </c>
      <c r="F57" s="175">
        <f>E57-F65</f>
        <v>666.66666666666674</v>
      </c>
      <c r="G57" s="175">
        <f t="shared" ref="G57:J57" si="30">F57-G65</f>
        <v>400.00000000000006</v>
      </c>
      <c r="H57" s="175">
        <f t="shared" si="30"/>
        <v>200.00000000000006</v>
      </c>
      <c r="I57" s="175">
        <f>H57-I65</f>
        <v>66.666666666666714</v>
      </c>
      <c r="J57" s="175">
        <f t="shared" si="30"/>
        <v>0</v>
      </c>
    </row>
    <row r="58" spans="1:15" s="64" customFormat="1" ht="15.75" x14ac:dyDescent="0.25">
      <c r="A58" s="182" t="s">
        <v>435</v>
      </c>
      <c r="B58" s="175" t="s">
        <v>2</v>
      </c>
      <c r="E58" s="155"/>
      <c r="F58" s="155"/>
      <c r="G58" s="155"/>
      <c r="H58" s="155"/>
      <c r="I58" s="156"/>
    </row>
    <row r="59" spans="1:15" s="64" customFormat="1" ht="51" x14ac:dyDescent="0.25">
      <c r="A59" s="182" t="s">
        <v>429</v>
      </c>
      <c r="B59" s="270" t="s">
        <v>443</v>
      </c>
      <c r="E59" s="295" t="s">
        <v>440</v>
      </c>
      <c r="F59" s="295"/>
      <c r="G59" s="295"/>
      <c r="H59" s="295"/>
      <c r="I59" s="295"/>
      <c r="J59" s="295"/>
    </row>
    <row r="60" spans="1:15" s="64" customFormat="1" ht="27" x14ac:dyDescent="0.25">
      <c r="A60" s="183" t="s">
        <v>433</v>
      </c>
      <c r="B60" s="175">
        <v>5</v>
      </c>
    </row>
    <row r="61" spans="1:15" s="64" customFormat="1" ht="27" x14ac:dyDescent="0.25">
      <c r="A61" s="183" t="s">
        <v>434</v>
      </c>
      <c r="B61" s="175">
        <v>0</v>
      </c>
      <c r="E61" s="155"/>
      <c r="F61" s="155"/>
      <c r="G61" s="155"/>
      <c r="H61" s="155"/>
      <c r="I61" s="156"/>
      <c r="L61"/>
    </row>
    <row r="62" spans="1:15" s="64" customFormat="1" ht="15.75" x14ac:dyDescent="0.25">
      <c r="A62" s="182" t="s">
        <v>436</v>
      </c>
      <c r="B62" s="175">
        <f>B57-B61</f>
        <v>1000</v>
      </c>
      <c r="E62" s="155"/>
      <c r="F62" s="155"/>
      <c r="G62" s="155"/>
      <c r="H62" s="155"/>
      <c r="I62" s="156"/>
    </row>
    <row r="63" spans="1:15" s="64" customFormat="1" ht="15.75" x14ac:dyDescent="0.25">
      <c r="A63" s="182" t="s">
        <v>313</v>
      </c>
      <c r="B63" s="175" t="s">
        <v>149</v>
      </c>
      <c r="E63" s="155"/>
      <c r="F63" s="175">
        <v>1</v>
      </c>
      <c r="G63" s="175">
        <v>2</v>
      </c>
      <c r="H63" s="175">
        <v>3</v>
      </c>
      <c r="I63" s="175">
        <v>4</v>
      </c>
      <c r="J63" s="175">
        <v>5</v>
      </c>
    </row>
    <row r="64" spans="1:15" s="64" customFormat="1" ht="16.5" thickBot="1" x14ac:dyDescent="0.3">
      <c r="A64" s="182" t="s">
        <v>439</v>
      </c>
      <c r="B64" s="175" t="s">
        <v>150</v>
      </c>
      <c r="E64" s="155"/>
      <c r="F64" s="181">
        <f>($J$63-F63+1)/(($J$63^2+$J$63)/2)</f>
        <v>0.33333333333333331</v>
      </c>
      <c r="G64" s="181">
        <f t="shared" ref="G64:J64" si="31">($J$63-G63+1)/(($J$63^2+$J$63)/2)</f>
        <v>0.26666666666666666</v>
      </c>
      <c r="H64" s="181">
        <f t="shared" si="31"/>
        <v>0.2</v>
      </c>
      <c r="I64" s="181">
        <f t="shared" si="31"/>
        <v>0.13333333333333333</v>
      </c>
      <c r="J64" s="181">
        <f t="shared" si="31"/>
        <v>6.6666666666666666E-2</v>
      </c>
    </row>
    <row r="65" spans="1:10" s="64" customFormat="1" ht="16.5" thickBot="1" x14ac:dyDescent="0.3">
      <c r="A65" s="182" t="s">
        <v>438</v>
      </c>
      <c r="B65" s="171" t="s">
        <v>151</v>
      </c>
      <c r="C65" s="172"/>
      <c r="E65" s="155"/>
      <c r="F65" s="169">
        <f>$B$62*F64</f>
        <v>333.33333333333331</v>
      </c>
      <c r="G65" s="169">
        <f t="shared" ref="G65:J65" si="32">$B$62*G64</f>
        <v>266.66666666666669</v>
      </c>
      <c r="H65" s="169">
        <f t="shared" si="32"/>
        <v>200</v>
      </c>
      <c r="I65" s="169">
        <f t="shared" si="32"/>
        <v>133.33333333333334</v>
      </c>
      <c r="J65" s="169">
        <f t="shared" si="32"/>
        <v>66.666666666666671</v>
      </c>
    </row>
    <row r="66" spans="1:10" s="64" customFormat="1" ht="38.25" thickBot="1" x14ac:dyDescent="0.3">
      <c r="A66" s="162" t="s">
        <v>427</v>
      </c>
      <c r="B66" s="160"/>
      <c r="C66" s="58" t="s">
        <v>5</v>
      </c>
      <c r="D66" s="59" t="s">
        <v>0</v>
      </c>
      <c r="E66" s="59" t="s">
        <v>1</v>
      </c>
      <c r="F66" s="59" t="s">
        <v>2</v>
      </c>
      <c r="G66" s="59" t="s">
        <v>3</v>
      </c>
      <c r="H66" s="272" t="s">
        <v>4</v>
      </c>
      <c r="I66" s="60" t="s">
        <v>238</v>
      </c>
    </row>
    <row r="67" spans="1:10" s="64" customFormat="1" ht="16.5" thickBot="1" x14ac:dyDescent="0.3">
      <c r="A67" s="182" t="s">
        <v>432</v>
      </c>
      <c r="B67" s="175">
        <v>4000</v>
      </c>
      <c r="E67" s="175">
        <f>B67</f>
        <v>4000</v>
      </c>
      <c r="F67" s="175">
        <f>E67-F75</f>
        <v>3437.5</v>
      </c>
      <c r="G67" s="175">
        <f t="shared" ref="G67:H67" si="33">F67-G75</f>
        <v>2762.5</v>
      </c>
      <c r="H67" s="175">
        <f t="shared" si="33"/>
        <v>1975</v>
      </c>
      <c r="I67" s="177">
        <f>I75</f>
        <v>900</v>
      </c>
      <c r="J67" s="175"/>
    </row>
    <row r="68" spans="1:10" s="64" customFormat="1" ht="15.75" x14ac:dyDescent="0.25">
      <c r="A68" s="182" t="s">
        <v>435</v>
      </c>
      <c r="B68" s="175" t="s">
        <v>2</v>
      </c>
      <c r="E68" s="155"/>
      <c r="F68" s="155"/>
      <c r="G68" s="155"/>
      <c r="H68" s="155"/>
      <c r="I68" s="156"/>
    </row>
    <row r="69" spans="1:10" s="64" customFormat="1" ht="63.75" x14ac:dyDescent="0.25">
      <c r="A69" s="182" t="s">
        <v>429</v>
      </c>
      <c r="B69" s="270" t="s">
        <v>444</v>
      </c>
      <c r="C69" s="295" t="s">
        <v>445</v>
      </c>
      <c r="D69" s="295"/>
      <c r="E69" s="295"/>
      <c r="F69" s="295"/>
      <c r="G69" s="295"/>
      <c r="H69" s="295"/>
    </row>
    <row r="70" spans="1:10" s="64" customFormat="1" ht="27" x14ac:dyDescent="0.25">
      <c r="A70" s="183" t="s">
        <v>446</v>
      </c>
      <c r="B70" s="175">
        <v>800</v>
      </c>
      <c r="I70"/>
    </row>
    <row r="71" spans="1:10" s="64" customFormat="1" ht="27" x14ac:dyDescent="0.25">
      <c r="A71" s="183" t="s">
        <v>434</v>
      </c>
      <c r="B71" s="175">
        <v>400</v>
      </c>
      <c r="E71" s="155"/>
      <c r="F71" s="155"/>
      <c r="G71" s="155"/>
      <c r="H71" s="155"/>
      <c r="I71" s="156"/>
    </row>
    <row r="72" spans="1:10" s="64" customFormat="1" ht="15.75" x14ac:dyDescent="0.25">
      <c r="A72" s="182" t="s">
        <v>436</v>
      </c>
      <c r="B72" s="175">
        <f>B67-B71</f>
        <v>3600</v>
      </c>
      <c r="E72" s="155"/>
      <c r="F72" s="155"/>
      <c r="G72" s="155"/>
      <c r="H72" s="155"/>
      <c r="I72" s="156"/>
    </row>
    <row r="73" spans="1:10" s="64" customFormat="1" ht="27" x14ac:dyDescent="0.25">
      <c r="A73" s="183" t="s">
        <v>447</v>
      </c>
      <c r="B73" s="175"/>
      <c r="C73" s="169"/>
      <c r="D73" s="169"/>
      <c r="E73" s="179"/>
      <c r="F73" s="169">
        <f>F7</f>
        <v>125</v>
      </c>
      <c r="G73" s="169">
        <f>G7</f>
        <v>150</v>
      </c>
      <c r="H73" s="169">
        <f>H7</f>
        <v>175</v>
      </c>
      <c r="I73" s="169">
        <v>200</v>
      </c>
    </row>
    <row r="74" spans="1:10" s="64" customFormat="1" ht="16.5" thickBot="1" x14ac:dyDescent="0.3">
      <c r="A74" s="29" t="s">
        <v>448</v>
      </c>
      <c r="B74" s="29"/>
      <c r="C74" s="29">
        <f>C40</f>
        <v>0</v>
      </c>
      <c r="D74" s="29">
        <f>D7</f>
        <v>75</v>
      </c>
      <c r="E74" s="29">
        <f>E7+D74</f>
        <v>105</v>
      </c>
      <c r="F74" s="29">
        <f>F7+E74</f>
        <v>230</v>
      </c>
      <c r="G74" s="29">
        <f>G7+F74</f>
        <v>380</v>
      </c>
      <c r="H74" s="29">
        <f>H7+G74</f>
        <v>555</v>
      </c>
      <c r="I74" s="169">
        <f>H74+I73</f>
        <v>755</v>
      </c>
    </row>
    <row r="75" spans="1:10" s="64" customFormat="1" ht="16.5" thickBot="1" x14ac:dyDescent="0.3">
      <c r="A75" s="182" t="s">
        <v>438</v>
      </c>
      <c r="B75" s="175"/>
      <c r="C75" s="169"/>
      <c r="D75" s="169"/>
      <c r="E75" s="179"/>
      <c r="F75" s="169">
        <f>IF(F74&lt;$B$70,$B$72*F73/$B$70,"write-off")</f>
        <v>562.5</v>
      </c>
      <c r="G75" s="169">
        <f t="shared" ref="G75:I75" si="34">IF(G74&lt;$B$70,$B$72*G73/$B$70,"write-off")</f>
        <v>675</v>
      </c>
      <c r="H75" s="169">
        <f t="shared" si="34"/>
        <v>787.5</v>
      </c>
      <c r="I75" s="180">
        <f t="shared" si="34"/>
        <v>900</v>
      </c>
      <c r="J75" s="163"/>
    </row>
    <row r="76" spans="1:10" s="64" customFormat="1" ht="38.25" thickBot="1" x14ac:dyDescent="0.3">
      <c r="A76" s="184" t="s">
        <v>449</v>
      </c>
      <c r="C76" s="58" t="s">
        <v>5</v>
      </c>
      <c r="D76" s="59" t="s">
        <v>0</v>
      </c>
      <c r="E76" s="59" t="s">
        <v>1</v>
      </c>
      <c r="F76" s="59" t="s">
        <v>2</v>
      </c>
      <c r="G76" s="59" t="s">
        <v>3</v>
      </c>
      <c r="H76" s="59" t="s">
        <v>4</v>
      </c>
      <c r="I76" s="60" t="s">
        <v>238</v>
      </c>
    </row>
    <row r="77" spans="1:10" s="64" customFormat="1" ht="37.5" x14ac:dyDescent="0.25">
      <c r="A77" s="271" t="s">
        <v>450</v>
      </c>
      <c r="B77" s="160"/>
      <c r="C77" s="75">
        <f>SUM(C79:C82)</f>
        <v>5000</v>
      </c>
      <c r="D77" s="75">
        <f t="shared" ref="D77:H77" si="35">SUM(D79:D82)</f>
        <v>6775</v>
      </c>
      <c r="E77" s="75">
        <f t="shared" si="35"/>
        <v>10750</v>
      </c>
      <c r="F77" s="75">
        <f t="shared" si="35"/>
        <v>9149.1666666666679</v>
      </c>
      <c r="G77" s="75">
        <f t="shared" si="35"/>
        <v>7694.5</v>
      </c>
      <c r="H77" s="75">
        <f t="shared" si="35"/>
        <v>6309.2</v>
      </c>
      <c r="I77" s="156"/>
    </row>
    <row r="78" spans="1:10" s="64" customFormat="1" x14ac:dyDescent="0.25">
      <c r="A78" s="158" t="s">
        <v>451</v>
      </c>
      <c r="B78" s="160"/>
      <c r="E78" s="155"/>
      <c r="F78" s="155"/>
      <c r="G78" s="155"/>
      <c r="H78" s="155"/>
      <c r="I78" s="156"/>
    </row>
    <row r="79" spans="1:10" s="64" customFormat="1" ht="15.75" x14ac:dyDescent="0.25">
      <c r="A79" s="182" t="s">
        <v>425</v>
      </c>
      <c r="B79" s="160"/>
      <c r="C79" s="175">
        <f>C39</f>
        <v>5000</v>
      </c>
      <c r="D79" s="175">
        <f t="shared" ref="D79:H79" si="36">D39</f>
        <v>4775</v>
      </c>
      <c r="E79" s="175">
        <f t="shared" si="36"/>
        <v>4550</v>
      </c>
      <c r="F79" s="175">
        <f t="shared" si="36"/>
        <v>4325</v>
      </c>
      <c r="G79" s="175">
        <f t="shared" si="36"/>
        <v>4100</v>
      </c>
      <c r="H79" s="175">
        <f t="shared" si="36"/>
        <v>3875</v>
      </c>
      <c r="I79" s="156"/>
    </row>
    <row r="80" spans="1:10" s="64" customFormat="1" ht="15.75" x14ac:dyDescent="0.25">
      <c r="A80" s="182" t="s">
        <v>428</v>
      </c>
      <c r="B80" s="160"/>
      <c r="C80" s="175">
        <f>C48</f>
        <v>0</v>
      </c>
      <c r="D80" s="175">
        <f t="shared" ref="D80:H80" si="37">D48</f>
        <v>2000</v>
      </c>
      <c r="E80" s="175">
        <f t="shared" si="37"/>
        <v>1200</v>
      </c>
      <c r="F80" s="175">
        <f t="shared" si="37"/>
        <v>720</v>
      </c>
      <c r="G80" s="175">
        <f t="shared" si="37"/>
        <v>432</v>
      </c>
      <c r="H80" s="175">
        <f t="shared" si="37"/>
        <v>259.2</v>
      </c>
      <c r="I80" s="156"/>
    </row>
    <row r="81" spans="1:9" s="64" customFormat="1" ht="15.75" x14ac:dyDescent="0.25">
      <c r="A81" s="182" t="s">
        <v>452</v>
      </c>
      <c r="B81" s="160"/>
      <c r="C81" s="175">
        <f>C57</f>
        <v>0</v>
      </c>
      <c r="D81" s="175">
        <f t="shared" ref="D81:H81" si="38">D57</f>
        <v>0</v>
      </c>
      <c r="E81" s="175">
        <f t="shared" si="38"/>
        <v>1000</v>
      </c>
      <c r="F81" s="175">
        <f t="shared" si="38"/>
        <v>666.66666666666674</v>
      </c>
      <c r="G81" s="175">
        <f t="shared" si="38"/>
        <v>400.00000000000006</v>
      </c>
      <c r="H81" s="175">
        <f t="shared" si="38"/>
        <v>200.00000000000006</v>
      </c>
      <c r="I81" s="156"/>
    </row>
    <row r="82" spans="1:9" s="64" customFormat="1" ht="16.5" thickBot="1" x14ac:dyDescent="0.3">
      <c r="A82" s="182" t="s">
        <v>427</v>
      </c>
      <c r="B82" s="160"/>
      <c r="C82" s="175">
        <f>C67</f>
        <v>0</v>
      </c>
      <c r="D82" s="175">
        <f t="shared" ref="D82:H82" si="39">D67</f>
        <v>0</v>
      </c>
      <c r="E82" s="175">
        <f t="shared" si="39"/>
        <v>4000</v>
      </c>
      <c r="F82" s="175">
        <f t="shared" si="39"/>
        <v>3437.5</v>
      </c>
      <c r="G82" s="175">
        <f t="shared" si="39"/>
        <v>2762.5</v>
      </c>
      <c r="H82" s="175">
        <f t="shared" si="39"/>
        <v>1975</v>
      </c>
      <c r="I82" s="156"/>
    </row>
    <row r="83" spans="1:9" s="64" customFormat="1" ht="19.5" thickBot="1" x14ac:dyDescent="0.3">
      <c r="A83" s="157" t="s">
        <v>453</v>
      </c>
      <c r="B83" s="160"/>
      <c r="C83" s="75">
        <f>SUM(C85:C88)</f>
        <v>0</v>
      </c>
      <c r="D83" s="75">
        <f t="shared" ref="D83:H83" si="40">SUM(D85:D88)</f>
        <v>225</v>
      </c>
      <c r="E83" s="75">
        <f t="shared" si="40"/>
        <v>1025</v>
      </c>
      <c r="F83" s="75">
        <f t="shared" si="40"/>
        <v>1600.8333333333333</v>
      </c>
      <c r="G83" s="75">
        <f t="shared" si="40"/>
        <v>1454.6666666666667</v>
      </c>
      <c r="H83" s="75">
        <f t="shared" si="40"/>
        <v>1385.3</v>
      </c>
      <c r="I83" s="185">
        <f>SUM(C83:H83)</f>
        <v>5690.8</v>
      </c>
    </row>
    <row r="84" spans="1:9" s="64" customFormat="1" x14ac:dyDescent="0.25">
      <c r="A84" s="158" t="s">
        <v>451</v>
      </c>
      <c r="B84" s="160"/>
      <c r="E84" s="155"/>
      <c r="F84" s="155"/>
      <c r="G84" s="155"/>
      <c r="H84" s="155"/>
      <c r="I84" s="156"/>
    </row>
    <row r="85" spans="1:9" s="64" customFormat="1" ht="15.75" x14ac:dyDescent="0.25">
      <c r="A85" s="182" t="s">
        <v>425</v>
      </c>
      <c r="B85" s="160"/>
      <c r="C85" s="175">
        <f t="shared" ref="C85:H85" si="41">C46</f>
        <v>0</v>
      </c>
      <c r="D85" s="175">
        <f t="shared" si="41"/>
        <v>225</v>
      </c>
      <c r="E85" s="175">
        <f t="shared" si="41"/>
        <v>225</v>
      </c>
      <c r="F85" s="175">
        <f t="shared" si="41"/>
        <v>225</v>
      </c>
      <c r="G85" s="175">
        <f t="shared" si="41"/>
        <v>225</v>
      </c>
      <c r="H85" s="175">
        <f t="shared" si="41"/>
        <v>225</v>
      </c>
      <c r="I85" s="156"/>
    </row>
    <row r="86" spans="1:9" s="64" customFormat="1" ht="15.75" x14ac:dyDescent="0.25">
      <c r="A86" s="182" t="s">
        <v>428</v>
      </c>
      <c r="B86" s="160"/>
      <c r="C86" s="175">
        <f t="shared" ref="C86:H86" si="42">C54</f>
        <v>0</v>
      </c>
      <c r="D86" s="175">
        <f t="shared" si="42"/>
        <v>0</v>
      </c>
      <c r="E86" s="175">
        <f t="shared" si="42"/>
        <v>800</v>
      </c>
      <c r="F86" s="175">
        <f t="shared" si="42"/>
        <v>480</v>
      </c>
      <c r="G86" s="175">
        <f t="shared" si="42"/>
        <v>288</v>
      </c>
      <c r="H86" s="175">
        <f t="shared" si="42"/>
        <v>172.8</v>
      </c>
      <c r="I86" s="156"/>
    </row>
    <row r="87" spans="1:9" s="64" customFormat="1" ht="15.75" x14ac:dyDescent="0.25">
      <c r="A87" s="182" t="s">
        <v>452</v>
      </c>
      <c r="B87" s="160"/>
      <c r="C87" s="175">
        <f t="shared" ref="C87:H87" si="43">C65</f>
        <v>0</v>
      </c>
      <c r="D87" s="175">
        <f t="shared" si="43"/>
        <v>0</v>
      </c>
      <c r="E87" s="175">
        <f t="shared" si="43"/>
        <v>0</v>
      </c>
      <c r="F87" s="175">
        <f t="shared" si="43"/>
        <v>333.33333333333331</v>
      </c>
      <c r="G87" s="175">
        <f t="shared" si="43"/>
        <v>266.66666666666669</v>
      </c>
      <c r="H87" s="175">
        <f t="shared" si="43"/>
        <v>200</v>
      </c>
      <c r="I87" s="156"/>
    </row>
    <row r="88" spans="1:9" s="64" customFormat="1" ht="16.5" thickBot="1" x14ac:dyDescent="0.3">
      <c r="A88" s="182" t="s">
        <v>427</v>
      </c>
      <c r="B88" s="160"/>
      <c r="C88" s="175">
        <f t="shared" ref="C88:H88" si="44">C75</f>
        <v>0</v>
      </c>
      <c r="D88" s="175">
        <f t="shared" si="44"/>
        <v>0</v>
      </c>
      <c r="E88" s="175">
        <f t="shared" si="44"/>
        <v>0</v>
      </c>
      <c r="F88" s="175">
        <f t="shared" si="44"/>
        <v>562.5</v>
      </c>
      <c r="G88" s="175">
        <f t="shared" si="44"/>
        <v>675</v>
      </c>
      <c r="H88" s="175">
        <f t="shared" si="44"/>
        <v>787.5</v>
      </c>
      <c r="I88" s="156"/>
    </row>
    <row r="89" spans="1:9" s="64" customFormat="1" ht="86.25" thickBot="1" x14ac:dyDescent="0.3">
      <c r="A89" s="174" t="s">
        <v>454</v>
      </c>
      <c r="C89" s="58" t="s">
        <v>5</v>
      </c>
      <c r="D89" s="59" t="s">
        <v>0</v>
      </c>
      <c r="E89" s="59" t="s">
        <v>1</v>
      </c>
      <c r="F89" s="59" t="s">
        <v>2</v>
      </c>
      <c r="G89" s="59" t="s">
        <v>3</v>
      </c>
      <c r="H89" s="59" t="s">
        <v>4</v>
      </c>
      <c r="I89" s="60" t="s">
        <v>238</v>
      </c>
    </row>
    <row r="90" spans="1:9" s="64" customFormat="1" ht="21.75" thickBot="1" x14ac:dyDescent="0.3">
      <c r="A90" s="230" t="s">
        <v>490</v>
      </c>
      <c r="B90" s="160"/>
      <c r="E90" s="155"/>
      <c r="F90" s="155"/>
      <c r="G90" s="155"/>
      <c r="H90" s="155"/>
      <c r="I90" s="156"/>
    </row>
    <row r="91" spans="1:9" s="64" customFormat="1" ht="15.75" x14ac:dyDescent="0.25">
      <c r="A91" s="182" t="s">
        <v>455</v>
      </c>
      <c r="B91" s="160"/>
      <c r="C91" s="175">
        <f t="shared" ref="C91:H91" si="45">C7</f>
        <v>0</v>
      </c>
      <c r="D91" s="175">
        <f t="shared" si="45"/>
        <v>75</v>
      </c>
      <c r="E91" s="175">
        <f t="shared" si="45"/>
        <v>30</v>
      </c>
      <c r="F91" s="175">
        <f t="shared" si="45"/>
        <v>125</v>
      </c>
      <c r="G91" s="175">
        <f t="shared" si="45"/>
        <v>150</v>
      </c>
      <c r="H91" s="175">
        <f t="shared" si="45"/>
        <v>175</v>
      </c>
      <c r="I91" s="186">
        <f>SUM(C91:H91)</f>
        <v>555</v>
      </c>
    </row>
    <row r="92" spans="1:9" s="64" customFormat="1" ht="15.75" x14ac:dyDescent="0.25">
      <c r="A92" s="182" t="s">
        <v>456</v>
      </c>
      <c r="B92" s="160"/>
      <c r="C92" s="187">
        <f>C91/365</f>
        <v>0</v>
      </c>
      <c r="D92" s="187">
        <f t="shared" ref="D92:H92" si="46">D91/365</f>
        <v>0.20547945205479451</v>
      </c>
      <c r="E92" s="187">
        <f t="shared" si="46"/>
        <v>8.2191780821917804E-2</v>
      </c>
      <c r="F92" s="187">
        <f t="shared" si="46"/>
        <v>0.34246575342465752</v>
      </c>
      <c r="G92" s="187">
        <f t="shared" si="46"/>
        <v>0.41095890410958902</v>
      </c>
      <c r="H92" s="187">
        <f t="shared" si="46"/>
        <v>0.47945205479452052</v>
      </c>
      <c r="I92" s="156"/>
    </row>
    <row r="93" spans="1:9" s="64" customFormat="1" ht="31.5" x14ac:dyDescent="0.25">
      <c r="A93" s="183" t="s">
        <v>457</v>
      </c>
      <c r="B93" s="160"/>
      <c r="C93" s="189">
        <f>C92*12</f>
        <v>0</v>
      </c>
      <c r="D93" s="190">
        <f t="shared" ref="D93:H93" si="47">D92*12</f>
        <v>2.4657534246575343</v>
      </c>
      <c r="E93" s="190">
        <f t="shared" si="47"/>
        <v>0.98630136986301364</v>
      </c>
      <c r="F93" s="190">
        <f t="shared" si="47"/>
        <v>4.10958904109589</v>
      </c>
      <c r="G93" s="190">
        <f t="shared" si="47"/>
        <v>4.9315068493150687</v>
      </c>
      <c r="H93" s="190">
        <f t="shared" si="47"/>
        <v>5.7534246575342465</v>
      </c>
      <c r="I93" s="156"/>
    </row>
    <row r="94" spans="1:9" s="64" customFormat="1" ht="31.5" x14ac:dyDescent="0.25">
      <c r="A94" s="183" t="s">
        <v>460</v>
      </c>
      <c r="B94" s="160"/>
      <c r="C94" s="189">
        <f t="shared" ref="C94:H94" si="48">C16</f>
        <v>0</v>
      </c>
      <c r="D94" s="189">
        <f t="shared" si="48"/>
        <v>136.66666666666666</v>
      </c>
      <c r="E94" s="189">
        <f t="shared" si="48"/>
        <v>217.7</v>
      </c>
      <c r="F94" s="189">
        <f t="shared" si="48"/>
        <v>150.202</v>
      </c>
      <c r="G94" s="189">
        <f t="shared" si="48"/>
        <v>153.26010000000002</v>
      </c>
      <c r="H94" s="189">
        <f t="shared" si="48"/>
        <v>156.83370450000004</v>
      </c>
      <c r="I94" s="156"/>
    </row>
    <row r="95" spans="1:9" s="64" customFormat="1" ht="32.25" thickBot="1" x14ac:dyDescent="0.3">
      <c r="A95" s="183" t="s">
        <v>461</v>
      </c>
      <c r="B95" s="160"/>
      <c r="C95" s="189">
        <f>C94*C93</f>
        <v>0</v>
      </c>
      <c r="D95" s="189">
        <f t="shared" ref="D95:H95" si="49">D94*D93</f>
        <v>336.98630136986299</v>
      </c>
      <c r="E95" s="189">
        <f t="shared" si="49"/>
        <v>214.71780821917807</v>
      </c>
      <c r="F95" s="189">
        <f t="shared" si="49"/>
        <v>617.26849315068489</v>
      </c>
      <c r="G95" s="189">
        <f t="shared" si="49"/>
        <v>755.80323287671251</v>
      </c>
      <c r="H95" s="189">
        <f t="shared" si="49"/>
        <v>902.33090260273991</v>
      </c>
      <c r="I95" s="156"/>
    </row>
    <row r="96" spans="1:9" s="64" customFormat="1" ht="27" thickBot="1" x14ac:dyDescent="0.3">
      <c r="A96" s="162" t="s">
        <v>463</v>
      </c>
      <c r="B96" s="160"/>
      <c r="C96" s="58" t="s">
        <v>5</v>
      </c>
      <c r="D96" s="59" t="s">
        <v>0</v>
      </c>
      <c r="E96" s="59" t="s">
        <v>1</v>
      </c>
      <c r="F96" s="59" t="s">
        <v>2</v>
      </c>
      <c r="G96" s="59" t="s">
        <v>3</v>
      </c>
      <c r="H96" s="272" t="s">
        <v>4</v>
      </c>
      <c r="I96" s="156"/>
    </row>
    <row r="97" spans="1:9" s="64" customFormat="1" ht="15.75" x14ac:dyDescent="0.25">
      <c r="A97" s="182" t="s">
        <v>165</v>
      </c>
      <c r="B97" s="160"/>
      <c r="C97" s="175">
        <f>C91</f>
        <v>0</v>
      </c>
      <c r="D97" s="175">
        <f t="shared" ref="D97:H97" si="50">D91</f>
        <v>75</v>
      </c>
      <c r="E97" s="175">
        <f t="shared" si="50"/>
        <v>30</v>
      </c>
      <c r="F97" s="175">
        <f t="shared" si="50"/>
        <v>125</v>
      </c>
      <c r="G97" s="175">
        <f t="shared" si="50"/>
        <v>150</v>
      </c>
      <c r="H97" s="175">
        <f t="shared" si="50"/>
        <v>175</v>
      </c>
      <c r="I97" s="186">
        <f>SUM(C97:H97)</f>
        <v>555</v>
      </c>
    </row>
    <row r="98" spans="1:9" s="64" customFormat="1" ht="15.75" x14ac:dyDescent="0.25">
      <c r="A98" s="182" t="s">
        <v>166</v>
      </c>
      <c r="B98" s="160"/>
      <c r="C98" s="187">
        <f>C92</f>
        <v>0</v>
      </c>
      <c r="D98" s="187">
        <f t="shared" ref="D98:H98" si="51">D92</f>
        <v>0.20547945205479451</v>
      </c>
      <c r="E98" s="187">
        <f t="shared" si="51"/>
        <v>8.2191780821917804E-2</v>
      </c>
      <c r="F98" s="187">
        <f t="shared" si="51"/>
        <v>0.34246575342465752</v>
      </c>
      <c r="G98" s="187">
        <f t="shared" si="51"/>
        <v>0.41095890410958902</v>
      </c>
      <c r="H98" s="187">
        <f t="shared" si="51"/>
        <v>0.47945205479452052</v>
      </c>
      <c r="I98" s="156"/>
    </row>
    <row r="99" spans="1:9" s="64" customFormat="1" ht="31.5" x14ac:dyDescent="0.25">
      <c r="A99" s="183" t="s">
        <v>169</v>
      </c>
      <c r="B99" s="160"/>
      <c r="C99" s="189">
        <f>C98*12</f>
        <v>0</v>
      </c>
      <c r="D99" s="190">
        <f t="shared" ref="D99" si="52">D98*12</f>
        <v>2.4657534246575343</v>
      </c>
      <c r="E99" s="190">
        <f t="shared" ref="E99" si="53">E98*12</f>
        <v>0.98630136986301364</v>
      </c>
      <c r="F99" s="190">
        <f t="shared" ref="F99" si="54">F98*12</f>
        <v>4.10958904109589</v>
      </c>
      <c r="G99" s="190">
        <f t="shared" ref="G99" si="55">G98*12</f>
        <v>4.9315068493150687</v>
      </c>
      <c r="H99" s="190">
        <f t="shared" ref="H99" si="56">H98*12</f>
        <v>5.7534246575342465</v>
      </c>
      <c r="I99" s="156"/>
    </row>
    <row r="100" spans="1:9" s="64" customFormat="1" ht="31.5" x14ac:dyDescent="0.25">
      <c r="A100" s="183" t="s">
        <v>174</v>
      </c>
      <c r="B100" s="160"/>
      <c r="C100" s="189">
        <f t="shared" ref="C100:H100" si="57">C15</f>
        <v>0</v>
      </c>
      <c r="D100" s="189">
        <f t="shared" si="57"/>
        <v>110</v>
      </c>
      <c r="E100" s="189">
        <f t="shared" si="57"/>
        <v>117.7</v>
      </c>
      <c r="F100" s="189">
        <f t="shared" si="57"/>
        <v>124.76200000000001</v>
      </c>
      <c r="G100" s="189">
        <f t="shared" si="57"/>
        <v>131.00010000000003</v>
      </c>
      <c r="H100" s="189">
        <f t="shared" si="57"/>
        <v>136.89510450000003</v>
      </c>
      <c r="I100" s="156"/>
    </row>
    <row r="101" spans="1:9" s="64" customFormat="1" ht="16.5" thickBot="1" x14ac:dyDescent="0.3">
      <c r="A101" s="182" t="s">
        <v>167</v>
      </c>
      <c r="B101" s="160"/>
      <c r="C101" s="189">
        <f>C100*C99</f>
        <v>0</v>
      </c>
      <c r="D101" s="189">
        <f t="shared" ref="D101" si="58">D100*D99</f>
        <v>271.23287671232879</v>
      </c>
      <c r="E101" s="189">
        <f t="shared" ref="E101" si="59">E100*E99</f>
        <v>116.08767123287672</v>
      </c>
      <c r="F101" s="189">
        <f t="shared" ref="F101" si="60">F100*F99</f>
        <v>512.72054794520545</v>
      </c>
      <c r="G101" s="189">
        <f t="shared" ref="G101" si="61">G100*G99</f>
        <v>646.02789041095912</v>
      </c>
      <c r="H101" s="189">
        <f t="shared" ref="H101" si="62">H100*H99</f>
        <v>787.61566972602759</v>
      </c>
      <c r="I101" s="156"/>
    </row>
    <row r="102" spans="1:9" s="64" customFormat="1" ht="27" thickBot="1" x14ac:dyDescent="0.3">
      <c r="A102" s="162" t="s">
        <v>464</v>
      </c>
      <c r="B102" s="160"/>
      <c r="C102" s="58" t="s">
        <v>5</v>
      </c>
      <c r="D102" s="59" t="s">
        <v>0</v>
      </c>
      <c r="E102" s="59" t="s">
        <v>1</v>
      </c>
      <c r="F102" s="59" t="s">
        <v>2</v>
      </c>
      <c r="G102" s="59" t="s">
        <v>3</v>
      </c>
      <c r="H102" s="272" t="s">
        <v>4</v>
      </c>
      <c r="I102" s="156"/>
    </row>
    <row r="103" spans="1:9" s="64" customFormat="1" ht="31.5" x14ac:dyDescent="0.25">
      <c r="A103" s="183" t="s">
        <v>465</v>
      </c>
      <c r="B103" s="188"/>
      <c r="C103" s="189">
        <f t="shared" ref="C103:H103" si="63">-C14/12</f>
        <v>0</v>
      </c>
      <c r="D103" s="189">
        <f t="shared" si="63"/>
        <v>687.5</v>
      </c>
      <c r="E103" s="189">
        <f t="shared" si="63"/>
        <v>294.25</v>
      </c>
      <c r="F103" s="189">
        <f t="shared" si="63"/>
        <v>1299.6041666666667</v>
      </c>
      <c r="G103" s="189">
        <f t="shared" si="63"/>
        <v>1637.5012500000003</v>
      </c>
      <c r="H103" s="189">
        <f t="shared" si="63"/>
        <v>1996.3869406250005</v>
      </c>
      <c r="I103" s="156"/>
    </row>
    <row r="104" spans="1:9" s="64" customFormat="1" ht="32.25" thickBot="1" x14ac:dyDescent="0.3">
      <c r="A104" s="183" t="s">
        <v>466</v>
      </c>
      <c r="B104" s="188" t="s">
        <v>467</v>
      </c>
      <c r="C104" s="189">
        <f>C103</f>
        <v>0</v>
      </c>
      <c r="D104" s="189">
        <f>D103</f>
        <v>687.5</v>
      </c>
      <c r="E104" s="189">
        <f t="shared" ref="E104:H104" si="64">E103</f>
        <v>294.25</v>
      </c>
      <c r="F104" s="189">
        <f t="shared" si="64"/>
        <v>1299.6041666666667</v>
      </c>
      <c r="G104" s="189">
        <f t="shared" si="64"/>
        <v>1637.5012500000003</v>
      </c>
      <c r="H104" s="189">
        <f t="shared" si="64"/>
        <v>1996.3869406250005</v>
      </c>
      <c r="I104" s="156"/>
    </row>
    <row r="105" spans="1:9" s="64" customFormat="1" ht="42.75" thickBot="1" x14ac:dyDescent="0.3">
      <c r="A105" s="230" t="s">
        <v>468</v>
      </c>
      <c r="B105" s="160"/>
      <c r="C105" s="58" t="s">
        <v>5</v>
      </c>
      <c r="D105" s="59" t="s">
        <v>0</v>
      </c>
      <c r="E105" s="59" t="s">
        <v>1</v>
      </c>
      <c r="F105" s="59" t="s">
        <v>2</v>
      </c>
      <c r="G105" s="59" t="s">
        <v>3</v>
      </c>
      <c r="H105" s="272" t="s">
        <v>4</v>
      </c>
      <c r="I105" s="156"/>
    </row>
    <row r="106" spans="1:9" s="64" customFormat="1" ht="15.75" x14ac:dyDescent="0.25">
      <c r="A106" s="182" t="s">
        <v>470</v>
      </c>
      <c r="B106" s="188"/>
      <c r="C106" s="189">
        <f t="shared" ref="C106:H106" si="65">C10</f>
        <v>0</v>
      </c>
      <c r="D106" s="189">
        <f t="shared" si="65"/>
        <v>15000</v>
      </c>
      <c r="E106" s="189">
        <f t="shared" si="65"/>
        <v>6300</v>
      </c>
      <c r="F106" s="189">
        <f t="shared" si="65"/>
        <v>27431.25</v>
      </c>
      <c r="G106" s="189">
        <f t="shared" si="65"/>
        <v>34234.200000000004</v>
      </c>
      <c r="H106" s="189">
        <f t="shared" si="65"/>
        <v>41537.495999999999</v>
      </c>
      <c r="I106" s="156"/>
    </row>
    <row r="107" spans="1:9" s="64" customFormat="1" ht="47.25" x14ac:dyDescent="0.25">
      <c r="A107" s="183" t="s">
        <v>471</v>
      </c>
      <c r="B107" s="111">
        <v>0.3</v>
      </c>
      <c r="C107" s="189">
        <f>$B$107*C106</f>
        <v>0</v>
      </c>
      <c r="D107" s="189">
        <f t="shared" ref="D107:H107" si="66">$B$107*D106</f>
        <v>4500</v>
      </c>
      <c r="E107" s="189">
        <f t="shared" si="66"/>
        <v>1890</v>
      </c>
      <c r="F107" s="189">
        <f t="shared" si="66"/>
        <v>8229.375</v>
      </c>
      <c r="G107" s="189">
        <f t="shared" si="66"/>
        <v>10270.26</v>
      </c>
      <c r="H107" s="189">
        <f t="shared" si="66"/>
        <v>12461.248799999999</v>
      </c>
      <c r="I107" s="191" t="s">
        <v>479</v>
      </c>
    </row>
    <row r="108" spans="1:9" ht="42.75" x14ac:dyDescent="0.25">
      <c r="A108" s="183" t="s">
        <v>472</v>
      </c>
      <c r="B108" s="111">
        <v>0.2</v>
      </c>
      <c r="C108" s="189">
        <f>$B$108*C106</f>
        <v>0</v>
      </c>
      <c r="D108" s="189">
        <f t="shared" ref="D108:H108" si="67">$B$108*D106</f>
        <v>3000</v>
      </c>
      <c r="E108" s="189">
        <f t="shared" si="67"/>
        <v>1260</v>
      </c>
      <c r="F108" s="189">
        <f t="shared" si="67"/>
        <v>5486.25</v>
      </c>
      <c r="G108" s="189">
        <f t="shared" si="67"/>
        <v>6846.8400000000011</v>
      </c>
      <c r="H108" s="189">
        <f t="shared" si="67"/>
        <v>8307.4992000000002</v>
      </c>
      <c r="I108" s="191" t="s">
        <v>478</v>
      </c>
    </row>
    <row r="109" spans="1:9" ht="29.45" customHeight="1" x14ac:dyDescent="0.25">
      <c r="A109" s="183" t="s">
        <v>473</v>
      </c>
      <c r="B109" s="111">
        <v>0.2</v>
      </c>
      <c r="C109" s="189">
        <f>C106*$B$109</f>
        <v>0</v>
      </c>
      <c r="D109" s="189">
        <f t="shared" ref="D109:H109" si="68">D106*$B$109</f>
        <v>3000</v>
      </c>
      <c r="E109" s="189">
        <f t="shared" si="68"/>
        <v>1260</v>
      </c>
      <c r="F109" s="189">
        <f t="shared" si="68"/>
        <v>5486.25</v>
      </c>
      <c r="G109" s="189">
        <f t="shared" si="68"/>
        <v>6846.8400000000011</v>
      </c>
      <c r="H109" s="189">
        <f t="shared" si="68"/>
        <v>8307.4992000000002</v>
      </c>
      <c r="I109" s="191" t="s">
        <v>477</v>
      </c>
    </row>
    <row r="110" spans="1:9" ht="29.45" customHeight="1" x14ac:dyDescent="0.25">
      <c r="A110" s="183" t="s">
        <v>474</v>
      </c>
      <c r="B110" s="194">
        <v>60</v>
      </c>
      <c r="C110" s="189">
        <f>C108*$B$110/365</f>
        <v>0</v>
      </c>
      <c r="D110" s="189">
        <f t="shared" ref="D110:H110" si="69">D108*$B$110/365</f>
        <v>493.15068493150687</v>
      </c>
      <c r="E110" s="189">
        <f t="shared" si="69"/>
        <v>207.12328767123287</v>
      </c>
      <c r="F110" s="189">
        <f t="shared" si="69"/>
        <v>901.84931506849318</v>
      </c>
      <c r="G110" s="189">
        <f t="shared" si="69"/>
        <v>1125.5079452054797</v>
      </c>
      <c r="H110" s="189">
        <f t="shared" si="69"/>
        <v>1365.6163068493152</v>
      </c>
      <c r="I110" s="191"/>
    </row>
    <row r="111" spans="1:9" ht="29.45" customHeight="1" x14ac:dyDescent="0.25">
      <c r="A111" s="183" t="s">
        <v>475</v>
      </c>
      <c r="B111" s="194">
        <v>30</v>
      </c>
      <c r="C111" s="189">
        <f>C108*$B$111/365</f>
        <v>0</v>
      </c>
      <c r="D111" s="189">
        <f t="shared" ref="D111:H111" si="70">D108*$B$111/365</f>
        <v>246.57534246575344</v>
      </c>
      <c r="E111" s="189">
        <f t="shared" si="70"/>
        <v>103.56164383561644</v>
      </c>
      <c r="F111" s="189">
        <f t="shared" si="70"/>
        <v>450.92465753424659</v>
      </c>
      <c r="G111" s="189">
        <f t="shared" si="70"/>
        <v>562.75397260273985</v>
      </c>
      <c r="H111" s="189">
        <f t="shared" si="70"/>
        <v>682.80815342465758</v>
      </c>
      <c r="I111" s="191"/>
    </row>
    <row r="112" spans="1:9" ht="32.25" thickBot="1" x14ac:dyDescent="0.3">
      <c r="A112" s="196" t="s">
        <v>476</v>
      </c>
      <c r="B112" s="4"/>
      <c r="C112" s="193">
        <f>C111+C110</f>
        <v>0</v>
      </c>
      <c r="D112" s="193">
        <f t="shared" ref="D112:H112" si="71">D111+D110</f>
        <v>739.72602739726028</v>
      </c>
      <c r="E112" s="193">
        <f t="shared" si="71"/>
        <v>310.6849315068493</v>
      </c>
      <c r="F112" s="193">
        <f t="shared" si="71"/>
        <v>1352.7739726027398</v>
      </c>
      <c r="G112" s="193">
        <f t="shared" si="71"/>
        <v>1688.2619178082196</v>
      </c>
      <c r="H112" s="193">
        <f t="shared" si="71"/>
        <v>2048.4244602739727</v>
      </c>
    </row>
    <row r="113" spans="1:9" ht="42.75" thickBot="1" x14ac:dyDescent="0.3">
      <c r="A113" s="230" t="s">
        <v>469</v>
      </c>
      <c r="C113" s="58" t="s">
        <v>5</v>
      </c>
      <c r="D113" s="59" t="s">
        <v>0</v>
      </c>
      <c r="E113" s="59" t="s">
        <v>1</v>
      </c>
      <c r="F113" s="59" t="s">
        <v>2</v>
      </c>
      <c r="G113" s="59" t="s">
        <v>3</v>
      </c>
      <c r="H113" s="272" t="s">
        <v>4</v>
      </c>
    </row>
    <row r="114" spans="1:9" ht="15.75" x14ac:dyDescent="0.25">
      <c r="A114" s="192" t="s">
        <v>480</v>
      </c>
      <c r="D114" s="189"/>
      <c r="E114" s="189"/>
      <c r="F114" s="189"/>
      <c r="G114" s="189"/>
      <c r="H114" s="189"/>
    </row>
    <row r="115" spans="1:9" ht="31.5" x14ac:dyDescent="0.25">
      <c r="A115" s="183" t="s">
        <v>481</v>
      </c>
      <c r="B115" s="111">
        <v>0.3</v>
      </c>
      <c r="C115" s="189">
        <f>$B$115*C106</f>
        <v>0</v>
      </c>
      <c r="D115" s="189">
        <f t="shared" ref="D115:H115" si="72">$B$115*D106</f>
        <v>4500</v>
      </c>
      <c r="E115" s="189">
        <f t="shared" si="72"/>
        <v>1890</v>
      </c>
      <c r="F115" s="189">
        <f t="shared" si="72"/>
        <v>8229.375</v>
      </c>
      <c r="G115" s="189">
        <f t="shared" si="72"/>
        <v>10270.26</v>
      </c>
      <c r="H115" s="189">
        <f t="shared" si="72"/>
        <v>12461.248799999999</v>
      </c>
    </row>
    <row r="116" spans="1:9" ht="31.5" x14ac:dyDescent="0.25">
      <c r="A116" s="183" t="s">
        <v>482</v>
      </c>
      <c r="B116" s="194">
        <v>30</v>
      </c>
      <c r="C116" s="189">
        <f>C115*$B$116/365</f>
        <v>0</v>
      </c>
      <c r="D116" s="189">
        <f t="shared" ref="D116:H116" si="73">D115*$B$116/365</f>
        <v>369.86301369863014</v>
      </c>
      <c r="E116" s="189">
        <f t="shared" si="73"/>
        <v>155.34246575342465</v>
      </c>
      <c r="F116" s="189">
        <f t="shared" si="73"/>
        <v>676.38698630136992</v>
      </c>
      <c r="G116" s="189">
        <f t="shared" si="73"/>
        <v>844.13095890410955</v>
      </c>
      <c r="H116" s="189">
        <f t="shared" si="73"/>
        <v>1024.2122301369861</v>
      </c>
    </row>
    <row r="117" spans="1:9" ht="15.75" x14ac:dyDescent="0.25">
      <c r="A117" s="192" t="s">
        <v>244</v>
      </c>
      <c r="B117" s="194"/>
      <c r="C117" s="189"/>
      <c r="D117" s="189"/>
      <c r="E117" s="189"/>
      <c r="F117" s="189"/>
      <c r="G117" s="189"/>
      <c r="H117" s="189"/>
    </row>
    <row r="118" spans="1:9" ht="31.5" x14ac:dyDescent="0.25">
      <c r="A118" s="183" t="s">
        <v>483</v>
      </c>
      <c r="B118" s="111">
        <v>0.7</v>
      </c>
      <c r="C118" s="189">
        <f t="shared" ref="C118:H118" si="74">-$B$118*C13</f>
        <v>0</v>
      </c>
      <c r="D118" s="189">
        <f t="shared" si="74"/>
        <v>1400</v>
      </c>
      <c r="E118" s="189">
        <f t="shared" si="74"/>
        <v>2100</v>
      </c>
      <c r="F118" s="189">
        <f t="shared" si="74"/>
        <v>2226</v>
      </c>
      <c r="G118" s="189">
        <f t="shared" si="74"/>
        <v>2337.2999999999997</v>
      </c>
      <c r="H118" s="189">
        <f t="shared" si="74"/>
        <v>2442.4784999999997</v>
      </c>
    </row>
    <row r="119" spans="1:9" ht="31.5" x14ac:dyDescent="0.25">
      <c r="A119" s="183" t="s">
        <v>484</v>
      </c>
      <c r="B119" s="111">
        <v>0.3</v>
      </c>
      <c r="C119" s="189">
        <f t="shared" ref="C119:H119" si="75">-$B$119*C13</f>
        <v>0</v>
      </c>
      <c r="D119" s="189">
        <f t="shared" si="75"/>
        <v>600</v>
      </c>
      <c r="E119" s="189">
        <f t="shared" si="75"/>
        <v>900</v>
      </c>
      <c r="F119" s="189">
        <f t="shared" si="75"/>
        <v>954</v>
      </c>
      <c r="G119" s="189">
        <f t="shared" si="75"/>
        <v>1001.6999999999999</v>
      </c>
      <c r="H119" s="189">
        <f t="shared" si="75"/>
        <v>1046.7764999999999</v>
      </c>
    </row>
    <row r="120" spans="1:9" ht="31.5" x14ac:dyDescent="0.25">
      <c r="A120" s="183" t="s">
        <v>485</v>
      </c>
      <c r="B120" s="194">
        <v>15</v>
      </c>
      <c r="C120" s="189">
        <f>(C118/12)*($B$120/30)</f>
        <v>0</v>
      </c>
      <c r="D120" s="189">
        <f>(D118/12)*($B$120/30)</f>
        <v>58.333333333333336</v>
      </c>
      <c r="E120" s="189">
        <f t="shared" ref="E120:H120" si="76">(E118/12)*($B$120/30)</f>
        <v>87.5</v>
      </c>
      <c r="F120" s="189">
        <f t="shared" si="76"/>
        <v>92.75</v>
      </c>
      <c r="G120" s="189">
        <f t="shared" si="76"/>
        <v>97.387499999999989</v>
      </c>
      <c r="H120" s="189">
        <f t="shared" si="76"/>
        <v>101.76993749999998</v>
      </c>
    </row>
    <row r="121" spans="1:9" ht="31.5" x14ac:dyDescent="0.25">
      <c r="A121" s="183" t="s">
        <v>486</v>
      </c>
      <c r="B121" s="194">
        <v>20</v>
      </c>
      <c r="C121" s="189">
        <f>(C119/12)*($B$121/30)</f>
        <v>0</v>
      </c>
      <c r="D121" s="189">
        <f>(D119/12)*($B$121/30)</f>
        <v>33.333333333333329</v>
      </c>
      <c r="E121" s="189">
        <f t="shared" ref="E121:H121" si="77">(E119/12)*($B$121/30)</f>
        <v>50</v>
      </c>
      <c r="F121" s="189">
        <f t="shared" si="77"/>
        <v>53</v>
      </c>
      <c r="G121" s="189">
        <f t="shared" si="77"/>
        <v>55.649999999999991</v>
      </c>
      <c r="H121" s="189">
        <f t="shared" si="77"/>
        <v>58.154249999999998</v>
      </c>
    </row>
    <row r="122" spans="1:9" ht="32.25" thickBot="1" x14ac:dyDescent="0.3">
      <c r="A122" s="196" t="s">
        <v>487</v>
      </c>
      <c r="B122" s="194"/>
      <c r="C122" s="193">
        <f>C121+C120+C116</f>
        <v>0</v>
      </c>
      <c r="D122" s="193">
        <f t="shared" ref="D122:H122" si="78">D121+D120+D116</f>
        <v>461.52968036529683</v>
      </c>
      <c r="E122" s="193">
        <f t="shared" si="78"/>
        <v>292.84246575342468</v>
      </c>
      <c r="F122" s="193">
        <f t="shared" si="78"/>
        <v>822.13698630136992</v>
      </c>
      <c r="G122" s="193">
        <f t="shared" si="78"/>
        <v>997.16845890410946</v>
      </c>
      <c r="H122" s="193">
        <f t="shared" si="78"/>
        <v>1184.1364176369862</v>
      </c>
    </row>
    <row r="123" spans="1:9" ht="57.75" thickBot="1" x14ac:dyDescent="0.3">
      <c r="A123" s="174" t="s">
        <v>488</v>
      </c>
      <c r="B123" s="64"/>
      <c r="C123" s="58" t="s">
        <v>5</v>
      </c>
      <c r="D123" s="59" t="s">
        <v>0</v>
      </c>
      <c r="E123" s="59" t="s">
        <v>1</v>
      </c>
      <c r="F123" s="59" t="s">
        <v>2</v>
      </c>
      <c r="G123" s="59" t="s">
        <v>3</v>
      </c>
      <c r="H123" s="59" t="s">
        <v>4</v>
      </c>
      <c r="I123" s="60" t="s">
        <v>238</v>
      </c>
    </row>
    <row r="124" spans="1:9" ht="15.75" x14ac:dyDescent="0.25">
      <c r="A124" s="183" t="s">
        <v>489</v>
      </c>
      <c r="B124" s="194"/>
      <c r="C124" s="189">
        <f>C101</f>
        <v>0</v>
      </c>
      <c r="D124" s="189">
        <f t="shared" ref="D124:H124" si="79">D101</f>
        <v>271.23287671232879</v>
      </c>
      <c r="E124" s="189">
        <f t="shared" si="79"/>
        <v>116.08767123287672</v>
      </c>
      <c r="F124" s="189">
        <f t="shared" si="79"/>
        <v>512.72054794520545</v>
      </c>
      <c r="G124" s="189">
        <f t="shared" si="79"/>
        <v>646.02789041095912</v>
      </c>
      <c r="H124" s="189">
        <f t="shared" si="79"/>
        <v>787.61566972602759</v>
      </c>
      <c r="I124" s="189"/>
    </row>
    <row r="125" spans="1:9" ht="15.75" x14ac:dyDescent="0.25">
      <c r="A125" s="183" t="s">
        <v>491</v>
      </c>
      <c r="B125" s="194"/>
      <c r="C125" s="189">
        <f>C95</f>
        <v>0</v>
      </c>
      <c r="D125" s="189">
        <f t="shared" ref="D125:H125" si="80">D95</f>
        <v>336.98630136986299</v>
      </c>
      <c r="E125" s="189">
        <f t="shared" si="80"/>
        <v>214.71780821917807</v>
      </c>
      <c r="F125" s="189">
        <f t="shared" si="80"/>
        <v>617.26849315068489</v>
      </c>
      <c r="G125" s="189">
        <f t="shared" si="80"/>
        <v>755.80323287671251</v>
      </c>
      <c r="H125" s="189">
        <f t="shared" si="80"/>
        <v>902.33090260273991</v>
      </c>
      <c r="I125" s="189"/>
    </row>
    <row r="126" spans="1:9" ht="15.75" x14ac:dyDescent="0.25">
      <c r="A126" s="183" t="s">
        <v>492</v>
      </c>
      <c r="B126" s="194"/>
      <c r="C126" s="189">
        <f>C104</f>
        <v>0</v>
      </c>
      <c r="D126" s="189">
        <f t="shared" ref="D126:H126" si="81">D104</f>
        <v>687.5</v>
      </c>
      <c r="E126" s="189">
        <f t="shared" si="81"/>
        <v>294.25</v>
      </c>
      <c r="F126" s="189">
        <f t="shared" si="81"/>
        <v>1299.6041666666667</v>
      </c>
      <c r="G126" s="189">
        <f t="shared" si="81"/>
        <v>1637.5012500000003</v>
      </c>
      <c r="H126" s="189">
        <f t="shared" si="81"/>
        <v>1996.3869406250005</v>
      </c>
      <c r="I126" s="189"/>
    </row>
    <row r="127" spans="1:9" ht="15.75" x14ac:dyDescent="0.25">
      <c r="A127" s="183" t="s">
        <v>493</v>
      </c>
      <c r="B127" s="194"/>
      <c r="C127" s="189">
        <f>C112</f>
        <v>0</v>
      </c>
      <c r="D127" s="189">
        <f t="shared" ref="D127:H127" si="82">D112</f>
        <v>739.72602739726028</v>
      </c>
      <c r="E127" s="189">
        <f t="shared" si="82"/>
        <v>310.6849315068493</v>
      </c>
      <c r="F127" s="189">
        <f t="shared" si="82"/>
        <v>1352.7739726027398</v>
      </c>
      <c r="G127" s="189">
        <f t="shared" si="82"/>
        <v>1688.2619178082196</v>
      </c>
      <c r="H127" s="189">
        <f t="shared" si="82"/>
        <v>2048.4244602739727</v>
      </c>
      <c r="I127" s="189"/>
    </row>
    <row r="128" spans="1:9" ht="16.5" thickBot="1" x14ac:dyDescent="0.3">
      <c r="A128" s="183" t="s">
        <v>494</v>
      </c>
      <c r="B128" s="194"/>
      <c r="C128" s="189">
        <f>C122</f>
        <v>0</v>
      </c>
      <c r="D128" s="189">
        <f t="shared" ref="D128:H128" si="83">D122</f>
        <v>461.52968036529683</v>
      </c>
      <c r="E128" s="189">
        <f t="shared" si="83"/>
        <v>292.84246575342468</v>
      </c>
      <c r="F128" s="189">
        <f t="shared" si="83"/>
        <v>822.13698630136992</v>
      </c>
      <c r="G128" s="189">
        <f t="shared" si="83"/>
        <v>997.16845890410946</v>
      </c>
      <c r="H128" s="189">
        <f t="shared" si="83"/>
        <v>1184.1364176369862</v>
      </c>
      <c r="I128" s="189"/>
    </row>
    <row r="129" spans="1:11" ht="40.5" thickBot="1" x14ac:dyDescent="0.3">
      <c r="A129" s="230" t="s">
        <v>495</v>
      </c>
      <c r="B129" s="194"/>
      <c r="C129" s="195">
        <f>SUM(C124:C128)</f>
        <v>0</v>
      </c>
      <c r="D129" s="195">
        <f>SUM(D124:D127)-D128</f>
        <v>1573.9155251141551</v>
      </c>
      <c r="E129" s="195">
        <f t="shared" ref="E129:H129" si="84">SUM(E124:E127)-E128</f>
        <v>642.89794520547935</v>
      </c>
      <c r="F129" s="195">
        <f t="shared" si="84"/>
        <v>2960.2301940639272</v>
      </c>
      <c r="G129" s="195">
        <f t="shared" si="84"/>
        <v>3730.4258321917814</v>
      </c>
      <c r="H129" s="195">
        <f t="shared" si="84"/>
        <v>4550.6215555907547</v>
      </c>
      <c r="I129" s="189"/>
    </row>
    <row r="130" spans="1:11" ht="27.75" thickBot="1" x14ac:dyDescent="0.3">
      <c r="A130" s="196" t="s">
        <v>496</v>
      </c>
      <c r="B130" s="4"/>
      <c r="C130" s="193"/>
      <c r="D130" s="193">
        <f>D129-C129</f>
        <v>1573.9155251141551</v>
      </c>
      <c r="E130" s="193">
        <f t="shared" ref="E130:H130" si="85">E129-D129</f>
        <v>-931.01757990867577</v>
      </c>
      <c r="F130" s="193">
        <f t="shared" si="85"/>
        <v>2317.3322488584481</v>
      </c>
      <c r="G130" s="193">
        <f t="shared" si="85"/>
        <v>770.19563812785418</v>
      </c>
      <c r="H130" s="193">
        <f t="shared" si="85"/>
        <v>820.19572339897331</v>
      </c>
      <c r="I130" s="189"/>
      <c r="J130" s="65"/>
      <c r="K130" s="65"/>
    </row>
    <row r="131" spans="1:11" ht="57.75" thickBot="1" x14ac:dyDescent="0.3">
      <c r="A131" s="174" t="s">
        <v>497</v>
      </c>
      <c r="B131" s="64"/>
      <c r="C131" s="65"/>
      <c r="D131" s="65"/>
    </row>
    <row r="132" spans="1:11" ht="42.75" thickBot="1" x14ac:dyDescent="0.3">
      <c r="A132" s="230" t="s">
        <v>498</v>
      </c>
      <c r="B132" s="5"/>
      <c r="C132" s="58" t="s">
        <v>5</v>
      </c>
      <c r="D132" s="59" t="s">
        <v>0</v>
      </c>
      <c r="E132" s="59" t="s">
        <v>1</v>
      </c>
      <c r="F132" s="59" t="s">
        <v>2</v>
      </c>
      <c r="G132" s="59" t="s">
        <v>3</v>
      </c>
      <c r="H132" s="272" t="s">
        <v>4</v>
      </c>
      <c r="I132" s="9"/>
      <c r="J132" s="65"/>
      <c r="K132" s="65"/>
    </row>
    <row r="133" spans="1:11" ht="30" x14ac:dyDescent="0.25">
      <c r="A133" s="258" t="s">
        <v>256</v>
      </c>
      <c r="B133" s="5"/>
      <c r="C133" s="9">
        <f t="shared" ref="C133:H138" si="86">C26</f>
        <v>5000</v>
      </c>
      <c r="D133" s="9">
        <f t="shared" si="86"/>
        <v>0</v>
      </c>
      <c r="E133" s="9">
        <f t="shared" si="86"/>
        <v>3525</v>
      </c>
      <c r="F133" s="9">
        <f t="shared" si="86"/>
        <v>2874</v>
      </c>
      <c r="G133" s="9">
        <f t="shared" si="86"/>
        <v>9782.9666666666672</v>
      </c>
      <c r="H133" s="9">
        <f t="shared" si="86"/>
        <v>18750.048000000003</v>
      </c>
      <c r="I133" s="9"/>
      <c r="J133" s="65"/>
      <c r="K133" s="65"/>
    </row>
    <row r="134" spans="1:11" x14ac:dyDescent="0.25">
      <c r="A134" s="4" t="s">
        <v>258</v>
      </c>
      <c r="B134" s="4"/>
      <c r="C134" s="11">
        <f t="shared" si="86"/>
        <v>0</v>
      </c>
      <c r="D134" s="11">
        <f t="shared" si="86"/>
        <v>22000</v>
      </c>
      <c r="E134" s="11">
        <f t="shared" si="86"/>
        <v>17300</v>
      </c>
      <c r="F134" s="11">
        <f t="shared" si="86"/>
        <v>34431.25</v>
      </c>
      <c r="G134" s="11">
        <f t="shared" si="86"/>
        <v>42234.200000000004</v>
      </c>
      <c r="H134" s="11">
        <f t="shared" si="86"/>
        <v>50537.495999999999</v>
      </c>
      <c r="I134" s="11"/>
      <c r="J134" s="65"/>
      <c r="K134" s="65"/>
    </row>
    <row r="135" spans="1:11" x14ac:dyDescent="0.25">
      <c r="A135" s="4" t="s">
        <v>257</v>
      </c>
      <c r="B135" s="4"/>
      <c r="C135" s="11">
        <f t="shared" si="86"/>
        <v>-5000</v>
      </c>
      <c r="D135" s="11">
        <f t="shared" si="86"/>
        <v>-18475</v>
      </c>
      <c r="E135" s="11">
        <f t="shared" si="86"/>
        <v>-17951</v>
      </c>
      <c r="F135" s="11">
        <f t="shared" si="86"/>
        <v>-27522.283333333333</v>
      </c>
      <c r="G135" s="11">
        <f t="shared" si="86"/>
        <v>-33267.118666666669</v>
      </c>
      <c r="H135" s="11">
        <f t="shared" si="86"/>
        <v>-39311.157830000011</v>
      </c>
      <c r="I135" s="11"/>
      <c r="J135" s="65"/>
      <c r="K135" s="65"/>
    </row>
    <row r="136" spans="1:11" ht="30" x14ac:dyDescent="0.25">
      <c r="A136" s="259" t="s">
        <v>259</v>
      </c>
      <c r="B136" s="4"/>
      <c r="C136" s="11">
        <f t="shared" si="86"/>
        <v>-5000</v>
      </c>
      <c r="D136" s="11">
        <f t="shared" si="86"/>
        <v>3525</v>
      </c>
      <c r="E136" s="11">
        <f t="shared" si="86"/>
        <v>-651</v>
      </c>
      <c r="F136" s="11">
        <f t="shared" si="86"/>
        <v>6908.9666666666672</v>
      </c>
      <c r="G136" s="11">
        <f t="shared" si="86"/>
        <v>8967.0813333333354</v>
      </c>
      <c r="H136" s="11">
        <f t="shared" si="86"/>
        <v>11226.338169999988</v>
      </c>
      <c r="I136" s="11"/>
      <c r="J136" s="65"/>
      <c r="K136" s="65"/>
    </row>
    <row r="137" spans="1:11" ht="30" x14ac:dyDescent="0.25">
      <c r="A137" s="258" t="s">
        <v>260</v>
      </c>
      <c r="B137" s="5"/>
      <c r="C137" s="9">
        <f t="shared" si="86"/>
        <v>0</v>
      </c>
      <c r="D137" s="9">
        <f t="shared" si="86"/>
        <v>3525</v>
      </c>
      <c r="E137" s="9">
        <f t="shared" si="86"/>
        <v>2874</v>
      </c>
      <c r="F137" s="9">
        <f t="shared" si="86"/>
        <v>9782.9666666666672</v>
      </c>
      <c r="G137" s="9">
        <f t="shared" si="86"/>
        <v>18750.048000000003</v>
      </c>
      <c r="H137" s="9">
        <f t="shared" si="86"/>
        <v>29976.386169999991</v>
      </c>
      <c r="I137" s="9"/>
      <c r="J137" s="65"/>
      <c r="K137" s="65"/>
    </row>
    <row r="138" spans="1:11" ht="30" x14ac:dyDescent="0.25">
      <c r="A138" s="258" t="s">
        <v>261</v>
      </c>
      <c r="B138" s="5"/>
      <c r="C138" s="9">
        <f t="shared" si="86"/>
        <v>-5000</v>
      </c>
      <c r="D138" s="9">
        <f t="shared" si="86"/>
        <v>-1475</v>
      </c>
      <c r="E138" s="9">
        <f t="shared" si="86"/>
        <v>-2126</v>
      </c>
      <c r="F138" s="9">
        <f t="shared" si="86"/>
        <v>4782.9666666666672</v>
      </c>
      <c r="G138" s="9">
        <f t="shared" si="86"/>
        <v>13750.048000000003</v>
      </c>
      <c r="H138" s="9">
        <f t="shared" si="86"/>
        <v>24976.386169999991</v>
      </c>
      <c r="I138" s="9"/>
      <c r="J138" s="65"/>
      <c r="K138" s="65"/>
    </row>
    <row r="139" spans="1:11" ht="27.75" thickBot="1" x14ac:dyDescent="0.3">
      <c r="A139" s="196" t="s">
        <v>496</v>
      </c>
      <c r="B139" s="4"/>
      <c r="C139" s="193"/>
      <c r="D139" s="197">
        <f>D130</f>
        <v>1573.9155251141551</v>
      </c>
      <c r="E139" s="197">
        <f t="shared" ref="E139:H139" si="87">E130</f>
        <v>-931.01757990867577</v>
      </c>
      <c r="F139" s="197">
        <f t="shared" si="87"/>
        <v>2317.3322488584481</v>
      </c>
      <c r="G139" s="197">
        <f t="shared" si="87"/>
        <v>770.19563812785418</v>
      </c>
      <c r="H139" s="197">
        <f t="shared" si="87"/>
        <v>820.19572339897331</v>
      </c>
      <c r="I139" s="9"/>
      <c r="J139" s="65"/>
      <c r="K139" s="65"/>
    </row>
    <row r="140" spans="1:11" ht="27" thickBot="1" x14ac:dyDescent="0.3">
      <c r="A140" s="230" t="s">
        <v>499</v>
      </c>
      <c r="B140" s="5"/>
      <c r="C140" s="58" t="s">
        <v>5</v>
      </c>
      <c r="D140" s="59" t="s">
        <v>0</v>
      </c>
      <c r="E140" s="59" t="s">
        <v>1</v>
      </c>
      <c r="F140" s="59" t="s">
        <v>2</v>
      </c>
      <c r="G140" s="59" t="s">
        <v>3</v>
      </c>
      <c r="H140" s="272" t="s">
        <v>4</v>
      </c>
      <c r="I140" s="9"/>
      <c r="J140" s="65"/>
      <c r="K140" s="65"/>
    </row>
    <row r="141" spans="1:11" ht="30" x14ac:dyDescent="0.25">
      <c r="A141" s="258" t="s">
        <v>256</v>
      </c>
      <c r="B141" s="5"/>
      <c r="C141" s="9">
        <f>C133</f>
        <v>5000</v>
      </c>
      <c r="D141" s="9">
        <f>D133</f>
        <v>0</v>
      </c>
      <c r="E141" s="9">
        <f>D144</f>
        <v>1951.0844748858435</v>
      </c>
      <c r="F141" s="9">
        <f>E145+F5</f>
        <v>2231.1020547945191</v>
      </c>
      <c r="G141" s="9">
        <f>F145+G5</f>
        <v>6822.7364726027372</v>
      </c>
      <c r="H141" s="9">
        <f>G145+H5</f>
        <v>15019.622167808222</v>
      </c>
      <c r="I141" s="9"/>
      <c r="J141" s="65"/>
      <c r="K141" s="65"/>
    </row>
    <row r="142" spans="1:11" x14ac:dyDescent="0.25">
      <c r="A142" s="4" t="s">
        <v>258</v>
      </c>
      <c r="B142" s="5"/>
      <c r="C142" s="9">
        <f>C134</f>
        <v>0</v>
      </c>
      <c r="D142" s="9">
        <f>D134</f>
        <v>22000</v>
      </c>
      <c r="E142" s="9">
        <f t="shared" ref="E142:H142" si="88">E134</f>
        <v>17300</v>
      </c>
      <c r="F142" s="9">
        <f t="shared" si="88"/>
        <v>34431.25</v>
      </c>
      <c r="G142" s="9">
        <f t="shared" si="88"/>
        <v>42234.200000000004</v>
      </c>
      <c r="H142" s="9">
        <f t="shared" si="88"/>
        <v>50537.495999999999</v>
      </c>
      <c r="I142" s="9"/>
      <c r="J142" s="65"/>
      <c r="K142" s="65"/>
    </row>
    <row r="143" spans="1:11" x14ac:dyDescent="0.25">
      <c r="A143" s="4" t="s">
        <v>257</v>
      </c>
      <c r="B143" s="5"/>
      <c r="C143" s="11">
        <f t="shared" ref="C143:H143" si="89">C135-C139</f>
        <v>-5000</v>
      </c>
      <c r="D143" s="11">
        <f t="shared" si="89"/>
        <v>-20048.915525114156</v>
      </c>
      <c r="E143" s="11">
        <f t="shared" si="89"/>
        <v>-17019.982420091324</v>
      </c>
      <c r="F143" s="11">
        <f t="shared" si="89"/>
        <v>-29839.615582191782</v>
      </c>
      <c r="G143" s="11">
        <f t="shared" si="89"/>
        <v>-34037.31430479452</v>
      </c>
      <c r="H143" s="11">
        <f t="shared" si="89"/>
        <v>-40131.353553398985</v>
      </c>
      <c r="I143" s="9"/>
      <c r="J143" s="65"/>
      <c r="K143" s="65"/>
    </row>
    <row r="144" spans="1:11" ht="30" x14ac:dyDescent="0.25">
      <c r="A144" s="259" t="s">
        <v>259</v>
      </c>
      <c r="B144" s="5"/>
      <c r="C144" s="11">
        <f>C142+C143</f>
        <v>-5000</v>
      </c>
      <c r="D144" s="11">
        <f>D142+D143</f>
        <v>1951.0844748858435</v>
      </c>
      <c r="E144" s="11">
        <f t="shared" ref="E144:H144" si="90">E142+E143</f>
        <v>280.01757990867554</v>
      </c>
      <c r="F144" s="11">
        <f t="shared" si="90"/>
        <v>4591.6344178082181</v>
      </c>
      <c r="G144" s="11">
        <f t="shared" si="90"/>
        <v>8196.8856952054848</v>
      </c>
      <c r="H144" s="11">
        <f t="shared" si="90"/>
        <v>10406.142446601014</v>
      </c>
      <c r="I144" s="9"/>
      <c r="J144" s="65"/>
      <c r="K144" s="65"/>
    </row>
    <row r="145" spans="1:11" s="14" customFormat="1" ht="30" x14ac:dyDescent="0.25">
      <c r="A145" s="258" t="s">
        <v>260</v>
      </c>
      <c r="C145" s="200">
        <f>C141+C144</f>
        <v>0</v>
      </c>
      <c r="D145" s="200">
        <f>D141+D144</f>
        <v>1951.0844748858435</v>
      </c>
      <c r="E145" s="200">
        <f t="shared" ref="E145:H145" si="91">E141+E144</f>
        <v>2231.1020547945191</v>
      </c>
      <c r="F145" s="200">
        <f t="shared" si="91"/>
        <v>6822.7364726027372</v>
      </c>
      <c r="G145" s="200">
        <f t="shared" si="91"/>
        <v>15019.622167808222</v>
      </c>
      <c r="H145" s="200">
        <f t="shared" si="91"/>
        <v>25425.764614409236</v>
      </c>
      <c r="I145" s="198"/>
      <c r="J145" s="199"/>
      <c r="K145" s="199"/>
    </row>
    <row r="146" spans="1:11" ht="30.75" thickBot="1" x14ac:dyDescent="0.3">
      <c r="A146" s="258" t="s">
        <v>261</v>
      </c>
      <c r="B146" s="5"/>
      <c r="C146" s="9">
        <f>C145</f>
        <v>0</v>
      </c>
      <c r="D146" s="9">
        <f>C146+D145</f>
        <v>1951.0844748858435</v>
      </c>
      <c r="E146" s="9">
        <f t="shared" ref="E146:H146" si="92">D146+E145</f>
        <v>4182.1865296803626</v>
      </c>
      <c r="F146" s="9">
        <f t="shared" si="92"/>
        <v>11004.9230022831</v>
      </c>
      <c r="G146" s="9">
        <f t="shared" si="92"/>
        <v>26024.545170091322</v>
      </c>
      <c r="H146" s="9">
        <f t="shared" si="92"/>
        <v>51450.309784500554</v>
      </c>
      <c r="I146" s="9"/>
      <c r="J146" s="65"/>
      <c r="K146" s="65"/>
    </row>
    <row r="147" spans="1:11" s="64" customFormat="1" ht="27" thickBot="1" x14ac:dyDescent="0.3">
      <c r="A147" s="273" t="s">
        <v>500</v>
      </c>
      <c r="C147" s="217" t="s">
        <v>5</v>
      </c>
      <c r="D147" s="218" t="s">
        <v>0</v>
      </c>
      <c r="E147" s="218" t="s">
        <v>1</v>
      </c>
      <c r="F147" s="218" t="s">
        <v>2</v>
      </c>
      <c r="G147" s="218" t="s">
        <v>3</v>
      </c>
      <c r="H147" s="218" t="s">
        <v>4</v>
      </c>
      <c r="I147" s="156"/>
    </row>
    <row r="148" spans="1:11" s="64" customFormat="1" ht="23.25" x14ac:dyDescent="0.25">
      <c r="A148" s="221" t="s">
        <v>501</v>
      </c>
      <c r="B148" s="201"/>
      <c r="C148" s="201"/>
      <c r="D148" s="201"/>
      <c r="E148" s="202"/>
      <c r="F148" s="202"/>
      <c r="G148" s="202"/>
      <c r="H148" s="203"/>
      <c r="I148" s="156"/>
    </row>
    <row r="149" spans="1:11" s="64" customFormat="1" ht="18.75" x14ac:dyDescent="0.25">
      <c r="A149" s="204" t="s">
        <v>502</v>
      </c>
      <c r="B149" s="219"/>
      <c r="C149" s="206">
        <f>SUM(C151:C153)</f>
        <v>5000</v>
      </c>
      <c r="D149" s="206">
        <f t="shared" ref="D149:H149" si="93">SUM(D151:D153)</f>
        <v>6775</v>
      </c>
      <c r="E149" s="206">
        <f t="shared" si="93"/>
        <v>10750</v>
      </c>
      <c r="F149" s="206">
        <f t="shared" si="93"/>
        <v>9149.1666666666661</v>
      </c>
      <c r="G149" s="206">
        <f t="shared" si="93"/>
        <v>7694.5</v>
      </c>
      <c r="H149" s="207">
        <f t="shared" si="93"/>
        <v>6309.2</v>
      </c>
      <c r="I149" s="156"/>
    </row>
    <row r="150" spans="1:11" s="64" customFormat="1" x14ac:dyDescent="0.25">
      <c r="A150" s="208" t="s">
        <v>503</v>
      </c>
      <c r="B150" s="205"/>
      <c r="C150" s="205"/>
      <c r="D150" s="205"/>
      <c r="E150" s="209"/>
      <c r="F150" s="209"/>
      <c r="G150" s="209"/>
      <c r="H150" s="210"/>
      <c r="I150" s="156"/>
    </row>
    <row r="151" spans="1:11" s="64" customFormat="1" ht="15.75" x14ac:dyDescent="0.25">
      <c r="A151" s="211" t="s">
        <v>504</v>
      </c>
      <c r="B151" s="205"/>
      <c r="C151" s="205">
        <f t="shared" ref="C151:H151" si="94">C79+C80+C82</f>
        <v>5000</v>
      </c>
      <c r="D151" s="205">
        <f t="shared" si="94"/>
        <v>6775</v>
      </c>
      <c r="E151" s="205">
        <f t="shared" si="94"/>
        <v>9750</v>
      </c>
      <c r="F151" s="205">
        <f t="shared" si="94"/>
        <v>8482.5</v>
      </c>
      <c r="G151" s="205">
        <f t="shared" si="94"/>
        <v>7294.5</v>
      </c>
      <c r="H151" s="212">
        <f t="shared" si="94"/>
        <v>6109.2</v>
      </c>
      <c r="I151" s="156"/>
    </row>
    <row r="152" spans="1:11" s="64" customFormat="1" ht="15.75" x14ac:dyDescent="0.25">
      <c r="A152" s="211" t="s">
        <v>505</v>
      </c>
      <c r="B152" s="205"/>
      <c r="C152" s="205">
        <f t="shared" ref="C152:H152" si="95">C81</f>
        <v>0</v>
      </c>
      <c r="D152" s="205">
        <f t="shared" si="95"/>
        <v>0</v>
      </c>
      <c r="E152" s="205">
        <f t="shared" si="95"/>
        <v>1000</v>
      </c>
      <c r="F152" s="205">
        <f t="shared" si="95"/>
        <v>666.66666666666674</v>
      </c>
      <c r="G152" s="205">
        <f t="shared" si="95"/>
        <v>400.00000000000006</v>
      </c>
      <c r="H152" s="212">
        <f t="shared" si="95"/>
        <v>200.00000000000006</v>
      </c>
      <c r="I152" s="156"/>
    </row>
    <row r="153" spans="1:11" s="64" customFormat="1" ht="15.75" x14ac:dyDescent="0.25">
      <c r="A153" s="211" t="s">
        <v>506</v>
      </c>
      <c r="B153" s="205"/>
      <c r="C153" s="205"/>
      <c r="D153" s="205"/>
      <c r="E153" s="209"/>
      <c r="F153" s="209"/>
      <c r="G153" s="209"/>
      <c r="H153" s="210"/>
      <c r="I153" s="156"/>
    </row>
    <row r="154" spans="1:11" s="64" customFormat="1" ht="18.75" x14ac:dyDescent="0.25">
      <c r="A154" s="204" t="s">
        <v>507</v>
      </c>
      <c r="B154" s="205"/>
      <c r="C154" s="206">
        <f t="shared" ref="C154:H154" si="96">SUM(C156:C161)</f>
        <v>0</v>
      </c>
      <c r="D154" s="206">
        <f t="shared" si="96"/>
        <v>3986.5296803652955</v>
      </c>
      <c r="E154" s="206">
        <f t="shared" si="96"/>
        <v>3166.8424657534233</v>
      </c>
      <c r="F154" s="206">
        <f t="shared" si="96"/>
        <v>10605.103652968035</v>
      </c>
      <c r="G154" s="206">
        <f t="shared" si="96"/>
        <v>19747.216458904113</v>
      </c>
      <c r="H154" s="207">
        <f t="shared" si="96"/>
        <v>31160.522587636977</v>
      </c>
      <c r="I154" s="156"/>
    </row>
    <row r="155" spans="1:11" s="64" customFormat="1" x14ac:dyDescent="0.25">
      <c r="A155" s="208" t="s">
        <v>503</v>
      </c>
      <c r="B155" s="205"/>
      <c r="C155" s="205"/>
      <c r="D155" s="205"/>
      <c r="E155" s="209"/>
      <c r="F155" s="209"/>
      <c r="G155" s="209"/>
      <c r="H155" s="210"/>
      <c r="I155" s="156"/>
    </row>
    <row r="156" spans="1:11" s="64" customFormat="1" ht="15.75" x14ac:dyDescent="0.25">
      <c r="A156" s="211" t="s">
        <v>508</v>
      </c>
      <c r="B156" s="205"/>
      <c r="C156" s="205">
        <f t="shared" ref="C156:H156" si="97">C101</f>
        <v>0</v>
      </c>
      <c r="D156" s="205">
        <f t="shared" si="97"/>
        <v>271.23287671232879</v>
      </c>
      <c r="E156" s="205">
        <f t="shared" si="97"/>
        <v>116.08767123287672</v>
      </c>
      <c r="F156" s="205">
        <f t="shared" si="97"/>
        <v>512.72054794520545</v>
      </c>
      <c r="G156" s="205">
        <f t="shared" si="97"/>
        <v>646.02789041095912</v>
      </c>
      <c r="H156" s="212">
        <f t="shared" si="97"/>
        <v>787.61566972602759</v>
      </c>
      <c r="I156" s="156"/>
    </row>
    <row r="157" spans="1:11" s="64" customFormat="1" ht="15.75" x14ac:dyDescent="0.25">
      <c r="A157" s="211" t="s">
        <v>509</v>
      </c>
      <c r="B157" s="205"/>
      <c r="C157" s="205">
        <f t="shared" ref="C157:H157" si="98">C95</f>
        <v>0</v>
      </c>
      <c r="D157" s="205">
        <f t="shared" si="98"/>
        <v>336.98630136986299</v>
      </c>
      <c r="E157" s="205">
        <f t="shared" si="98"/>
        <v>214.71780821917807</v>
      </c>
      <c r="F157" s="205">
        <f t="shared" si="98"/>
        <v>617.26849315068489</v>
      </c>
      <c r="G157" s="205">
        <f t="shared" si="98"/>
        <v>755.80323287671251</v>
      </c>
      <c r="H157" s="212">
        <f t="shared" si="98"/>
        <v>902.33090260273991</v>
      </c>
      <c r="I157" s="156"/>
    </row>
    <row r="158" spans="1:11" s="64" customFormat="1" ht="15.75" x14ac:dyDescent="0.25">
      <c r="A158" s="211" t="s">
        <v>510</v>
      </c>
      <c r="B158" s="205"/>
      <c r="C158" s="205">
        <f t="shared" ref="C158:H158" si="99">C112</f>
        <v>0</v>
      </c>
      <c r="D158" s="205">
        <f t="shared" si="99"/>
        <v>739.72602739726028</v>
      </c>
      <c r="E158" s="205">
        <f t="shared" si="99"/>
        <v>310.6849315068493</v>
      </c>
      <c r="F158" s="205">
        <f t="shared" si="99"/>
        <v>1352.7739726027398</v>
      </c>
      <c r="G158" s="205">
        <f t="shared" si="99"/>
        <v>1688.2619178082196</v>
      </c>
      <c r="H158" s="212">
        <f t="shared" si="99"/>
        <v>2048.4244602739727</v>
      </c>
      <c r="I158" s="156"/>
    </row>
    <row r="159" spans="1:11" s="64" customFormat="1" ht="15.75" x14ac:dyDescent="0.25">
      <c r="A159" s="211" t="s">
        <v>511</v>
      </c>
      <c r="B159" s="205"/>
      <c r="C159" s="205">
        <f t="shared" ref="C159:H159" si="100">C104</f>
        <v>0</v>
      </c>
      <c r="D159" s="205">
        <f t="shared" si="100"/>
        <v>687.5</v>
      </c>
      <c r="E159" s="205">
        <f t="shared" si="100"/>
        <v>294.25</v>
      </c>
      <c r="F159" s="205">
        <f t="shared" si="100"/>
        <v>1299.6041666666667</v>
      </c>
      <c r="G159" s="205">
        <f t="shared" si="100"/>
        <v>1637.5012500000003</v>
      </c>
      <c r="H159" s="212">
        <f t="shared" si="100"/>
        <v>1996.3869406250005</v>
      </c>
      <c r="I159" s="156"/>
    </row>
    <row r="160" spans="1:11" s="64" customFormat="1" ht="15.75" x14ac:dyDescent="0.25">
      <c r="A160" s="211" t="s">
        <v>512</v>
      </c>
      <c r="B160" s="205"/>
      <c r="C160" s="205">
        <f t="shared" ref="C160:H160" si="101">C145</f>
        <v>0</v>
      </c>
      <c r="D160" s="205">
        <f t="shared" si="101"/>
        <v>1951.0844748858435</v>
      </c>
      <c r="E160" s="205">
        <f t="shared" si="101"/>
        <v>2231.1020547945191</v>
      </c>
      <c r="F160" s="205">
        <f t="shared" si="101"/>
        <v>6822.7364726027372</v>
      </c>
      <c r="G160" s="205">
        <f t="shared" si="101"/>
        <v>15019.622167808222</v>
      </c>
      <c r="H160" s="212">
        <f t="shared" si="101"/>
        <v>25425.764614409236</v>
      </c>
      <c r="I160" s="156"/>
    </row>
    <row r="161" spans="1:9" s="64" customFormat="1" ht="15.75" x14ac:dyDescent="0.25">
      <c r="A161" s="211" t="s">
        <v>513</v>
      </c>
      <c r="B161" s="205"/>
      <c r="C161" s="205"/>
      <c r="D161" s="205"/>
      <c r="E161" s="209"/>
      <c r="F161" s="209"/>
      <c r="G161" s="209"/>
      <c r="H161" s="210"/>
      <c r="I161" s="156"/>
    </row>
    <row r="162" spans="1:9" s="64" customFormat="1" ht="21.75" thickBot="1" x14ac:dyDescent="0.3">
      <c r="A162" s="213" t="s">
        <v>514</v>
      </c>
      <c r="B162" s="214"/>
      <c r="C162" s="215">
        <f>C154+C149</f>
        <v>5000</v>
      </c>
      <c r="D162" s="215">
        <f t="shared" ref="D162:H162" si="102">D154+D149</f>
        <v>10761.529680365296</v>
      </c>
      <c r="E162" s="215">
        <f t="shared" si="102"/>
        <v>13916.842465753423</v>
      </c>
      <c r="F162" s="215">
        <f t="shared" si="102"/>
        <v>19754.270319634699</v>
      </c>
      <c r="G162" s="215">
        <f t="shared" si="102"/>
        <v>27441.716458904113</v>
      </c>
      <c r="H162" s="216">
        <f t="shared" si="102"/>
        <v>37469.722587636978</v>
      </c>
      <c r="I162" s="156"/>
    </row>
    <row r="163" spans="1:9" s="64" customFormat="1" ht="23.25" x14ac:dyDescent="0.25">
      <c r="A163" s="221" t="s">
        <v>515</v>
      </c>
      <c r="B163" s="201"/>
      <c r="C163" s="201"/>
      <c r="D163" s="201"/>
      <c r="E163" s="202"/>
      <c r="F163" s="202"/>
      <c r="G163" s="202"/>
      <c r="H163" s="203"/>
      <c r="I163" s="156"/>
    </row>
    <row r="164" spans="1:9" s="64" customFormat="1" ht="18.75" x14ac:dyDescent="0.25">
      <c r="A164" s="204" t="s">
        <v>516</v>
      </c>
      <c r="B164" s="205"/>
      <c r="C164" s="206">
        <f t="shared" ref="C164:H164" si="103">SUM(C166:C169)</f>
        <v>5000</v>
      </c>
      <c r="D164" s="206">
        <f t="shared" si="103"/>
        <v>10300</v>
      </c>
      <c r="E164" s="206">
        <f t="shared" si="103"/>
        <v>13624</v>
      </c>
      <c r="F164" s="206">
        <f t="shared" si="103"/>
        <v>18932.133333333331</v>
      </c>
      <c r="G164" s="206">
        <f t="shared" si="103"/>
        <v>26444.547999999999</v>
      </c>
      <c r="H164" s="207">
        <f t="shared" si="103"/>
        <v>36285.586169999995</v>
      </c>
      <c r="I164" s="156"/>
    </row>
    <row r="165" spans="1:9" s="64" customFormat="1" x14ac:dyDescent="0.25">
      <c r="A165" s="208" t="s">
        <v>503</v>
      </c>
      <c r="B165" s="205"/>
      <c r="C165" s="205"/>
      <c r="D165" s="205"/>
      <c r="E165" s="209"/>
      <c r="F165" s="209"/>
      <c r="G165" s="209"/>
      <c r="H165" s="210"/>
      <c r="I165" s="156"/>
    </row>
    <row r="166" spans="1:9" s="64" customFormat="1" ht="15.75" x14ac:dyDescent="0.25">
      <c r="A166" s="211" t="s">
        <v>526</v>
      </c>
      <c r="B166" s="205"/>
      <c r="C166" s="205">
        <f>C5</f>
        <v>5000</v>
      </c>
      <c r="D166" s="205">
        <f>C166+D5</f>
        <v>7000</v>
      </c>
      <c r="E166" s="205">
        <f>D166+E5</f>
        <v>12000</v>
      </c>
      <c r="F166" s="205">
        <f>E166+F5</f>
        <v>12000</v>
      </c>
      <c r="G166" s="205">
        <f>F166+G5</f>
        <v>12000</v>
      </c>
      <c r="H166" s="212">
        <f>G166+H5</f>
        <v>12000</v>
      </c>
      <c r="I166" s="156"/>
    </row>
    <row r="167" spans="1:9" s="64" customFormat="1" ht="15.75" x14ac:dyDescent="0.25">
      <c r="A167" s="211" t="s">
        <v>527</v>
      </c>
      <c r="B167" s="205"/>
      <c r="C167" s="205"/>
      <c r="D167" s="205">
        <f>C32</f>
        <v>0</v>
      </c>
      <c r="E167" s="205">
        <f>D167+E32</f>
        <v>825</v>
      </c>
      <c r="F167" s="205">
        <f>E167+F32</f>
        <v>825</v>
      </c>
      <c r="G167" s="205">
        <f>F167+G32</f>
        <v>2152.0333333333333</v>
      </c>
      <c r="H167" s="212">
        <f>G167+H32</f>
        <v>4030.1370000000006</v>
      </c>
      <c r="I167" s="156"/>
    </row>
    <row r="168" spans="1:9" s="64" customFormat="1" ht="15.75" x14ac:dyDescent="0.25">
      <c r="A168" s="211" t="s">
        <v>528</v>
      </c>
      <c r="B168" s="205"/>
      <c r="C168" s="205">
        <v>0</v>
      </c>
      <c r="D168" s="205">
        <f>C169-C32</f>
        <v>0</v>
      </c>
      <c r="E168" s="205">
        <f>D169-E32</f>
        <v>2475</v>
      </c>
      <c r="F168" s="205">
        <f>E168+E169-F32</f>
        <v>799</v>
      </c>
      <c r="G168" s="205">
        <f>F168+F169-G32</f>
        <v>4780.1000000000004</v>
      </c>
      <c r="H168" s="212">
        <f>G168+G169-H32</f>
        <v>10414.411000000002</v>
      </c>
      <c r="I168" s="156"/>
    </row>
    <row r="169" spans="1:9" s="64" customFormat="1" ht="15.75" x14ac:dyDescent="0.25">
      <c r="A169" s="211" t="s">
        <v>529</v>
      </c>
      <c r="B169" s="205"/>
      <c r="C169" s="205">
        <f t="shared" ref="C169:H169" si="104">C25</f>
        <v>0</v>
      </c>
      <c r="D169" s="205">
        <f t="shared" si="104"/>
        <v>3300</v>
      </c>
      <c r="E169" s="205">
        <f t="shared" si="104"/>
        <v>-1676</v>
      </c>
      <c r="F169" s="205">
        <f t="shared" si="104"/>
        <v>5308.1333333333332</v>
      </c>
      <c r="G169" s="205">
        <f t="shared" si="104"/>
        <v>7512.4146666666684</v>
      </c>
      <c r="H169" s="212">
        <f t="shared" si="104"/>
        <v>9841.0381699999944</v>
      </c>
      <c r="I169" s="156"/>
    </row>
    <row r="170" spans="1:9" s="64" customFormat="1" ht="18.75" x14ac:dyDescent="0.25">
      <c r="A170" s="204" t="s">
        <v>518</v>
      </c>
      <c r="B170" s="205"/>
      <c r="C170" s="206">
        <f>SUM(C172:C174)</f>
        <v>0</v>
      </c>
      <c r="D170" s="206">
        <f t="shared" ref="D170:H170" si="105">SUM(D172:D174)</f>
        <v>0</v>
      </c>
      <c r="E170" s="206">
        <f t="shared" si="105"/>
        <v>0</v>
      </c>
      <c r="F170" s="206">
        <f t="shared" si="105"/>
        <v>0</v>
      </c>
      <c r="G170" s="206">
        <f t="shared" si="105"/>
        <v>0</v>
      </c>
      <c r="H170" s="207">
        <f t="shared" si="105"/>
        <v>0</v>
      </c>
      <c r="I170" s="156"/>
    </row>
    <row r="171" spans="1:9" s="64" customFormat="1" x14ac:dyDescent="0.25">
      <c r="A171" s="208" t="s">
        <v>503</v>
      </c>
      <c r="B171" s="205"/>
      <c r="C171" s="205"/>
      <c r="D171" s="205"/>
      <c r="E171" s="209"/>
      <c r="F171" s="209"/>
      <c r="G171" s="209"/>
      <c r="H171" s="210"/>
      <c r="I171" s="156"/>
    </row>
    <row r="172" spans="1:9" s="64" customFormat="1" ht="15.75" x14ac:dyDescent="0.25">
      <c r="A172" s="211" t="s">
        <v>524</v>
      </c>
      <c r="B172" s="205"/>
      <c r="C172" s="205"/>
      <c r="D172" s="205"/>
      <c r="E172" s="209"/>
      <c r="F172" s="209"/>
      <c r="G172" s="209"/>
      <c r="H172" s="210"/>
      <c r="I172" s="156"/>
    </row>
    <row r="173" spans="1:9" s="64" customFormat="1" ht="15.75" x14ac:dyDescent="0.25">
      <c r="A173" s="211" t="s">
        <v>525</v>
      </c>
      <c r="B173" s="205"/>
      <c r="C173" s="205"/>
      <c r="D173" s="205"/>
      <c r="E173" s="209"/>
      <c r="F173" s="209"/>
      <c r="G173" s="209"/>
      <c r="H173" s="210"/>
      <c r="I173" s="156"/>
    </row>
    <row r="174" spans="1:9" s="64" customFormat="1" ht="15.75" x14ac:dyDescent="0.25">
      <c r="A174" s="211" t="s">
        <v>523</v>
      </c>
      <c r="B174" s="205"/>
      <c r="C174" s="205"/>
      <c r="D174" s="205"/>
      <c r="E174" s="209"/>
      <c r="F174" s="209"/>
      <c r="G174" s="209"/>
      <c r="H174" s="210"/>
      <c r="I174" s="156"/>
    </row>
    <row r="175" spans="1:9" s="64" customFormat="1" ht="18.75" x14ac:dyDescent="0.25">
      <c r="A175" s="204" t="s">
        <v>517</v>
      </c>
      <c r="B175" s="205"/>
      <c r="C175" s="206">
        <f>SUM(C177:C180)</f>
        <v>0</v>
      </c>
      <c r="D175" s="206">
        <f t="shared" ref="D175:H175" si="106">SUM(D177:D180)</f>
        <v>461.52968036529683</v>
      </c>
      <c r="E175" s="206">
        <f t="shared" si="106"/>
        <v>292.84246575342468</v>
      </c>
      <c r="F175" s="206">
        <f t="shared" si="106"/>
        <v>822.13698630136992</v>
      </c>
      <c r="G175" s="206">
        <f t="shared" si="106"/>
        <v>997.16845890410946</v>
      </c>
      <c r="H175" s="207">
        <f t="shared" si="106"/>
        <v>1184.1364176369862</v>
      </c>
      <c r="I175" s="156"/>
    </row>
    <row r="176" spans="1:9" s="64" customFormat="1" x14ac:dyDescent="0.25">
      <c r="A176" s="208" t="s">
        <v>503</v>
      </c>
      <c r="B176" s="205"/>
      <c r="C176" s="205"/>
      <c r="D176" s="205"/>
      <c r="E176" s="209"/>
      <c r="F176" s="209"/>
      <c r="G176" s="209"/>
      <c r="H176" s="210"/>
      <c r="I176" s="156"/>
    </row>
    <row r="177" spans="1:11" s="64" customFormat="1" ht="15.75" x14ac:dyDescent="0.25">
      <c r="A177" s="211" t="s">
        <v>519</v>
      </c>
      <c r="B177" s="205"/>
      <c r="C177" s="205"/>
      <c r="D177" s="205"/>
      <c r="E177" s="209"/>
      <c r="F177" s="209"/>
      <c r="G177" s="209"/>
      <c r="H177" s="210"/>
      <c r="I177" s="156"/>
    </row>
    <row r="178" spans="1:11" s="64" customFormat="1" ht="15.75" x14ac:dyDescent="0.25">
      <c r="A178" s="211" t="s">
        <v>520</v>
      </c>
      <c r="B178" s="205"/>
      <c r="C178" s="205"/>
      <c r="D178" s="205"/>
      <c r="E178" s="209"/>
      <c r="F178" s="209"/>
      <c r="G178" s="209"/>
      <c r="H178" s="210"/>
      <c r="I178" s="156"/>
    </row>
    <row r="179" spans="1:11" s="64" customFormat="1" ht="15.75" x14ac:dyDescent="0.25">
      <c r="A179" s="211" t="s">
        <v>521</v>
      </c>
      <c r="B179" s="205"/>
      <c r="C179" s="205">
        <f t="shared" ref="C179:H179" si="107">C122</f>
        <v>0</v>
      </c>
      <c r="D179" s="205">
        <f t="shared" si="107"/>
        <v>461.52968036529683</v>
      </c>
      <c r="E179" s="205">
        <f t="shared" si="107"/>
        <v>292.84246575342468</v>
      </c>
      <c r="F179" s="205">
        <f t="shared" si="107"/>
        <v>822.13698630136992</v>
      </c>
      <c r="G179" s="205">
        <f t="shared" si="107"/>
        <v>997.16845890410946</v>
      </c>
      <c r="H179" s="212">
        <f t="shared" si="107"/>
        <v>1184.1364176369862</v>
      </c>
      <c r="I179" s="156"/>
    </row>
    <row r="180" spans="1:11" s="64" customFormat="1" ht="15.75" x14ac:dyDescent="0.25">
      <c r="A180" s="211" t="s">
        <v>522</v>
      </c>
      <c r="B180" s="205"/>
      <c r="C180" s="205"/>
      <c r="D180" s="205"/>
      <c r="E180" s="209"/>
      <c r="F180" s="209"/>
      <c r="G180" s="209"/>
      <c r="H180" s="210"/>
      <c r="I180" s="156"/>
    </row>
    <row r="181" spans="1:11" s="64" customFormat="1" ht="21.75" thickBot="1" x14ac:dyDescent="0.3">
      <c r="A181" s="213" t="s">
        <v>530</v>
      </c>
      <c r="B181" s="214"/>
      <c r="C181" s="215">
        <f t="shared" ref="C181:H181" si="108">C164+C170+C175</f>
        <v>5000</v>
      </c>
      <c r="D181" s="215">
        <f t="shared" si="108"/>
        <v>10761.529680365296</v>
      </c>
      <c r="E181" s="215">
        <f t="shared" si="108"/>
        <v>13916.842465753425</v>
      </c>
      <c r="F181" s="215">
        <f t="shared" si="108"/>
        <v>19754.270319634703</v>
      </c>
      <c r="G181" s="215">
        <f t="shared" si="108"/>
        <v>27441.716458904109</v>
      </c>
      <c r="H181" s="216">
        <f t="shared" si="108"/>
        <v>37469.722587636978</v>
      </c>
      <c r="I181" s="156"/>
    </row>
    <row r="182" spans="1:11" s="64" customFormat="1" ht="18.75" x14ac:dyDescent="0.25">
      <c r="A182" s="223" t="s">
        <v>531</v>
      </c>
      <c r="E182" s="155"/>
      <c r="F182" s="155"/>
      <c r="G182" s="155"/>
      <c r="H182" s="155"/>
      <c r="I182" s="156"/>
    </row>
    <row r="183" spans="1:11" ht="30" x14ac:dyDescent="0.25">
      <c r="A183" s="224" t="s">
        <v>532</v>
      </c>
      <c r="B183" s="5"/>
      <c r="C183" s="9"/>
      <c r="D183" s="9"/>
      <c r="E183" s="9"/>
      <c r="F183" s="9"/>
      <c r="G183" s="9"/>
      <c r="H183" s="9"/>
      <c r="I183" s="9"/>
      <c r="J183" s="65"/>
      <c r="K183" s="65"/>
    </row>
    <row r="184" spans="1:11" ht="30" x14ac:dyDescent="0.25">
      <c r="A184" s="224" t="s">
        <v>533</v>
      </c>
      <c r="B184" s="5"/>
      <c r="C184" s="9"/>
      <c r="D184" s="9"/>
      <c r="E184" s="9"/>
      <c r="F184" s="9"/>
      <c r="G184" s="9"/>
      <c r="H184" s="9"/>
      <c r="I184" s="9"/>
      <c r="J184" s="65"/>
      <c r="K184" s="65"/>
    </row>
    <row r="185" spans="1:11" ht="30" x14ac:dyDescent="0.25">
      <c r="A185" s="224" t="s">
        <v>534</v>
      </c>
      <c r="G185" s="65"/>
      <c r="J185" s="65"/>
      <c r="K185" s="65"/>
    </row>
    <row r="186" spans="1:11" ht="45" x14ac:dyDescent="0.25">
      <c r="A186" s="224" t="s">
        <v>535</v>
      </c>
    </row>
    <row r="187" spans="1:11" ht="30" x14ac:dyDescent="0.25">
      <c r="A187" s="224" t="s">
        <v>537</v>
      </c>
    </row>
    <row r="188" spans="1:11" ht="30" x14ac:dyDescent="0.25">
      <c r="A188" s="224" t="s">
        <v>536</v>
      </c>
    </row>
    <row r="189" spans="1:11" ht="30" x14ac:dyDescent="0.25">
      <c r="A189" s="224" t="s">
        <v>538</v>
      </c>
    </row>
    <row r="190" spans="1:11" ht="30" x14ac:dyDescent="0.25">
      <c r="A190" s="224" t="s">
        <v>539</v>
      </c>
    </row>
    <row r="191" spans="1:11" ht="30" x14ac:dyDescent="0.25">
      <c r="A191" s="224" t="s">
        <v>540</v>
      </c>
    </row>
    <row r="192" spans="1:11" ht="30" x14ac:dyDescent="0.25">
      <c r="A192" s="224" t="s">
        <v>541</v>
      </c>
    </row>
    <row r="193" spans="1:12" ht="30.75" thickBot="1" x14ac:dyDescent="0.3">
      <c r="A193" s="224" t="s">
        <v>542</v>
      </c>
    </row>
    <row r="194" spans="1:12" ht="81" thickBot="1" x14ac:dyDescent="0.3">
      <c r="A194" s="174" t="s">
        <v>543</v>
      </c>
      <c r="B194" s="64"/>
      <c r="C194" s="58" t="s">
        <v>5</v>
      </c>
      <c r="D194" s="59" t="s">
        <v>0</v>
      </c>
      <c r="E194" s="59" t="s">
        <v>1</v>
      </c>
      <c r="F194" s="59" t="s">
        <v>2</v>
      </c>
      <c r="G194" s="59" t="s">
        <v>3</v>
      </c>
      <c r="H194" s="59" t="s">
        <v>4</v>
      </c>
      <c r="I194" s="60" t="s">
        <v>238</v>
      </c>
      <c r="J194" s="269" t="s">
        <v>423</v>
      </c>
    </row>
    <row r="195" spans="1:12" ht="38.25" thickBot="1" x14ac:dyDescent="0.3">
      <c r="A195" s="274" t="s">
        <v>544</v>
      </c>
    </row>
    <row r="196" spans="1:12" ht="38.25" thickBot="1" x14ac:dyDescent="0.3">
      <c r="A196" s="18" t="s">
        <v>401</v>
      </c>
      <c r="B196" s="130">
        <f>'Вариативные ставки'!B59</f>
        <v>0.18516293810914031</v>
      </c>
    </row>
    <row r="197" spans="1:12" ht="19.5" thickBot="1" x14ac:dyDescent="0.3">
      <c r="A197" s="18" t="s">
        <v>545</v>
      </c>
      <c r="C197" s="75">
        <f>C144</f>
        <v>-5000</v>
      </c>
      <c r="D197" s="75">
        <f t="shared" ref="D197:H197" si="109">D144</f>
        <v>1951.0844748858435</v>
      </c>
      <c r="E197" s="75">
        <f t="shared" si="109"/>
        <v>280.01757990867554</v>
      </c>
      <c r="F197" s="75">
        <f t="shared" si="109"/>
        <v>4591.6344178082181</v>
      </c>
      <c r="G197" s="75">
        <f t="shared" si="109"/>
        <v>8196.8856952054848</v>
      </c>
      <c r="H197" s="75">
        <f t="shared" si="109"/>
        <v>10406.142446601014</v>
      </c>
      <c r="I197" s="228">
        <f>SUM(C197:H197)</f>
        <v>20425.764614409236</v>
      </c>
      <c r="J197" s="227">
        <f>'Вариативные ставки'!I61</f>
        <v>24976.386169999991</v>
      </c>
    </row>
    <row r="198" spans="1:12" ht="21.75" thickBot="1" x14ac:dyDescent="0.3">
      <c r="A198" s="162" t="s">
        <v>82</v>
      </c>
      <c r="B198" s="111"/>
      <c r="C198" s="8">
        <f>C197*'Вариативные ставки'!C63</f>
        <v>-5000</v>
      </c>
      <c r="D198" s="8">
        <f>D197*'Вариативные ставки'!D63</f>
        <v>1646.2584275531663</v>
      </c>
      <c r="E198" s="8">
        <f>E197*'Вариативные ставки'!E63</f>
        <v>199.35593702275162</v>
      </c>
      <c r="F198" s="8">
        <f>F197*'Вариативные ставки'!F63</f>
        <v>2758.2467601522139</v>
      </c>
      <c r="G198" s="8">
        <f>G197*'Вариативные ставки'!G63</f>
        <v>4154.6709285564193</v>
      </c>
      <c r="H198" s="8">
        <f>H197*'Вариативные ставки'!H63</f>
        <v>4450.4041995888165</v>
      </c>
      <c r="I198" s="81">
        <f>SUM(C198:H198)</f>
        <v>8208.9362528733673</v>
      </c>
      <c r="J198" s="227">
        <f>'Вариативные ставки'!I64</f>
        <v>11007.325678089361</v>
      </c>
    </row>
    <row r="199" spans="1:12" ht="21.75" thickBot="1" x14ac:dyDescent="0.3">
      <c r="A199" s="230" t="s">
        <v>219</v>
      </c>
      <c r="I199" s="91">
        <f>IRR(C197:H197,0.0001)</f>
        <v>0.56831070827024854</v>
      </c>
      <c r="J199" s="229">
        <f>'Вариативные ставки'!I66</f>
        <v>0.71462228398451022</v>
      </c>
    </row>
    <row r="200" spans="1:12" ht="16.5" thickBot="1" x14ac:dyDescent="0.3">
      <c r="A200" s="231" t="s">
        <v>546</v>
      </c>
      <c r="B200" s="231"/>
      <c r="C200" s="232">
        <f>C198</f>
        <v>-5000</v>
      </c>
      <c r="D200" s="232">
        <f>C200+D198</f>
        <v>-3353.7415724468337</v>
      </c>
      <c r="E200" s="232">
        <f t="shared" ref="E200:H200" si="110">D200+E198</f>
        <v>-3154.385635424082</v>
      </c>
      <c r="F200" s="232">
        <f t="shared" si="110"/>
        <v>-396.13887527186807</v>
      </c>
      <c r="G200" s="232">
        <f t="shared" si="110"/>
        <v>3758.5320532845512</v>
      </c>
      <c r="H200" s="232">
        <f t="shared" si="110"/>
        <v>8208.9362528733673</v>
      </c>
    </row>
    <row r="201" spans="1:12" ht="21.75" thickBot="1" x14ac:dyDescent="0.3">
      <c r="A201" s="230" t="s">
        <v>69</v>
      </c>
      <c r="G201" s="20">
        <f>G200/G198</f>
        <v>0.90465216569883422</v>
      </c>
      <c r="I201" s="85">
        <f>COUNTIF(C200:H200,"&lt;0")-G201</f>
        <v>3.0953478343011658</v>
      </c>
      <c r="J201" s="95">
        <f>'Вариативные ставки'!I90</f>
        <v>2.5833994956627619</v>
      </c>
    </row>
    <row r="202" spans="1:12" ht="31.5" x14ac:dyDescent="0.25">
      <c r="A202" s="275" t="s">
        <v>547</v>
      </c>
      <c r="B202" s="130">
        <f>'Вариативные ставки'!B95</f>
        <v>0.1</v>
      </c>
      <c r="C202" s="233">
        <f>IF(C197&gt;0,C197*'Вариативные ставки'!C73,0)</f>
        <v>0</v>
      </c>
      <c r="D202" s="233">
        <f>IF(D197&gt;0,D197*'Вариативные ставки'!D73,0)</f>
        <v>2856.5827796803642</v>
      </c>
      <c r="E202" s="233">
        <f>IF(E197&gt;0,E197*'Вариативные ставки'!E73,0)</f>
        <v>372.70339885844726</v>
      </c>
      <c r="F202" s="233">
        <f>IF(F197&gt;0,F197*'Вариативные ставки'!F73,0)</f>
        <v>5555.8776455479447</v>
      </c>
      <c r="G202" s="233">
        <f>IF(G197&gt;0,G197*'Вариативные ставки'!G73,0)</f>
        <v>9016.574264726034</v>
      </c>
      <c r="H202" s="233">
        <f>IF(H197&gt;0,H197*'Вариативные ставки'!H73,0)</f>
        <v>10406.142446601014</v>
      </c>
      <c r="I202" s="29">
        <f>SUM(C202:H202)</f>
        <v>28207.880535413802</v>
      </c>
    </row>
    <row r="203" spans="1:12" ht="31.5" x14ac:dyDescent="0.25">
      <c r="A203" s="275" t="s">
        <v>548</v>
      </c>
      <c r="B203" s="130">
        <f>B196</f>
        <v>0.18516293810914031</v>
      </c>
      <c r="C203" s="29">
        <f>IF(C197&lt;0,-C197*'Вариативные ставки'!C74,0)</f>
        <v>5000</v>
      </c>
      <c r="D203" s="29">
        <f>IF(D197&lt;0,-D197*'Вариативные ставки'!D74,0)</f>
        <v>0</v>
      </c>
      <c r="E203" s="29">
        <f>IF(E197&lt;0,-E197*'Вариативные ставки'!E74,0)</f>
        <v>0</v>
      </c>
      <c r="F203" s="29">
        <f>IF(F197&lt;0,-F197*'Вариативные ставки'!F74,0)</f>
        <v>0</v>
      </c>
      <c r="G203" s="29">
        <f>IF(G197&lt;0,-G197*'Вариативные ставки'!G74,0)</f>
        <v>0</v>
      </c>
      <c r="H203" s="29">
        <f>IF(H197&lt;0,-H197*'Вариативные ставки'!H74,0)</f>
        <v>0</v>
      </c>
      <c r="I203" s="29">
        <f>SUM(C203:H203)</f>
        <v>5000</v>
      </c>
      <c r="L203" s="20"/>
    </row>
    <row r="204" spans="1:12" ht="32.25" thickBot="1" x14ac:dyDescent="0.3">
      <c r="A204" s="275" t="s">
        <v>549</v>
      </c>
      <c r="B204" s="130">
        <f>B203</f>
        <v>0.18516293810914031</v>
      </c>
      <c r="I204" s="29">
        <f>I202/(1+B204)^G4</f>
        <v>12063.689368129832</v>
      </c>
      <c r="L204" s="20"/>
    </row>
    <row r="205" spans="1:12" ht="21.75" thickBot="1" x14ac:dyDescent="0.3">
      <c r="A205" s="230" t="s">
        <v>70</v>
      </c>
      <c r="I205" s="81">
        <f>I204-I203</f>
        <v>7063.6893681298316</v>
      </c>
      <c r="J205" s="234">
        <f>'Вариативные ставки'!I78</f>
        <v>9338.6136917972744</v>
      </c>
    </row>
    <row r="206" spans="1:12" ht="42.75" thickBot="1" x14ac:dyDescent="0.3">
      <c r="A206" s="230" t="s">
        <v>46</v>
      </c>
      <c r="I206" s="87">
        <f>MIRR(C197:H197,B203,B202)</f>
        <v>0.41344882864263055</v>
      </c>
      <c r="J206" s="235">
        <f>'Вариативные ставки'!I80</f>
        <v>0.44660141593824876</v>
      </c>
    </row>
    <row r="207" spans="1:12" ht="104.25" thickBot="1" x14ac:dyDescent="0.3">
      <c r="A207" s="174" t="s">
        <v>550</v>
      </c>
      <c r="B207" s="64"/>
      <c r="C207" s="58" t="s">
        <v>5</v>
      </c>
      <c r="D207" s="59" t="s">
        <v>0</v>
      </c>
      <c r="E207" s="59" t="s">
        <v>1</v>
      </c>
      <c r="F207" s="59" t="s">
        <v>2</v>
      </c>
      <c r="G207" s="59" t="s">
        <v>3</v>
      </c>
      <c r="H207" s="59" t="s">
        <v>4</v>
      </c>
      <c r="I207" s="60" t="s">
        <v>551</v>
      </c>
    </row>
    <row r="208" spans="1:12" ht="38.25" thickBot="1" x14ac:dyDescent="0.3">
      <c r="A208" s="18" t="s">
        <v>552</v>
      </c>
      <c r="C208" s="3">
        <f>C149</f>
        <v>5000</v>
      </c>
      <c r="D208" s="3">
        <f t="shared" ref="D208:H208" si="111">D149</f>
        <v>6775</v>
      </c>
      <c r="E208" s="3">
        <f t="shared" si="111"/>
        <v>10750</v>
      </c>
      <c r="F208" s="3">
        <f t="shared" si="111"/>
        <v>9149.1666666666661</v>
      </c>
      <c r="G208" s="3">
        <f t="shared" si="111"/>
        <v>7694.5</v>
      </c>
      <c r="H208" s="3">
        <f t="shared" si="111"/>
        <v>6309.2</v>
      </c>
      <c r="I208" s="234">
        <f>AVERAGE(C208:H208)</f>
        <v>7612.9777777777772</v>
      </c>
      <c r="J208"/>
    </row>
    <row r="209" spans="1:10" ht="19.5" thickBot="1" x14ac:dyDescent="0.3">
      <c r="A209" s="14" t="s">
        <v>553</v>
      </c>
      <c r="C209" s="3">
        <f>C25</f>
        <v>0</v>
      </c>
      <c r="D209" s="3">
        <f t="shared" ref="D209:H209" si="112">D25</f>
        <v>3300</v>
      </c>
      <c r="E209" s="3">
        <f t="shared" si="112"/>
        <v>-1676</v>
      </c>
      <c r="F209" s="3">
        <f t="shared" si="112"/>
        <v>5308.1333333333332</v>
      </c>
      <c r="G209" s="3">
        <f t="shared" si="112"/>
        <v>7512.4146666666684</v>
      </c>
      <c r="H209" s="3">
        <f t="shared" si="112"/>
        <v>9841.0381699999944</v>
      </c>
      <c r="I209" s="234">
        <f>AVERAGE(C209:H209)</f>
        <v>4047.597694999999</v>
      </c>
      <c r="J209"/>
    </row>
    <row r="210" spans="1:10" ht="63.75" thickBot="1" x14ac:dyDescent="0.3">
      <c r="A210" s="276" t="s">
        <v>554</v>
      </c>
      <c r="I210" s="87">
        <f>I209/I208</f>
        <v>0.53167076184235096</v>
      </c>
    </row>
    <row r="211" spans="1:10" ht="81" thickBot="1" x14ac:dyDescent="0.3">
      <c r="A211" s="174" t="s">
        <v>555</v>
      </c>
      <c r="B211" s="64"/>
      <c r="C211" s="58" t="s">
        <v>5</v>
      </c>
      <c r="D211" s="59" t="s">
        <v>0</v>
      </c>
      <c r="E211" s="59" t="s">
        <v>1</v>
      </c>
      <c r="F211" s="59" t="s">
        <v>2</v>
      </c>
      <c r="G211" s="59" t="s">
        <v>3</v>
      </c>
      <c r="H211" s="59" t="s">
        <v>4</v>
      </c>
      <c r="I211" s="60" t="s">
        <v>551</v>
      </c>
    </row>
    <row r="212" spans="1:10" ht="18.75" x14ac:dyDescent="0.25">
      <c r="A212" s="14" t="s">
        <v>232</v>
      </c>
      <c r="D212" s="3">
        <f>D25-D23-D21</f>
        <v>3925</v>
      </c>
      <c r="E212" s="3">
        <f>E25-E23-E21</f>
        <v>-231</v>
      </c>
      <c r="F212" s="3">
        <f>F25-F23-F21</f>
        <v>7328.9666666666662</v>
      </c>
      <c r="G212" s="3">
        <f>G25-G23-G21</f>
        <v>9367.0813333333354</v>
      </c>
      <c r="H212" s="3">
        <f>H25-H23-H21</f>
        <v>11631.338169999994</v>
      </c>
    </row>
    <row r="213" spans="1:10" ht="57" thickBot="1" x14ac:dyDescent="0.3">
      <c r="A213" s="264" t="s">
        <v>556</v>
      </c>
      <c r="D213" s="3">
        <f>-D18-D23</f>
        <v>5400</v>
      </c>
      <c r="E213" s="3">
        <f t="shared" ref="E213:H213" si="113">-E18-E23</f>
        <v>6420</v>
      </c>
      <c r="F213" s="3">
        <f t="shared" si="113"/>
        <v>7420</v>
      </c>
      <c r="G213" s="3">
        <f t="shared" si="113"/>
        <v>8400</v>
      </c>
      <c r="H213" s="3">
        <f t="shared" si="113"/>
        <v>9405</v>
      </c>
    </row>
    <row r="214" spans="1:10" ht="42.75" thickBot="1" x14ac:dyDescent="0.3">
      <c r="A214" s="276" t="s">
        <v>557</v>
      </c>
      <c r="D214" s="97">
        <f>D212/D213</f>
        <v>0.72685185185185186</v>
      </c>
      <c r="E214" s="97">
        <f t="shared" ref="E214:H214" si="114">E212/E213</f>
        <v>-3.5981308411214954E-2</v>
      </c>
      <c r="F214" s="97">
        <f t="shared" si="114"/>
        <v>0.98773135669362078</v>
      </c>
      <c r="G214" s="97">
        <f t="shared" si="114"/>
        <v>1.1151287301587305</v>
      </c>
      <c r="H214" s="97">
        <f t="shared" si="114"/>
        <v>1.2367185720361502</v>
      </c>
      <c r="I214" s="83">
        <f>AVERAGE(D214:H214)</f>
        <v>0.80608984046582788</v>
      </c>
    </row>
  </sheetData>
  <mergeCells count="7">
    <mergeCell ref="J54:L54"/>
    <mergeCell ref="J55:L55"/>
    <mergeCell ref="C69:H69"/>
    <mergeCell ref="C50:H50"/>
    <mergeCell ref="E59:J59"/>
    <mergeCell ref="I50:O50"/>
    <mergeCell ref="I51:O5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opLeftCell="D7" workbookViewId="0">
      <selection activeCell="F20" sqref="F20"/>
    </sheetView>
  </sheetViews>
  <sheetFormatPr defaultColWidth="8.85546875" defaultRowHeight="15" x14ac:dyDescent="0.25"/>
  <cols>
    <col min="1" max="4" width="40.7109375" style="68" customWidth="1"/>
    <col min="5" max="5" width="23.85546875" style="152" customWidth="1"/>
    <col min="6" max="6" width="40.7109375" style="68" customWidth="1"/>
    <col min="7" max="7" width="72" style="68" customWidth="1"/>
    <col min="8" max="16384" width="8.85546875" style="68"/>
  </cols>
  <sheetData>
    <row r="1" spans="1:7" ht="52.5" x14ac:dyDescent="0.25">
      <c r="A1" s="143" t="s">
        <v>45</v>
      </c>
    </row>
    <row r="2" spans="1:7" s="73" customFormat="1" ht="21" x14ac:dyDescent="0.25">
      <c r="A2" s="72" t="s">
        <v>15</v>
      </c>
      <c r="B2" s="72" t="s">
        <v>16</v>
      </c>
      <c r="C2" s="72" t="s">
        <v>18</v>
      </c>
      <c r="D2" s="72" t="s">
        <v>19</v>
      </c>
      <c r="E2" s="72" t="s">
        <v>88</v>
      </c>
      <c r="F2" s="72" t="s">
        <v>44</v>
      </c>
      <c r="G2" s="72" t="s">
        <v>84</v>
      </c>
    </row>
    <row r="3" spans="1:7" ht="45" x14ac:dyDescent="0.25">
      <c r="A3" s="71" t="s">
        <v>221</v>
      </c>
      <c r="B3" s="68" t="s">
        <v>220</v>
      </c>
      <c r="C3" s="68" t="s">
        <v>222</v>
      </c>
      <c r="D3" s="68" t="s">
        <v>223</v>
      </c>
      <c r="E3" s="153" t="s">
        <v>574</v>
      </c>
      <c r="G3" s="68" t="s">
        <v>224</v>
      </c>
    </row>
    <row r="4" spans="1:7" ht="63.75" x14ac:dyDescent="0.25">
      <c r="A4" s="70" t="s">
        <v>76</v>
      </c>
      <c r="B4" s="68" t="s">
        <v>73</v>
      </c>
      <c r="C4" s="68" t="s">
        <v>75</v>
      </c>
      <c r="D4" s="68" t="s">
        <v>74</v>
      </c>
      <c r="E4" s="153" t="s">
        <v>225</v>
      </c>
    </row>
    <row r="5" spans="1:7" ht="75" x14ac:dyDescent="0.25">
      <c r="A5" s="69" t="s">
        <v>61</v>
      </c>
      <c r="B5" s="68" t="s">
        <v>43</v>
      </c>
      <c r="C5" s="68" t="s">
        <v>81</v>
      </c>
      <c r="D5" s="68" t="s">
        <v>80</v>
      </c>
      <c r="E5" s="153" t="s">
        <v>574</v>
      </c>
      <c r="F5" s="68" t="s">
        <v>575</v>
      </c>
    </row>
    <row r="6" spans="1:7" ht="75" x14ac:dyDescent="0.25">
      <c r="A6" s="68" t="s">
        <v>59</v>
      </c>
      <c r="B6" s="68" t="s">
        <v>37</v>
      </c>
      <c r="C6" s="68" t="s">
        <v>39</v>
      </c>
      <c r="D6" s="68" t="s">
        <v>38</v>
      </c>
      <c r="E6" s="153" t="s">
        <v>574</v>
      </c>
      <c r="F6" s="68" t="s">
        <v>576</v>
      </c>
    </row>
    <row r="7" spans="1:7" ht="75" x14ac:dyDescent="0.25">
      <c r="A7" s="69" t="s">
        <v>57</v>
      </c>
      <c r="B7" s="68" t="s">
        <v>33</v>
      </c>
      <c r="C7" s="68" t="s">
        <v>32</v>
      </c>
      <c r="D7" s="68" t="s">
        <v>29</v>
      </c>
      <c r="E7" s="153" t="s">
        <v>574</v>
      </c>
    </row>
    <row r="8" spans="1:7" ht="45" customHeight="1" x14ac:dyDescent="0.25">
      <c r="A8" s="71" t="s">
        <v>58</v>
      </c>
      <c r="B8" s="68" t="s">
        <v>35</v>
      </c>
      <c r="C8" s="68" t="s">
        <v>36</v>
      </c>
      <c r="D8" s="68" t="s">
        <v>34</v>
      </c>
      <c r="E8" s="153" t="s">
        <v>226</v>
      </c>
    </row>
    <row r="9" spans="1:7" ht="75" x14ac:dyDescent="0.25">
      <c r="A9" s="71" t="s">
        <v>63</v>
      </c>
      <c r="B9" s="68" t="s">
        <v>48</v>
      </c>
      <c r="C9" s="68" t="s">
        <v>49</v>
      </c>
      <c r="D9" s="68" t="s">
        <v>47</v>
      </c>
      <c r="E9" s="153" t="s">
        <v>227</v>
      </c>
      <c r="F9" s="68" t="s">
        <v>577</v>
      </c>
    </row>
    <row r="10" spans="1:7" ht="75.75" x14ac:dyDescent="0.25">
      <c r="A10" s="70" t="s">
        <v>64</v>
      </c>
      <c r="B10" s="68" t="s">
        <v>50</v>
      </c>
      <c r="C10" s="68" t="s">
        <v>52</v>
      </c>
      <c r="D10" s="68" t="s">
        <v>51</v>
      </c>
      <c r="E10" s="153" t="s">
        <v>574</v>
      </c>
    </row>
    <row r="11" spans="1:7" ht="60" x14ac:dyDescent="0.25">
      <c r="A11" s="71" t="s">
        <v>66</v>
      </c>
      <c r="B11" s="68" t="s">
        <v>67</v>
      </c>
      <c r="C11" s="68" t="s">
        <v>68</v>
      </c>
      <c r="D11" s="68" t="s">
        <v>65</v>
      </c>
      <c r="E11" s="153" t="s">
        <v>574</v>
      </c>
    </row>
    <row r="12" spans="1:7" ht="45" customHeight="1" x14ac:dyDescent="0.25">
      <c r="A12" s="70" t="s">
        <v>53</v>
      </c>
      <c r="B12" s="68" t="s">
        <v>17</v>
      </c>
      <c r="C12" s="68" t="s">
        <v>20</v>
      </c>
      <c r="D12" s="68" t="s">
        <v>24</v>
      </c>
      <c r="E12" s="153" t="s">
        <v>574</v>
      </c>
    </row>
    <row r="13" spans="1:7" ht="60" x14ac:dyDescent="0.25">
      <c r="A13" s="70" t="s">
        <v>71</v>
      </c>
      <c r="B13" s="68" t="s">
        <v>72</v>
      </c>
      <c r="C13" s="68" t="s">
        <v>77</v>
      </c>
      <c r="D13" s="68" t="s">
        <v>78</v>
      </c>
      <c r="E13" s="153" t="s">
        <v>90</v>
      </c>
    </row>
    <row r="14" spans="1:7" ht="60" x14ac:dyDescent="0.25">
      <c r="A14" s="70" t="s">
        <v>56</v>
      </c>
      <c r="B14" s="68" t="s">
        <v>25</v>
      </c>
      <c r="C14" s="68" t="s">
        <v>27</v>
      </c>
      <c r="D14" s="68" t="s">
        <v>28</v>
      </c>
      <c r="E14" s="153" t="s">
        <v>228</v>
      </c>
    </row>
    <row r="15" spans="1:7" ht="70.150000000000006" customHeight="1" x14ac:dyDescent="0.25">
      <c r="A15" s="71" t="s">
        <v>60</v>
      </c>
      <c r="B15" s="68" t="s">
        <v>40</v>
      </c>
      <c r="C15" s="68" t="s">
        <v>42</v>
      </c>
      <c r="D15" s="68" t="s">
        <v>41</v>
      </c>
      <c r="E15" s="153" t="s">
        <v>574</v>
      </c>
    </row>
    <row r="16" spans="1:7" ht="70.150000000000006" customHeight="1" x14ac:dyDescent="0.25">
      <c r="A16" s="70" t="s">
        <v>91</v>
      </c>
      <c r="B16" s="68" t="s">
        <v>94</v>
      </c>
      <c r="E16" s="153" t="s">
        <v>574</v>
      </c>
    </row>
    <row r="17" spans="1:7" ht="60" x14ac:dyDescent="0.25">
      <c r="A17" s="69" t="s">
        <v>55</v>
      </c>
      <c r="B17" s="68" t="s">
        <v>23</v>
      </c>
      <c r="C17" s="68" t="s">
        <v>31</v>
      </c>
      <c r="D17" s="68" t="s">
        <v>30</v>
      </c>
      <c r="E17" s="153" t="s">
        <v>574</v>
      </c>
    </row>
    <row r="18" spans="1:7" ht="60" x14ac:dyDescent="0.25">
      <c r="A18" s="70" t="s">
        <v>54</v>
      </c>
      <c r="B18" s="68" t="s">
        <v>21</v>
      </c>
      <c r="C18" s="68" t="s">
        <v>26</v>
      </c>
      <c r="D18" s="68" t="s">
        <v>22</v>
      </c>
      <c r="E18" s="153" t="s">
        <v>229</v>
      </c>
    </row>
    <row r="19" spans="1:7" ht="150" x14ac:dyDescent="0.25">
      <c r="A19" s="71" t="s">
        <v>62</v>
      </c>
      <c r="B19" s="68" t="s">
        <v>89</v>
      </c>
      <c r="C19" s="68" t="s">
        <v>86</v>
      </c>
      <c r="D19" s="68" t="s">
        <v>85</v>
      </c>
      <c r="E19" s="153" t="s">
        <v>574</v>
      </c>
      <c r="F19" s="68" t="s">
        <v>578</v>
      </c>
      <c r="G19" s="68" t="s">
        <v>87</v>
      </c>
    </row>
    <row r="20" spans="1:7" ht="60" x14ac:dyDescent="0.25">
      <c r="A20" s="71" t="s">
        <v>92</v>
      </c>
      <c r="B20" s="68" t="s">
        <v>93</v>
      </c>
      <c r="C20" s="68" t="s">
        <v>230</v>
      </c>
      <c r="D20" s="68" t="s">
        <v>231</v>
      </c>
      <c r="E20" s="153" t="s">
        <v>574</v>
      </c>
    </row>
    <row r="21" spans="1:7" ht="15.75" thickBot="1" x14ac:dyDescent="0.3"/>
    <row r="22" spans="1:7" ht="30.75" thickBot="1" x14ac:dyDescent="0.3">
      <c r="A22" s="89" t="s">
        <v>564</v>
      </c>
      <c r="B22" s="236"/>
    </row>
    <row r="23" spans="1:7" ht="30.75" thickBot="1" x14ac:dyDescent="0.3">
      <c r="A23" s="89" t="s">
        <v>565</v>
      </c>
      <c r="B23" s="237"/>
    </row>
    <row r="24" spans="1:7" ht="30.75" thickBot="1" x14ac:dyDescent="0.3">
      <c r="A24" s="89" t="s">
        <v>566</v>
      </c>
      <c r="B24" s="238"/>
    </row>
    <row r="26" spans="1:7" ht="18.75" x14ac:dyDescent="0.25">
      <c r="B26" s="154" t="s">
        <v>563</v>
      </c>
    </row>
    <row r="27" spans="1:7" ht="64.900000000000006" customHeight="1" x14ac:dyDescent="0.25">
      <c r="A27" s="68" t="s">
        <v>567</v>
      </c>
      <c r="B27"/>
    </row>
    <row r="28" spans="1:7" ht="45" customHeight="1" x14ac:dyDescent="0.25">
      <c r="A28" s="68" t="s">
        <v>568</v>
      </c>
    </row>
    <row r="29" spans="1:7" ht="45" customHeight="1" x14ac:dyDescent="0.25">
      <c r="A29" s="68" t="s">
        <v>569</v>
      </c>
    </row>
    <row r="30" spans="1:7" ht="45" customHeight="1" x14ac:dyDescent="0.25">
      <c r="A30" s="68" t="s">
        <v>570</v>
      </c>
      <c r="B30"/>
    </row>
    <row r="31" spans="1:7" ht="45" customHeight="1" x14ac:dyDescent="0.25">
      <c r="A31" s="68" t="s">
        <v>571</v>
      </c>
    </row>
    <row r="32" spans="1:7" ht="45" customHeight="1" x14ac:dyDescent="0.25">
      <c r="A32" s="68" t="s">
        <v>570</v>
      </c>
      <c r="B32"/>
    </row>
    <row r="33" spans="1:2" ht="45" customHeight="1" x14ac:dyDescent="0.25">
      <c r="A33" s="68" t="s">
        <v>572</v>
      </c>
      <c r="B33"/>
    </row>
    <row r="34" spans="1:2" ht="45" customHeight="1" x14ac:dyDescent="0.25">
      <c r="A34" s="68" t="s">
        <v>573</v>
      </c>
      <c r="B3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83"/>
  <sheetViews>
    <sheetView workbookViewId="0">
      <selection activeCell="I4" sqref="I4"/>
    </sheetView>
  </sheetViews>
  <sheetFormatPr defaultColWidth="8.85546875" defaultRowHeight="15" x14ac:dyDescent="0.25"/>
  <cols>
    <col min="1" max="1" width="51.5703125" style="1" customWidth="1"/>
    <col min="2" max="2" width="10.42578125" style="1" customWidth="1"/>
    <col min="3" max="8" width="10.7109375" style="1" customWidth="1"/>
    <col min="9" max="10" width="12.7109375" style="1" customWidth="1"/>
    <col min="11" max="16384" width="8.85546875" style="1"/>
  </cols>
  <sheetData>
    <row r="1" spans="1:13" ht="28.5" x14ac:dyDescent="0.25">
      <c r="A1" s="222" t="s">
        <v>595</v>
      </c>
      <c r="C1" s="6"/>
      <c r="E1" s="44"/>
    </row>
    <row r="2" spans="1:13" ht="19.5" thickBot="1" x14ac:dyDescent="0.3">
      <c r="A2" s="12" t="s">
        <v>218</v>
      </c>
      <c r="C2" s="6"/>
      <c r="E2" s="44"/>
    </row>
    <row r="3" spans="1:13" ht="63.75" thickBot="1" x14ac:dyDescent="0.3">
      <c r="A3" s="267" t="s">
        <v>378</v>
      </c>
      <c r="B3" s="53" t="s">
        <v>237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238</v>
      </c>
    </row>
    <row r="4" spans="1:13" ht="18.75" x14ac:dyDescent="0.25">
      <c r="A4" s="22" t="s">
        <v>242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3" ht="16.5" thickBot="1" x14ac:dyDescent="0.3">
      <c r="A5" s="1" t="s">
        <v>239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3" ht="16.5" thickBot="1" x14ac:dyDescent="0.3">
      <c r="A6" s="1" t="s">
        <v>240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3" ht="16.5" thickBot="1" x14ac:dyDescent="0.3">
      <c r="A7" s="1" t="s">
        <v>241</v>
      </c>
      <c r="C7" s="7"/>
      <c r="D7" s="246">
        <v>75</v>
      </c>
      <c r="E7" s="1">
        <f>D7*0.4</f>
        <v>30</v>
      </c>
      <c r="F7" s="1">
        <f>E7*4.166667</f>
        <v>125.00001</v>
      </c>
      <c r="G7" s="1">
        <f>F7*1.2</f>
        <v>150.000012</v>
      </c>
      <c r="H7" s="1">
        <f>G7*1.166667</f>
        <v>175.00006400000399</v>
      </c>
      <c r="I7" s="8">
        <f t="shared" ref="I7" si="1">SUM(D7:H7)</f>
        <v>555.00008600000399</v>
      </c>
      <c r="K7" s="64"/>
      <c r="L7" s="64"/>
      <c r="M7" s="64"/>
    </row>
    <row r="8" spans="1:13" s="6" customFormat="1" ht="16.5" thickBot="1" x14ac:dyDescent="0.3">
      <c r="A8" s="99" t="s">
        <v>355</v>
      </c>
      <c r="B8" s="99"/>
      <c r="C8" s="100"/>
      <c r="D8" s="245">
        <v>0.06</v>
      </c>
      <c r="E8" s="242">
        <f>D8*0.8333</f>
        <v>4.9998000000000001E-2</v>
      </c>
      <c r="F8" s="242">
        <f>E8*0.9</f>
        <v>4.4998200000000002E-2</v>
      </c>
      <c r="G8" s="242">
        <f>F8*0.8889</f>
        <v>3.9998899980000002E-2</v>
      </c>
      <c r="H8" s="242">
        <f>G8</f>
        <v>3.9998899980000002E-2</v>
      </c>
      <c r="I8" s="102"/>
      <c r="K8" s="247"/>
      <c r="L8" s="247"/>
      <c r="M8" s="247"/>
    </row>
    <row r="9" spans="1:13" ht="15.75" x14ac:dyDescent="0.25">
      <c r="A9" s="1" t="s">
        <v>356</v>
      </c>
      <c r="C9" s="7">
        <f>D9/(1+D8)</f>
        <v>188.67924528301887</v>
      </c>
      <c r="D9" s="7">
        <v>200</v>
      </c>
      <c r="E9" s="7">
        <f>D9*(1+E8)</f>
        <v>209.99959999999999</v>
      </c>
      <c r="F9" s="7">
        <f t="shared" ref="F9:H9" si="2">E9*(1+F8)</f>
        <v>219.44920400071999</v>
      </c>
      <c r="G9" s="7">
        <f t="shared" si="2"/>
        <v>228.22693076223541</v>
      </c>
      <c r="H9" s="7">
        <f t="shared" si="2"/>
        <v>237.35575693853647</v>
      </c>
      <c r="I9" s="8">
        <f>SUM(D9:H9)/COUNTA(D9:H9)</f>
        <v>219.00629834029837</v>
      </c>
    </row>
    <row r="10" spans="1:13" ht="16.5" thickBot="1" x14ac:dyDescent="0.3">
      <c r="A10" s="4" t="s">
        <v>357</v>
      </c>
      <c r="B10" s="4"/>
      <c r="C10" s="11"/>
      <c r="D10" s="11">
        <f>D9*D7</f>
        <v>15000</v>
      </c>
      <c r="E10" s="11">
        <f>E9*E7</f>
        <v>6299.9879999999994</v>
      </c>
      <c r="F10" s="11">
        <f>F9*F7</f>
        <v>27431.152694582041</v>
      </c>
      <c r="G10" s="11">
        <f>G9*G7</f>
        <v>34234.042353058481</v>
      </c>
      <c r="H10" s="11">
        <f>H9*H7</f>
        <v>41537.272655013272</v>
      </c>
      <c r="I10" s="8">
        <f>SUM(D10:H10)</f>
        <v>124502.4557026538</v>
      </c>
    </row>
    <row r="11" spans="1:13" s="6" customFormat="1" ht="16.5" thickBot="1" x14ac:dyDescent="0.3">
      <c r="A11" s="99" t="s">
        <v>358</v>
      </c>
      <c r="B11" s="99"/>
      <c r="C11" s="100"/>
      <c r="D11" s="245">
        <v>0.08</v>
      </c>
      <c r="E11" s="242">
        <f>D11*0.875</f>
        <v>7.0000000000000007E-2</v>
      </c>
      <c r="F11" s="242">
        <f>E11*0.857143</f>
        <v>6.0000010000000006E-2</v>
      </c>
      <c r="G11" s="242">
        <f>F11*0.8333</f>
        <v>4.9998008333000006E-2</v>
      </c>
      <c r="H11" s="242">
        <f>G11*0.9</f>
        <v>4.4998207499700009E-2</v>
      </c>
      <c r="I11" s="102"/>
      <c r="K11" s="242"/>
      <c r="L11" s="242"/>
      <c r="M11" s="242"/>
    </row>
    <row r="12" spans="1:13" ht="15.75" x14ac:dyDescent="0.25">
      <c r="A12" s="4" t="s">
        <v>252</v>
      </c>
      <c r="B12" s="4"/>
      <c r="C12" s="11"/>
      <c r="D12" s="11">
        <f>D13+D14</f>
        <v>-10250</v>
      </c>
      <c r="E12" s="11">
        <f t="shared" ref="E12:H12" si="3">E13+E14</f>
        <v>-6531</v>
      </c>
      <c r="F12" s="11">
        <f t="shared" si="3"/>
        <v>-18775.251424745013</v>
      </c>
      <c r="G12" s="11">
        <f t="shared" si="3"/>
        <v>-22988.973182720525</v>
      </c>
      <c r="H12" s="11">
        <f t="shared" si="3"/>
        <v>-27445.808169422729</v>
      </c>
      <c r="I12" s="8">
        <f t="shared" ref="I12:I14" si="4">SUM(D12:H12)</f>
        <v>-85991.032776888271</v>
      </c>
    </row>
    <row r="13" spans="1:13" s="6" customFormat="1" ht="15.75" x14ac:dyDescent="0.25">
      <c r="A13" s="6" t="s">
        <v>244</v>
      </c>
      <c r="C13" s="10"/>
      <c r="D13" s="10">
        <v>-2000</v>
      </c>
      <c r="E13" s="10">
        <v>-3000</v>
      </c>
      <c r="F13" s="7">
        <f>E13*(1+F11)</f>
        <v>-3180.0000300000002</v>
      </c>
      <c r="G13" s="7">
        <f t="shared" ref="G13:H13" si="5">F13*(1+G11)</f>
        <v>-3338.9936979988806</v>
      </c>
      <c r="H13" s="7">
        <f t="shared" si="5"/>
        <v>-3489.2424292616247</v>
      </c>
      <c r="I13" s="8">
        <f t="shared" si="4"/>
        <v>-15008.236157260506</v>
      </c>
    </row>
    <row r="14" spans="1:13" s="6" customFormat="1" ht="15.75" x14ac:dyDescent="0.25">
      <c r="A14" s="6" t="s">
        <v>245</v>
      </c>
      <c r="C14" s="10"/>
      <c r="D14" s="10">
        <f>-D15*D7</f>
        <v>-8250</v>
      </c>
      <c r="E14" s="10">
        <f>-E15*E7</f>
        <v>-3531</v>
      </c>
      <c r="F14" s="10">
        <f>-F15*F7</f>
        <v>-15595.251394745012</v>
      </c>
      <c r="G14" s="10">
        <f>-G15*G7</f>
        <v>-19649.979484721644</v>
      </c>
      <c r="H14" s="10">
        <f>-H15*H7</f>
        <v>-23956.565740161106</v>
      </c>
      <c r="I14" s="8">
        <f t="shared" si="4"/>
        <v>-70982.79661962777</v>
      </c>
    </row>
    <row r="15" spans="1:13" s="6" customFormat="1" ht="15.75" x14ac:dyDescent="0.25">
      <c r="A15" s="6" t="s">
        <v>247</v>
      </c>
      <c r="C15" s="10"/>
      <c r="D15" s="10">
        <v>110</v>
      </c>
      <c r="E15" s="10">
        <f>D15*(1+E11)</f>
        <v>117.7</v>
      </c>
      <c r="F15" s="10">
        <f t="shared" ref="F15:H15" si="6">E15*(1+F11)</f>
        <v>124.762001177</v>
      </c>
      <c r="G15" s="10">
        <f t="shared" si="6"/>
        <v>130.99985275148941</v>
      </c>
      <c r="H15" s="10">
        <f t="shared" si="6"/>
        <v>136.89461130803107</v>
      </c>
      <c r="I15" s="8">
        <f>SUM(D15:H15)/COUNTA(D15:H15)</f>
        <v>124.07129304730411</v>
      </c>
      <c r="J15" s="1"/>
    </row>
    <row r="16" spans="1:13" s="6" customFormat="1" ht="30" x14ac:dyDescent="0.25">
      <c r="A16" s="257" t="s">
        <v>248</v>
      </c>
      <c r="C16" s="10"/>
      <c r="D16" s="10">
        <f>-D12/D7</f>
        <v>136.66666666666666</v>
      </c>
      <c r="E16" s="10">
        <f>-E12/E7</f>
        <v>217.7</v>
      </c>
      <c r="F16" s="10">
        <f>-F12/F7</f>
        <v>150.20199938180014</v>
      </c>
      <c r="G16" s="10">
        <f>-G12/G7</f>
        <v>153.25980895735211</v>
      </c>
      <c r="H16" s="10">
        <f>-H12/H7</f>
        <v>156.83313218343795</v>
      </c>
      <c r="I16" s="8">
        <f>SUM(D16:H16)/COUNTA(D16:H16)</f>
        <v>162.93232143785139</v>
      </c>
      <c r="J16" s="1"/>
    </row>
    <row r="17" spans="1:13" s="5" customFormat="1" ht="45" x14ac:dyDescent="0.25">
      <c r="A17" s="106" t="s">
        <v>359</v>
      </c>
      <c r="B17" s="103"/>
      <c r="C17" s="104"/>
      <c r="D17" s="104">
        <v>5000</v>
      </c>
      <c r="E17" s="104">
        <v>6000</v>
      </c>
      <c r="F17" s="104">
        <v>7000</v>
      </c>
      <c r="G17" s="104">
        <v>8000</v>
      </c>
      <c r="H17" s="104">
        <v>9000</v>
      </c>
      <c r="I17" s="105">
        <f t="shared" ref="I17:I27" si="7">SUM(D17:H17)</f>
        <v>35000</v>
      </c>
    </row>
    <row r="18" spans="1:13" s="144" customFormat="1" ht="16.5" thickBot="1" x14ac:dyDescent="0.3">
      <c r="A18" s="122" t="s">
        <v>360</v>
      </c>
      <c r="B18" s="122"/>
      <c r="C18" s="123"/>
      <c r="D18" s="123">
        <f>-D17</f>
        <v>-5000</v>
      </c>
      <c r="E18" s="123">
        <f t="shared" ref="E18:H18" si="8">-E17</f>
        <v>-6000</v>
      </c>
      <c r="F18" s="123">
        <f t="shared" si="8"/>
        <v>-7000</v>
      </c>
      <c r="G18" s="123">
        <f t="shared" si="8"/>
        <v>-8000</v>
      </c>
      <c r="H18" s="123">
        <f t="shared" si="8"/>
        <v>-9000</v>
      </c>
      <c r="I18" s="124">
        <f t="shared" si="7"/>
        <v>-35000</v>
      </c>
    </row>
    <row r="19" spans="1:13" s="6" customFormat="1" ht="16.5" thickBot="1" x14ac:dyDescent="0.3">
      <c r="A19" s="99" t="s">
        <v>361</v>
      </c>
      <c r="B19" s="99"/>
      <c r="C19" s="100"/>
      <c r="D19" s="245">
        <v>0.08</v>
      </c>
      <c r="E19" s="242">
        <f>D19*0.875</f>
        <v>7.0000000000000007E-2</v>
      </c>
      <c r="F19" s="242">
        <f>E19*0.857143</f>
        <v>6.0000010000000006E-2</v>
      </c>
      <c r="G19" s="242">
        <f>F19*0.8333</f>
        <v>4.9998008333000006E-2</v>
      </c>
      <c r="H19" s="242">
        <f>G19*0.9</f>
        <v>4.4998207499700009E-2</v>
      </c>
      <c r="I19" s="102"/>
      <c r="K19" s="247"/>
      <c r="L19" s="247"/>
      <c r="M19" s="247"/>
    </row>
    <row r="20" spans="1:13" s="3" customFormat="1" ht="63.75" thickBot="1" x14ac:dyDescent="0.3">
      <c r="A20" s="13" t="s">
        <v>458</v>
      </c>
      <c r="B20" s="13"/>
      <c r="C20" s="8">
        <f>C10+C12</f>
        <v>0</v>
      </c>
      <c r="D20" s="8">
        <f>D10+D12</f>
        <v>4750</v>
      </c>
      <c r="E20" s="8">
        <f t="shared" ref="E20:H20" si="9">E10+E12</f>
        <v>-231.01200000000063</v>
      </c>
      <c r="F20" s="8">
        <f t="shared" si="9"/>
        <v>8655.9012698370279</v>
      </c>
      <c r="G20" s="8">
        <f t="shared" si="9"/>
        <v>11245.069170337956</v>
      </c>
      <c r="H20" s="8">
        <f t="shared" si="9"/>
        <v>14091.464485590543</v>
      </c>
      <c r="I20" s="49">
        <f t="shared" si="7"/>
        <v>38511.422925765524</v>
      </c>
    </row>
    <row r="21" spans="1:13" s="5" customFormat="1" ht="15.75" x14ac:dyDescent="0.25">
      <c r="A21" s="5" t="s">
        <v>253</v>
      </c>
      <c r="B21" s="16"/>
      <c r="C21" s="9">
        <v>0</v>
      </c>
      <c r="D21" s="9">
        <f>-D83</f>
        <v>-225</v>
      </c>
      <c r="E21" s="9">
        <f t="shared" ref="E21:H21" si="10">-E83</f>
        <v>-1025</v>
      </c>
      <c r="F21" s="9">
        <f t="shared" si="10"/>
        <v>-1600.8333783333333</v>
      </c>
      <c r="G21" s="9">
        <f t="shared" si="10"/>
        <v>-1454.6667206666666</v>
      </c>
      <c r="H21" s="9">
        <f t="shared" si="10"/>
        <v>-1385.3002880000179</v>
      </c>
      <c r="I21" s="8">
        <f t="shared" si="7"/>
        <v>-5690.8003870000175</v>
      </c>
    </row>
    <row r="22" spans="1:13" s="5" customFormat="1" ht="31.5" x14ac:dyDescent="0.25">
      <c r="A22" s="13" t="s">
        <v>459</v>
      </c>
      <c r="B22" s="17"/>
      <c r="C22" s="8">
        <f>C20+C21</f>
        <v>0</v>
      </c>
      <c r="D22" s="8">
        <f>D20+D21</f>
        <v>4525</v>
      </c>
      <c r="E22" s="8">
        <f t="shared" ref="E22:H22" si="11">E20+E21</f>
        <v>-1256.0120000000006</v>
      </c>
      <c r="F22" s="8">
        <f t="shared" si="11"/>
        <v>7055.0678915036951</v>
      </c>
      <c r="G22" s="8">
        <f t="shared" si="11"/>
        <v>9790.40244967129</v>
      </c>
      <c r="H22" s="8">
        <f t="shared" si="11"/>
        <v>12706.164197590524</v>
      </c>
      <c r="I22" s="8">
        <f t="shared" si="7"/>
        <v>32820.622538765507</v>
      </c>
    </row>
    <row r="23" spans="1:13" s="144" customFormat="1" ht="15.75" x14ac:dyDescent="0.25">
      <c r="A23" s="5" t="s">
        <v>254</v>
      </c>
      <c r="B23" s="111"/>
      <c r="D23" s="145">
        <f>-D17*D19</f>
        <v>-400</v>
      </c>
      <c r="E23" s="145">
        <f t="shared" ref="E23:H23" si="12">-E17*E19</f>
        <v>-420.00000000000006</v>
      </c>
      <c r="F23" s="145">
        <f t="shared" si="12"/>
        <v>-420.00007000000005</v>
      </c>
      <c r="G23" s="145">
        <f t="shared" si="12"/>
        <v>-399.98406666400007</v>
      </c>
      <c r="H23" s="145">
        <f t="shared" si="12"/>
        <v>-404.98386749730008</v>
      </c>
      <c r="I23" s="146">
        <f t="shared" si="7"/>
        <v>-2044.9680041613001</v>
      </c>
    </row>
    <row r="24" spans="1:13" s="5" customFormat="1" ht="16.5" thickBot="1" x14ac:dyDescent="0.3">
      <c r="A24" s="5" t="s">
        <v>255</v>
      </c>
      <c r="B24" s="16">
        <v>0.2</v>
      </c>
      <c r="C24" s="9">
        <f t="shared" ref="C24:D24" si="13">IF(C22+C23&lt;0,0,-(C22+C23)*$B$24)</f>
        <v>0</v>
      </c>
      <c r="D24" s="9">
        <f t="shared" si="13"/>
        <v>-825</v>
      </c>
      <c r="E24" s="9">
        <f>IF(E22+E23&lt;0,0,-(E22+E23)*$B$24)</f>
        <v>0</v>
      </c>
      <c r="F24" s="9">
        <f t="shared" ref="F24:H24" si="14">IF(F22+F23&lt;0,0,-(F22+F23)*$B$24)</f>
        <v>-1327.0135643007391</v>
      </c>
      <c r="G24" s="9">
        <f t="shared" si="14"/>
        <v>-1878.0836766014581</v>
      </c>
      <c r="H24" s="9">
        <f t="shared" si="14"/>
        <v>-2460.236066018645</v>
      </c>
      <c r="I24" s="8">
        <f t="shared" si="7"/>
        <v>-6490.333306920842</v>
      </c>
    </row>
    <row r="25" spans="1:13" s="3" customFormat="1" ht="32.25" thickBot="1" x14ac:dyDescent="0.3">
      <c r="A25" s="13" t="s">
        <v>462</v>
      </c>
      <c r="C25" s="8">
        <f>C22+C23+C24</f>
        <v>0</v>
      </c>
      <c r="D25" s="8">
        <f>D22+D23+D24</f>
        <v>3300</v>
      </c>
      <c r="E25" s="8">
        <f t="shared" ref="E25:H25" si="15">E22+E23+E24</f>
        <v>-1676.0120000000006</v>
      </c>
      <c r="F25" s="8">
        <f t="shared" si="15"/>
        <v>5308.0542572029563</v>
      </c>
      <c r="G25" s="8">
        <f t="shared" si="15"/>
        <v>7512.3347064058325</v>
      </c>
      <c r="H25" s="8">
        <f t="shared" si="15"/>
        <v>9840.9442640745801</v>
      </c>
      <c r="I25" s="49">
        <f t="shared" si="7"/>
        <v>24285.321227683369</v>
      </c>
    </row>
    <row r="26" spans="1:13" s="5" customFormat="1" ht="30" x14ac:dyDescent="0.25">
      <c r="A26" s="258" t="s">
        <v>256</v>
      </c>
      <c r="C26" s="9">
        <f>C5</f>
        <v>5000</v>
      </c>
      <c r="D26" s="9">
        <f>C30</f>
        <v>0</v>
      </c>
      <c r="E26" s="9">
        <f t="shared" ref="E26:H26" si="16">D30</f>
        <v>3525</v>
      </c>
      <c r="F26" s="9">
        <f t="shared" si="16"/>
        <v>2873.9879999999976</v>
      </c>
      <c r="G26" s="9">
        <f t="shared" si="16"/>
        <v>9782.8756355362857</v>
      </c>
      <c r="H26" s="9">
        <f t="shared" si="16"/>
        <v>18749.877062608779</v>
      </c>
      <c r="I26" s="9">
        <f>C26</f>
        <v>5000</v>
      </c>
    </row>
    <row r="27" spans="1:13" s="4" customFormat="1" x14ac:dyDescent="0.25">
      <c r="A27" s="4" t="s">
        <v>258</v>
      </c>
      <c r="C27" s="11">
        <f>C10</f>
        <v>0</v>
      </c>
      <c r="D27" s="11">
        <f>D10+D5+D17</f>
        <v>22000</v>
      </c>
      <c r="E27" s="11">
        <f t="shared" ref="E27:H27" si="17">E10+E5+E17</f>
        <v>17299.987999999998</v>
      </c>
      <c r="F27" s="11">
        <f t="shared" si="17"/>
        <v>34431.152694582037</v>
      </c>
      <c r="G27" s="11">
        <f t="shared" si="17"/>
        <v>42234.042353058481</v>
      </c>
      <c r="H27" s="11">
        <f t="shared" si="17"/>
        <v>50537.272655013272</v>
      </c>
      <c r="I27" s="11">
        <f t="shared" si="7"/>
        <v>166502.4557026538</v>
      </c>
    </row>
    <row r="28" spans="1:13" s="4" customFormat="1" ht="15.75" thickBot="1" x14ac:dyDescent="0.3">
      <c r="A28" s="4" t="s">
        <v>257</v>
      </c>
      <c r="C28" s="11">
        <f t="shared" ref="C28" si="18">C6+C12+C23+C24</f>
        <v>-5000</v>
      </c>
      <c r="D28" s="11">
        <f>D6+D12+D23+D24+D18</f>
        <v>-18475</v>
      </c>
      <c r="E28" s="11">
        <f t="shared" ref="E28:H28" si="19">E6+E12+E23+E24+E18</f>
        <v>-17951</v>
      </c>
      <c r="F28" s="11">
        <f t="shared" si="19"/>
        <v>-27522.265059045749</v>
      </c>
      <c r="G28" s="11">
        <f t="shared" si="19"/>
        <v>-33267.040925985988</v>
      </c>
      <c r="H28" s="11">
        <f t="shared" si="19"/>
        <v>-39311.028102938675</v>
      </c>
      <c r="I28" s="11">
        <f>SUM(C28:H28)</f>
        <v>-141526.3340879704</v>
      </c>
    </row>
    <row r="29" spans="1:13" s="4" customFormat="1" ht="30.75" thickBot="1" x14ac:dyDescent="0.3">
      <c r="A29" s="259" t="s">
        <v>259</v>
      </c>
      <c r="C29" s="11">
        <f>C6</f>
        <v>-5000</v>
      </c>
      <c r="D29" s="11">
        <f>D28+D27</f>
        <v>3525</v>
      </c>
      <c r="E29" s="11">
        <f t="shared" ref="E29:H29" si="20">E28+E27</f>
        <v>-651.01200000000244</v>
      </c>
      <c r="F29" s="11">
        <f t="shared" si="20"/>
        <v>6908.8876355362881</v>
      </c>
      <c r="G29" s="11">
        <f t="shared" si="20"/>
        <v>8967.0014270724932</v>
      </c>
      <c r="H29" s="11">
        <f t="shared" si="20"/>
        <v>11226.244552074597</v>
      </c>
      <c r="I29" s="42">
        <f>SUM(C29:H29)</f>
        <v>24976.121614683376</v>
      </c>
    </row>
    <row r="30" spans="1:13" s="5" customFormat="1" ht="30" x14ac:dyDescent="0.25">
      <c r="A30" s="258" t="s">
        <v>260</v>
      </c>
      <c r="C30" s="9">
        <f>C29+C26</f>
        <v>0</v>
      </c>
      <c r="D30" s="9">
        <f>D29+D26</f>
        <v>3525</v>
      </c>
      <c r="E30" s="9">
        <f t="shared" ref="E30:H30" si="21">E29+E26</f>
        <v>2873.9879999999976</v>
      </c>
      <c r="F30" s="9">
        <f t="shared" si="21"/>
        <v>9782.8756355362857</v>
      </c>
      <c r="G30" s="9">
        <f t="shared" si="21"/>
        <v>18749.877062608779</v>
      </c>
      <c r="H30" s="9">
        <f t="shared" si="21"/>
        <v>29976.121614683376</v>
      </c>
      <c r="I30" s="9">
        <f>H30</f>
        <v>29976.121614683376</v>
      </c>
    </row>
    <row r="31" spans="1:13" s="5" customFormat="1" ht="30.75" thickBot="1" x14ac:dyDescent="0.3">
      <c r="A31" s="258" t="s">
        <v>261</v>
      </c>
      <c r="C31" s="9">
        <f>C29</f>
        <v>-5000</v>
      </c>
      <c r="D31" s="9">
        <f>C31+D29</f>
        <v>-1475</v>
      </c>
      <c r="E31" s="9">
        <f t="shared" ref="E31:H31" si="22">D31+E29</f>
        <v>-2126.0120000000024</v>
      </c>
      <c r="F31" s="9">
        <f t="shared" si="22"/>
        <v>4782.8756355362857</v>
      </c>
      <c r="G31" s="9">
        <f t="shared" si="22"/>
        <v>13749.877062608779</v>
      </c>
      <c r="H31" s="9">
        <f t="shared" si="22"/>
        <v>24976.121614683376</v>
      </c>
      <c r="I31" s="46">
        <f>H31</f>
        <v>24976.121614683376</v>
      </c>
    </row>
    <row r="32" spans="1:13" ht="32.25" thickBot="1" x14ac:dyDescent="0.3">
      <c r="A32" s="266" t="s">
        <v>362</v>
      </c>
      <c r="B32" s="107">
        <v>0.25</v>
      </c>
      <c r="C32" s="108"/>
      <c r="D32" s="109">
        <f>IF(C25&gt;0,C25*$B$32,0)</f>
        <v>0</v>
      </c>
      <c r="E32" s="109">
        <f>IF(D25&gt;0,D25*$B$32,0)</f>
        <v>825</v>
      </c>
      <c r="F32" s="109">
        <f t="shared" ref="F32:H32" si="23">IF(E25&gt;0,E25*$B$32,0)</f>
        <v>0</v>
      </c>
      <c r="G32" s="109">
        <f t="shared" si="23"/>
        <v>1327.0135643007391</v>
      </c>
      <c r="H32" s="109">
        <f t="shared" si="23"/>
        <v>1878.0836766014581</v>
      </c>
      <c r="I32" s="110">
        <f>SUM(C32:H32)</f>
        <v>4030.097240902197</v>
      </c>
    </row>
    <row r="33" spans="1:9" s="64" customFormat="1" ht="16.5" thickBot="1" x14ac:dyDescent="0.3">
      <c r="A33" s="117" t="s">
        <v>363</v>
      </c>
      <c r="B33" s="118">
        <v>0.05</v>
      </c>
      <c r="C33" s="119"/>
      <c r="D33" s="120"/>
      <c r="E33" s="120"/>
      <c r="F33" s="120"/>
      <c r="G33" s="120"/>
      <c r="H33" s="120"/>
      <c r="I33" s="121"/>
    </row>
    <row r="34" spans="1:9" s="64" customFormat="1" ht="15.75" thickBot="1" x14ac:dyDescent="0.3">
      <c r="A34" s="108" t="s">
        <v>364</v>
      </c>
      <c r="B34" s="37"/>
      <c r="C34" s="37"/>
      <c r="D34" s="37"/>
      <c r="E34" s="116">
        <f>(E20-D20)/D20</f>
        <v>-1.048634105263158</v>
      </c>
      <c r="F34" s="116">
        <f>(F20-E20)/E20</f>
        <v>-38.46948760167006</v>
      </c>
      <c r="G34" s="116">
        <f>(G20-F20)/F20</f>
        <v>0.29912169972678959</v>
      </c>
      <c r="H34" s="116">
        <f>(H20-G20)/G20</f>
        <v>0.25312386007911425</v>
      </c>
      <c r="I34" s="126">
        <f>AVERAGE(E34:H34)</f>
        <v>-9.7414690367818277</v>
      </c>
    </row>
    <row r="35" spans="1:9" s="64" customFormat="1" ht="15.75" thickBot="1" x14ac:dyDescent="0.3">
      <c r="A35" s="119" t="s">
        <v>365</v>
      </c>
      <c r="B35" s="120"/>
      <c r="C35" s="120"/>
      <c r="D35" s="120"/>
      <c r="E35" s="125">
        <f>(E22-D22)/D22</f>
        <v>-1.2775717127071824</v>
      </c>
      <c r="F35" s="125">
        <f t="shared" ref="F35:H35" si="24">(F22-E22)/E22</f>
        <v>-6.6170386043315599</v>
      </c>
      <c r="G35" s="125">
        <f t="shared" si="24"/>
        <v>0.38771201074644712</v>
      </c>
      <c r="H35" s="125">
        <f t="shared" si="24"/>
        <v>0.29781837497570185</v>
      </c>
      <c r="I35" s="127">
        <f t="shared" ref="I35:I36" si="25">AVERAGE(E35:H35)</f>
        <v>-1.8022699828291484</v>
      </c>
    </row>
    <row r="36" spans="1:9" s="64" customFormat="1" ht="15.75" thickBot="1" x14ac:dyDescent="0.3">
      <c r="A36" s="108" t="s">
        <v>366</v>
      </c>
      <c r="B36" s="37"/>
      <c r="C36" s="37"/>
      <c r="D36" s="37"/>
      <c r="E36" s="116">
        <f>(E25-D25)/D25</f>
        <v>-1.5078824242424245</v>
      </c>
      <c r="F36" s="116">
        <f t="shared" ref="F36:H36" si="26">(F25-E25)/E25</f>
        <v>-4.1670741362251311</v>
      </c>
      <c r="G36" s="116">
        <f t="shared" si="26"/>
        <v>0.41527089633865333</v>
      </c>
      <c r="H36" s="116">
        <f t="shared" si="26"/>
        <v>0.30997148671812003</v>
      </c>
      <c r="I36" s="126">
        <f t="shared" si="25"/>
        <v>-1.2374285443526956</v>
      </c>
    </row>
    <row r="37" spans="1:9" s="64" customFormat="1" ht="57" hidden="1" thickBot="1" x14ac:dyDescent="0.3">
      <c r="A37" s="61" t="s">
        <v>124</v>
      </c>
      <c r="C37" s="58" t="s">
        <v>5</v>
      </c>
      <c r="D37" s="59" t="s">
        <v>0</v>
      </c>
      <c r="E37" s="59" t="s">
        <v>1</v>
      </c>
      <c r="F37" s="59" t="s">
        <v>2</v>
      </c>
      <c r="G37" s="59" t="s">
        <v>3</v>
      </c>
      <c r="H37" s="59" t="s">
        <v>4</v>
      </c>
      <c r="I37" s="60" t="s">
        <v>7</v>
      </c>
    </row>
    <row r="38" spans="1:9" s="64" customFormat="1" ht="21.75" hidden="1" thickBot="1" x14ac:dyDescent="0.3">
      <c r="A38" s="162" t="s">
        <v>125</v>
      </c>
      <c r="E38" s="155"/>
      <c r="F38" s="155"/>
      <c r="G38" s="155"/>
      <c r="H38" s="155"/>
      <c r="I38" s="156"/>
    </row>
    <row r="39" spans="1:9" s="64" customFormat="1" ht="15.75" hidden="1" x14ac:dyDescent="0.25">
      <c r="A39" s="182" t="s">
        <v>127</v>
      </c>
      <c r="B39" s="160">
        <f>C5</f>
        <v>5000</v>
      </c>
      <c r="C39" s="169">
        <f>B39</f>
        <v>5000</v>
      </c>
      <c r="D39" s="169">
        <f>C39-D46</f>
        <v>4775</v>
      </c>
      <c r="E39" s="169">
        <f t="shared" ref="E39:H39" si="27">D39-E46</f>
        <v>4550</v>
      </c>
      <c r="F39" s="169">
        <f t="shared" si="27"/>
        <v>4325</v>
      </c>
      <c r="G39" s="169">
        <f t="shared" si="27"/>
        <v>4100</v>
      </c>
      <c r="H39" s="169">
        <f t="shared" si="27"/>
        <v>3875</v>
      </c>
      <c r="I39" s="156"/>
    </row>
    <row r="40" spans="1:9" s="64" customFormat="1" ht="15.75" hidden="1" x14ac:dyDescent="0.25">
      <c r="A40" s="182" t="s">
        <v>140</v>
      </c>
      <c r="B40" s="160" t="s">
        <v>0</v>
      </c>
      <c r="E40" s="155"/>
      <c r="F40" s="155"/>
      <c r="G40" s="155"/>
      <c r="H40" s="155"/>
      <c r="I40" s="156"/>
    </row>
    <row r="41" spans="1:9" s="64" customFormat="1" ht="30" hidden="1" x14ac:dyDescent="0.25">
      <c r="A41" s="182" t="s">
        <v>126</v>
      </c>
      <c r="B41" s="159" t="s">
        <v>132</v>
      </c>
      <c r="C41" s="178" t="s">
        <v>160</v>
      </c>
      <c r="D41" s="147"/>
      <c r="E41" s="166"/>
      <c r="F41" s="166"/>
      <c r="G41" s="166"/>
      <c r="H41" s="166"/>
      <c r="I41"/>
    </row>
    <row r="42" spans="1:9" s="64" customFormat="1" ht="15.75" hidden="1" x14ac:dyDescent="0.25">
      <c r="A42" s="182" t="s">
        <v>131</v>
      </c>
      <c r="B42" s="160">
        <v>20</v>
      </c>
      <c r="E42" s="155"/>
      <c r="F42" s="155"/>
      <c r="G42" s="155"/>
      <c r="H42" s="155"/>
      <c r="I42" s="156"/>
    </row>
    <row r="43" spans="1:9" s="64" customFormat="1" ht="15.75" hidden="1" x14ac:dyDescent="0.25">
      <c r="A43" s="182" t="s">
        <v>128</v>
      </c>
      <c r="B43" s="160">
        <v>500</v>
      </c>
      <c r="E43" s="155"/>
      <c r="F43" s="155"/>
      <c r="G43" s="155"/>
      <c r="H43" s="155"/>
      <c r="I43" s="156"/>
    </row>
    <row r="44" spans="1:9" s="64" customFormat="1" ht="15.75" hidden="1" x14ac:dyDescent="0.25">
      <c r="A44" s="182" t="s">
        <v>145</v>
      </c>
      <c r="B44" s="160">
        <f>B39-B43</f>
        <v>4500</v>
      </c>
      <c r="E44" s="155"/>
      <c r="F44" s="155"/>
      <c r="G44" s="155"/>
      <c r="H44" s="155"/>
      <c r="I44" s="156"/>
    </row>
    <row r="45" spans="1:9" s="64" customFormat="1" ht="16.5" hidden="1" thickBot="1" x14ac:dyDescent="0.3">
      <c r="A45" s="182" t="s">
        <v>139</v>
      </c>
      <c r="B45" s="161">
        <f>1/B42</f>
        <v>0.05</v>
      </c>
      <c r="E45" s="155"/>
      <c r="F45" s="155"/>
      <c r="G45" s="155"/>
      <c r="H45" s="155"/>
      <c r="I45" s="156"/>
    </row>
    <row r="46" spans="1:9" s="64" customFormat="1" ht="19.5" hidden="1" thickBot="1" x14ac:dyDescent="0.3">
      <c r="A46" s="182" t="s">
        <v>138</v>
      </c>
      <c r="B46" s="164">
        <f>(B39-B43)/B42</f>
        <v>225</v>
      </c>
      <c r="D46" s="169">
        <f>B46</f>
        <v>225</v>
      </c>
      <c r="E46" s="169">
        <f>D46</f>
        <v>225</v>
      </c>
      <c r="F46" s="169">
        <f t="shared" ref="F46:H46" si="28">E46</f>
        <v>225</v>
      </c>
      <c r="G46" s="169">
        <f t="shared" si="28"/>
        <v>225</v>
      </c>
      <c r="H46" s="169">
        <f t="shared" si="28"/>
        <v>225</v>
      </c>
      <c r="I46" s="170">
        <f>SUM(D46:H46)</f>
        <v>1125</v>
      </c>
    </row>
    <row r="47" spans="1:9" s="64" customFormat="1" ht="27" hidden="1" thickBot="1" x14ac:dyDescent="0.3">
      <c r="A47" s="162" t="s">
        <v>134</v>
      </c>
      <c r="B47" s="160"/>
      <c r="C47" s="58" t="s">
        <v>5</v>
      </c>
      <c r="D47" s="59" t="s">
        <v>0</v>
      </c>
      <c r="E47" s="59" t="s">
        <v>1</v>
      </c>
      <c r="F47" s="59" t="s">
        <v>2</v>
      </c>
      <c r="G47" s="59" t="s">
        <v>3</v>
      </c>
      <c r="H47" s="59" t="s">
        <v>4</v>
      </c>
      <c r="I47" s="156"/>
    </row>
    <row r="48" spans="1:9" s="64" customFormat="1" ht="15.75" hidden="1" x14ac:dyDescent="0.25">
      <c r="A48" s="182" t="s">
        <v>127</v>
      </c>
      <c r="B48" s="175">
        <f>D5</f>
        <v>2000</v>
      </c>
      <c r="D48" s="169">
        <f>B48</f>
        <v>2000</v>
      </c>
      <c r="E48" s="169">
        <f>D48-E54</f>
        <v>1200</v>
      </c>
      <c r="F48" s="169">
        <f>E48-F54</f>
        <v>720</v>
      </c>
      <c r="G48" s="169">
        <f>F48-G54</f>
        <v>432</v>
      </c>
      <c r="H48" s="169">
        <f>G48-H54</f>
        <v>259.2</v>
      </c>
      <c r="I48" s="156"/>
    </row>
    <row r="49" spans="1:15" s="64" customFormat="1" ht="15.75" hidden="1" x14ac:dyDescent="0.25">
      <c r="A49" s="182" t="s">
        <v>130</v>
      </c>
      <c r="B49" s="175" t="s">
        <v>1</v>
      </c>
      <c r="E49" s="155"/>
      <c r="F49" s="155"/>
      <c r="G49" s="155"/>
      <c r="H49" s="155"/>
      <c r="I49" s="156"/>
    </row>
    <row r="50" spans="1:15" s="64" customFormat="1" ht="42.6" hidden="1" customHeight="1" x14ac:dyDescent="0.25">
      <c r="A50" s="182" t="s">
        <v>126</v>
      </c>
      <c r="B50" s="159" t="s">
        <v>133</v>
      </c>
      <c r="C50" s="295" t="s">
        <v>154</v>
      </c>
      <c r="D50" s="295"/>
      <c r="E50" s="295"/>
      <c r="F50" s="295"/>
      <c r="G50" s="295"/>
      <c r="H50" s="295"/>
      <c r="I50" s="296" t="s">
        <v>164</v>
      </c>
      <c r="J50" s="296"/>
      <c r="K50" s="296"/>
      <c r="L50" s="296"/>
      <c r="M50" s="296"/>
      <c r="N50" s="296"/>
      <c r="O50" s="296"/>
    </row>
    <row r="51" spans="1:15" s="64" customFormat="1" ht="30.6" hidden="1" customHeight="1" x14ac:dyDescent="0.25">
      <c r="A51" s="182" t="s">
        <v>131</v>
      </c>
      <c r="B51" s="175">
        <v>5</v>
      </c>
      <c r="E51" s="155"/>
      <c r="F51" s="155"/>
      <c r="G51" s="155"/>
      <c r="H51" s="155"/>
      <c r="I51" s="297" t="s">
        <v>163</v>
      </c>
      <c r="J51" s="297"/>
      <c r="K51" s="297"/>
      <c r="L51" s="297"/>
      <c r="M51" s="297"/>
      <c r="N51" s="297"/>
      <c r="O51" s="297"/>
    </row>
    <row r="52" spans="1:15" s="64" customFormat="1" ht="15.75" hidden="1" x14ac:dyDescent="0.25">
      <c r="A52" s="182" t="s">
        <v>128</v>
      </c>
      <c r="B52" s="175">
        <v>200</v>
      </c>
      <c r="E52" s="155"/>
      <c r="F52" s="155"/>
      <c r="G52" s="155"/>
      <c r="H52" s="155"/>
      <c r="I52"/>
    </row>
    <row r="53" spans="1:15" s="64" customFormat="1" ht="16.5" hidden="1" thickBot="1" x14ac:dyDescent="0.3">
      <c r="A53" s="182" t="s">
        <v>145</v>
      </c>
      <c r="B53" s="175">
        <f>B48-B52</f>
        <v>1800</v>
      </c>
      <c r="E53" s="155"/>
      <c r="F53" s="155"/>
      <c r="G53" s="155"/>
      <c r="H53" s="155"/>
      <c r="I53" s="156"/>
    </row>
    <row r="54" spans="1:15" s="64" customFormat="1" ht="41.45" hidden="1" customHeight="1" thickBot="1" x14ac:dyDescent="0.3">
      <c r="A54" s="183" t="s">
        <v>141</v>
      </c>
      <c r="B54" s="176">
        <f>2*1/B51</f>
        <v>0.4</v>
      </c>
      <c r="E54" s="169">
        <f>$B$54*B48</f>
        <v>800</v>
      </c>
      <c r="F54" s="169">
        <f>$B$54*E48</f>
        <v>480</v>
      </c>
      <c r="G54" s="169">
        <f>$B$54*F48</f>
        <v>288</v>
      </c>
      <c r="H54" s="169">
        <f>$B$54*G48</f>
        <v>172.8</v>
      </c>
      <c r="I54" s="170">
        <f>H48-B52</f>
        <v>59.199999999999989</v>
      </c>
      <c r="J54" s="293" t="s">
        <v>142</v>
      </c>
      <c r="K54" s="294"/>
      <c r="L54" s="294"/>
    </row>
    <row r="55" spans="1:15" s="64" customFormat="1" ht="28.15" hidden="1" customHeight="1" thickBot="1" x14ac:dyDescent="0.3">
      <c r="A55" s="182" t="s">
        <v>144</v>
      </c>
      <c r="B55" s="165">
        <f>1-(B52/B48)^(1/B51)</f>
        <v>0.36904265551980675</v>
      </c>
      <c r="E55" s="167">
        <f>(B48-B52)/B51</f>
        <v>360</v>
      </c>
      <c r="F55" s="167">
        <f>E55</f>
        <v>360</v>
      </c>
      <c r="G55" s="167">
        <f t="shared" ref="G55:H55" si="29">F55</f>
        <v>360</v>
      </c>
      <c r="H55" s="167">
        <f t="shared" si="29"/>
        <v>360</v>
      </c>
      <c r="I55" s="168">
        <f>H55</f>
        <v>360</v>
      </c>
      <c r="J55" s="293" t="s">
        <v>143</v>
      </c>
      <c r="K55" s="294"/>
      <c r="L55" s="294"/>
    </row>
    <row r="56" spans="1:15" s="64" customFormat="1" ht="27" hidden="1" thickBot="1" x14ac:dyDescent="0.3">
      <c r="A56" s="162" t="s">
        <v>129</v>
      </c>
      <c r="B56" s="160"/>
      <c r="C56" s="58" t="s">
        <v>5</v>
      </c>
      <c r="D56" s="59" t="s">
        <v>0</v>
      </c>
      <c r="E56" s="59" t="s">
        <v>1</v>
      </c>
      <c r="F56" s="59" t="s">
        <v>2</v>
      </c>
      <c r="G56" s="59" t="s">
        <v>3</v>
      </c>
      <c r="H56" s="59" t="s">
        <v>4</v>
      </c>
    </row>
    <row r="57" spans="1:15" s="64" customFormat="1" ht="15.75" hidden="1" x14ac:dyDescent="0.25">
      <c r="A57" s="182" t="s">
        <v>127</v>
      </c>
      <c r="B57" s="175">
        <v>1000</v>
      </c>
      <c r="E57" s="175">
        <f>B57</f>
        <v>1000</v>
      </c>
      <c r="F57" s="175">
        <f>E57-F65</f>
        <v>666.66666666666674</v>
      </c>
      <c r="G57" s="175">
        <f t="shared" ref="G57:J57" si="30">F57-G65</f>
        <v>400.00000000000006</v>
      </c>
      <c r="H57" s="175">
        <f t="shared" si="30"/>
        <v>200.00000000000006</v>
      </c>
      <c r="I57" s="175">
        <f>H57-I65</f>
        <v>66.666666666666714</v>
      </c>
      <c r="J57" s="175">
        <f t="shared" si="30"/>
        <v>0</v>
      </c>
    </row>
    <row r="58" spans="1:15" s="64" customFormat="1" ht="15.75" hidden="1" x14ac:dyDescent="0.25">
      <c r="A58" s="182" t="s">
        <v>130</v>
      </c>
      <c r="B58" s="175" t="s">
        <v>2</v>
      </c>
      <c r="E58" s="155"/>
      <c r="F58" s="155"/>
      <c r="G58" s="155"/>
      <c r="H58" s="155"/>
      <c r="I58" s="156"/>
    </row>
    <row r="59" spans="1:15" s="64" customFormat="1" ht="45" hidden="1" x14ac:dyDescent="0.25">
      <c r="A59" s="182" t="s">
        <v>147</v>
      </c>
      <c r="B59" s="159" t="s">
        <v>135</v>
      </c>
      <c r="E59" s="295" t="s">
        <v>155</v>
      </c>
      <c r="F59" s="295"/>
      <c r="G59" s="295"/>
      <c r="H59" s="295"/>
      <c r="I59" s="295"/>
      <c r="J59" s="295"/>
    </row>
    <row r="60" spans="1:15" s="64" customFormat="1" ht="15.75" hidden="1" x14ac:dyDescent="0.25">
      <c r="A60" s="182" t="s">
        <v>131</v>
      </c>
      <c r="B60" s="175">
        <v>5</v>
      </c>
    </row>
    <row r="61" spans="1:15" s="64" customFormat="1" ht="15.75" hidden="1" x14ac:dyDescent="0.25">
      <c r="A61" s="182" t="s">
        <v>128</v>
      </c>
      <c r="B61" s="175">
        <v>0</v>
      </c>
      <c r="E61" s="155"/>
      <c r="F61" s="155"/>
      <c r="G61" s="155"/>
      <c r="H61" s="155"/>
      <c r="I61" s="156"/>
    </row>
    <row r="62" spans="1:15" s="64" customFormat="1" ht="15.75" hidden="1" x14ac:dyDescent="0.25">
      <c r="A62" s="182" t="s">
        <v>146</v>
      </c>
      <c r="B62" s="175">
        <f>B57-B61</f>
        <v>1000</v>
      </c>
      <c r="E62" s="155"/>
      <c r="F62" s="155"/>
      <c r="G62" s="155"/>
      <c r="H62" s="155"/>
      <c r="I62" s="156"/>
    </row>
    <row r="63" spans="1:15" s="64" customFormat="1" ht="15.75" hidden="1" x14ac:dyDescent="0.25">
      <c r="A63" s="182" t="s">
        <v>83</v>
      </c>
      <c r="B63" s="175" t="s">
        <v>149</v>
      </c>
      <c r="E63" s="155"/>
      <c r="F63" s="175">
        <v>1</v>
      </c>
      <c r="G63" s="175">
        <v>2</v>
      </c>
      <c r="H63" s="175">
        <v>3</v>
      </c>
      <c r="I63" s="175">
        <v>4</v>
      </c>
      <c r="J63" s="175">
        <v>5</v>
      </c>
    </row>
    <row r="64" spans="1:15" s="64" customFormat="1" ht="16.5" hidden="1" thickBot="1" x14ac:dyDescent="0.3">
      <c r="A64" s="182" t="s">
        <v>148</v>
      </c>
      <c r="B64" s="175" t="s">
        <v>150</v>
      </c>
      <c r="E64" s="155"/>
      <c r="F64" s="181">
        <f>($J$63-F63+1)/(($J$63^2+$J$63)/2)</f>
        <v>0.33333333333333331</v>
      </c>
      <c r="G64" s="181">
        <f t="shared" ref="G64:J64" si="31">($J$63-G63+1)/(($J$63^2+$J$63)/2)</f>
        <v>0.26666666666666666</v>
      </c>
      <c r="H64" s="181">
        <f t="shared" si="31"/>
        <v>0.2</v>
      </c>
      <c r="I64" s="181">
        <f t="shared" si="31"/>
        <v>0.13333333333333333</v>
      </c>
      <c r="J64" s="181">
        <f t="shared" si="31"/>
        <v>6.6666666666666666E-2</v>
      </c>
    </row>
    <row r="65" spans="1:10" s="64" customFormat="1" ht="16.5" hidden="1" thickBot="1" x14ac:dyDescent="0.3">
      <c r="A65" s="182" t="s">
        <v>152</v>
      </c>
      <c r="B65" s="171" t="s">
        <v>151</v>
      </c>
      <c r="C65" s="172"/>
      <c r="E65" s="155"/>
      <c r="F65" s="169">
        <f>$B$62*F64</f>
        <v>333.33333333333331</v>
      </c>
      <c r="G65" s="169">
        <f t="shared" ref="G65:J65" si="32">$B$62*G64</f>
        <v>266.66666666666669</v>
      </c>
      <c r="H65" s="169">
        <f t="shared" si="32"/>
        <v>200</v>
      </c>
      <c r="I65" s="169">
        <f t="shared" si="32"/>
        <v>133.33333333333334</v>
      </c>
      <c r="J65" s="169">
        <f t="shared" si="32"/>
        <v>66.666666666666671</v>
      </c>
    </row>
    <row r="66" spans="1:10" s="64" customFormat="1" ht="27" hidden="1" thickBot="1" x14ac:dyDescent="0.3">
      <c r="A66" s="162" t="s">
        <v>136</v>
      </c>
      <c r="B66" s="160"/>
      <c r="C66" s="58" t="s">
        <v>5</v>
      </c>
      <c r="D66" s="59" t="s">
        <v>0</v>
      </c>
      <c r="E66" s="59" t="s">
        <v>1</v>
      </c>
      <c r="F66" s="59" t="s">
        <v>2</v>
      </c>
      <c r="G66" s="59" t="s">
        <v>3</v>
      </c>
      <c r="H66" s="59" t="s">
        <v>4</v>
      </c>
    </row>
    <row r="67" spans="1:10" s="64" customFormat="1" ht="16.5" hidden="1" thickBot="1" x14ac:dyDescent="0.3">
      <c r="A67" s="182" t="s">
        <v>127</v>
      </c>
      <c r="B67" s="175">
        <v>4000</v>
      </c>
      <c r="E67" s="175">
        <f>B67</f>
        <v>4000</v>
      </c>
      <c r="F67" s="175">
        <f>E67-F75</f>
        <v>3437.4999550000002</v>
      </c>
      <c r="G67" s="175">
        <f t="shared" ref="G67:H67" si="33">F67-G75</f>
        <v>2762.4999010000001</v>
      </c>
      <c r="H67" s="175">
        <f t="shared" si="33"/>
        <v>1974.9996129999822</v>
      </c>
      <c r="I67" s="177">
        <f>I75</f>
        <v>900</v>
      </c>
      <c r="J67" s="175"/>
    </row>
    <row r="68" spans="1:10" s="64" customFormat="1" ht="15.75" hidden="1" x14ac:dyDescent="0.25">
      <c r="A68" s="182" t="s">
        <v>130</v>
      </c>
      <c r="B68" s="175" t="s">
        <v>2</v>
      </c>
      <c r="E68" s="155"/>
      <c r="F68" s="155"/>
      <c r="G68" s="155"/>
      <c r="H68" s="155"/>
      <c r="I68" s="156"/>
    </row>
    <row r="69" spans="1:10" s="64" customFormat="1" ht="45" hidden="1" x14ac:dyDescent="0.25">
      <c r="A69" s="182" t="s">
        <v>126</v>
      </c>
      <c r="B69" s="159" t="s">
        <v>137</v>
      </c>
      <c r="C69" s="295" t="s">
        <v>159</v>
      </c>
      <c r="D69" s="295"/>
      <c r="E69" s="295"/>
      <c r="F69" s="295"/>
      <c r="G69" s="295"/>
      <c r="H69" s="295"/>
    </row>
    <row r="70" spans="1:10" s="64" customFormat="1" ht="15.75" hidden="1" x14ac:dyDescent="0.25">
      <c r="A70" s="182" t="s">
        <v>153</v>
      </c>
      <c r="B70" s="175">
        <v>800</v>
      </c>
    </row>
    <row r="71" spans="1:10" s="64" customFormat="1" ht="15.75" hidden="1" x14ac:dyDescent="0.25">
      <c r="A71" s="182" t="s">
        <v>128</v>
      </c>
      <c r="B71" s="175">
        <v>400</v>
      </c>
      <c r="E71" s="155"/>
      <c r="F71" s="155"/>
      <c r="G71" s="155"/>
      <c r="H71" s="155"/>
      <c r="I71" s="156"/>
    </row>
    <row r="72" spans="1:10" s="64" customFormat="1" ht="15.75" hidden="1" x14ac:dyDescent="0.25">
      <c r="A72" s="182" t="s">
        <v>145</v>
      </c>
      <c r="B72" s="175">
        <f>B67-B71</f>
        <v>3600</v>
      </c>
      <c r="E72" s="155"/>
      <c r="F72" s="155"/>
      <c r="G72" s="155"/>
      <c r="H72" s="155"/>
      <c r="I72" s="156"/>
    </row>
    <row r="73" spans="1:10" s="64" customFormat="1" ht="15.75" hidden="1" x14ac:dyDescent="0.25">
      <c r="A73" s="182" t="s">
        <v>156</v>
      </c>
      <c r="B73" s="175"/>
      <c r="C73" s="169"/>
      <c r="D73" s="169"/>
      <c r="E73" s="179"/>
      <c r="F73" s="169">
        <f>F7</f>
        <v>125.00001</v>
      </c>
      <c r="G73" s="169">
        <f>G7</f>
        <v>150.000012</v>
      </c>
      <c r="H73" s="169">
        <f>H7</f>
        <v>175.00006400000399</v>
      </c>
      <c r="I73" s="169">
        <v>200</v>
      </c>
    </row>
    <row r="74" spans="1:10" s="64" customFormat="1" ht="16.5" hidden="1" thickBot="1" x14ac:dyDescent="0.3">
      <c r="A74" s="29" t="s">
        <v>11</v>
      </c>
      <c r="B74" s="29"/>
      <c r="C74" s="29">
        <f>C40</f>
        <v>0</v>
      </c>
      <c r="D74" s="29">
        <f>D7</f>
        <v>75</v>
      </c>
      <c r="E74" s="29">
        <f>E7+D74</f>
        <v>105</v>
      </c>
      <c r="F74" s="29">
        <f>F7+E74</f>
        <v>230.00001</v>
      </c>
      <c r="G74" s="29">
        <f>G7+F74</f>
        <v>380.000022</v>
      </c>
      <c r="H74" s="29">
        <f>H7+G74</f>
        <v>555.00008600000399</v>
      </c>
      <c r="I74" s="169">
        <f>H74+I73</f>
        <v>755.00008600000399</v>
      </c>
    </row>
    <row r="75" spans="1:10" s="64" customFormat="1" ht="16.5" hidden="1" thickBot="1" x14ac:dyDescent="0.3">
      <c r="A75" s="182" t="s">
        <v>138</v>
      </c>
      <c r="B75" s="175"/>
      <c r="C75" s="169"/>
      <c r="D75" s="169"/>
      <c r="E75" s="179"/>
      <c r="F75" s="169">
        <f>IF(F74&lt;$B$70,$B$72*F73/$B$70,"write-off")</f>
        <v>562.500045</v>
      </c>
      <c r="G75" s="169">
        <f t="shared" ref="G75:I75" si="34">IF(G74&lt;$B$70,$B$72*G73/$B$70,"write-off")</f>
        <v>675.00005399999998</v>
      </c>
      <c r="H75" s="169">
        <f t="shared" si="34"/>
        <v>787.50028800001792</v>
      </c>
      <c r="I75" s="180">
        <f t="shared" si="34"/>
        <v>900</v>
      </c>
      <c r="J75" s="163"/>
    </row>
    <row r="76" spans="1:10" s="64" customFormat="1" ht="57" hidden="1" thickBot="1" x14ac:dyDescent="0.3">
      <c r="A76" s="184" t="s">
        <v>157</v>
      </c>
      <c r="C76" s="58" t="s">
        <v>5</v>
      </c>
      <c r="D76" s="59" t="s">
        <v>0</v>
      </c>
      <c r="E76" s="59" t="s">
        <v>1</v>
      </c>
      <c r="F76" s="59" t="s">
        <v>2</v>
      </c>
      <c r="G76" s="59" t="s">
        <v>3</v>
      </c>
      <c r="H76" s="59" t="s">
        <v>4</v>
      </c>
      <c r="I76" s="60" t="s">
        <v>7</v>
      </c>
    </row>
    <row r="77" spans="1:10" s="64" customFormat="1" ht="18.75" hidden="1" x14ac:dyDescent="0.25">
      <c r="A77" s="157" t="s">
        <v>158</v>
      </c>
      <c r="B77" s="160"/>
      <c r="C77" s="75">
        <f>SUM(C79:C82)</f>
        <v>5000</v>
      </c>
      <c r="D77" s="75">
        <f t="shared" ref="D77:H77" si="35">SUM(D79:D82)</f>
        <v>6775</v>
      </c>
      <c r="E77" s="75">
        <f t="shared" si="35"/>
        <v>10750</v>
      </c>
      <c r="F77" s="75">
        <f t="shared" si="35"/>
        <v>9149.1666216666672</v>
      </c>
      <c r="G77" s="75">
        <f t="shared" si="35"/>
        <v>7694.4999010000001</v>
      </c>
      <c r="H77" s="75">
        <f t="shared" si="35"/>
        <v>6309.1996129999825</v>
      </c>
      <c r="I77" s="156"/>
    </row>
    <row r="78" spans="1:10" s="64" customFormat="1" hidden="1" x14ac:dyDescent="0.25">
      <c r="A78" s="158" t="s">
        <v>161</v>
      </c>
      <c r="B78" s="160"/>
      <c r="E78" s="155"/>
      <c r="F78" s="155"/>
      <c r="G78" s="155"/>
      <c r="H78" s="155"/>
      <c r="I78" s="156"/>
    </row>
    <row r="79" spans="1:10" s="64" customFormat="1" ht="15.75" hidden="1" x14ac:dyDescent="0.25">
      <c r="A79" s="182" t="s">
        <v>125</v>
      </c>
      <c r="B79" s="160"/>
      <c r="C79" s="175">
        <f>C39</f>
        <v>5000</v>
      </c>
      <c r="D79" s="175">
        <f t="shared" ref="D79:H79" si="36">D39</f>
        <v>4775</v>
      </c>
      <c r="E79" s="175">
        <f t="shared" si="36"/>
        <v>4550</v>
      </c>
      <c r="F79" s="175">
        <f t="shared" si="36"/>
        <v>4325</v>
      </c>
      <c r="G79" s="175">
        <f t="shared" si="36"/>
        <v>4100</v>
      </c>
      <c r="H79" s="175">
        <f t="shared" si="36"/>
        <v>3875</v>
      </c>
      <c r="I79" s="156"/>
    </row>
    <row r="80" spans="1:10" s="64" customFormat="1" ht="15.75" hidden="1" x14ac:dyDescent="0.25">
      <c r="A80" s="182" t="s">
        <v>134</v>
      </c>
      <c r="B80" s="160"/>
      <c r="C80" s="175">
        <f>C48</f>
        <v>0</v>
      </c>
      <c r="D80" s="175">
        <f t="shared" ref="D80:H80" si="37">D48</f>
        <v>2000</v>
      </c>
      <c r="E80" s="175">
        <f t="shared" si="37"/>
        <v>1200</v>
      </c>
      <c r="F80" s="175">
        <f t="shared" si="37"/>
        <v>720</v>
      </c>
      <c r="G80" s="175">
        <f t="shared" si="37"/>
        <v>432</v>
      </c>
      <c r="H80" s="175">
        <f t="shared" si="37"/>
        <v>259.2</v>
      </c>
      <c r="I80" s="156"/>
    </row>
    <row r="81" spans="1:9" s="64" customFormat="1" ht="15.75" hidden="1" x14ac:dyDescent="0.25">
      <c r="A81" s="182" t="s">
        <v>129</v>
      </c>
      <c r="B81" s="160"/>
      <c r="C81" s="175">
        <f>C57</f>
        <v>0</v>
      </c>
      <c r="D81" s="175">
        <f t="shared" ref="D81:H81" si="38">D57</f>
        <v>0</v>
      </c>
      <c r="E81" s="175">
        <f t="shared" si="38"/>
        <v>1000</v>
      </c>
      <c r="F81" s="175">
        <f t="shared" si="38"/>
        <v>666.66666666666674</v>
      </c>
      <c r="G81" s="175">
        <f t="shared" si="38"/>
        <v>400.00000000000006</v>
      </c>
      <c r="H81" s="175">
        <f t="shared" si="38"/>
        <v>200.00000000000006</v>
      </c>
      <c r="I81" s="156"/>
    </row>
    <row r="82" spans="1:9" s="64" customFormat="1" ht="16.5" hidden="1" thickBot="1" x14ac:dyDescent="0.3">
      <c r="A82" s="182" t="s">
        <v>136</v>
      </c>
      <c r="B82" s="160"/>
      <c r="C82" s="175">
        <f>C67</f>
        <v>0</v>
      </c>
      <c r="D82" s="175">
        <f t="shared" ref="D82:H82" si="39">D67</f>
        <v>0</v>
      </c>
      <c r="E82" s="175">
        <f t="shared" si="39"/>
        <v>4000</v>
      </c>
      <c r="F82" s="175">
        <f t="shared" si="39"/>
        <v>3437.4999550000002</v>
      </c>
      <c r="G82" s="175">
        <f t="shared" si="39"/>
        <v>2762.4999010000001</v>
      </c>
      <c r="H82" s="175">
        <f t="shared" si="39"/>
        <v>1974.9996129999822</v>
      </c>
      <c r="I82" s="156"/>
    </row>
    <row r="83" spans="1:9" s="64" customFormat="1" ht="19.5" hidden="1" thickBot="1" x14ac:dyDescent="0.3">
      <c r="A83" s="157" t="s">
        <v>162</v>
      </c>
      <c r="B83" s="160"/>
      <c r="C83" s="75">
        <f>SUM(C85:C88)</f>
        <v>0</v>
      </c>
      <c r="D83" s="75">
        <f t="shared" ref="D83:H83" si="40">SUM(D85:D88)</f>
        <v>225</v>
      </c>
      <c r="E83" s="75">
        <f t="shared" si="40"/>
        <v>1025</v>
      </c>
      <c r="F83" s="75">
        <f t="shared" si="40"/>
        <v>1600.8333783333333</v>
      </c>
      <c r="G83" s="75">
        <f t="shared" si="40"/>
        <v>1454.6667206666666</v>
      </c>
      <c r="H83" s="75">
        <f t="shared" si="40"/>
        <v>1385.3002880000179</v>
      </c>
      <c r="I83" s="185">
        <f>SUM(C83:H83)</f>
        <v>5690.8003870000175</v>
      </c>
    </row>
    <row r="84" spans="1:9" s="64" customFormat="1" hidden="1" x14ac:dyDescent="0.25">
      <c r="A84" s="158" t="s">
        <v>161</v>
      </c>
      <c r="B84" s="160"/>
      <c r="E84" s="155"/>
      <c r="F84" s="155"/>
      <c r="G84" s="155"/>
      <c r="H84" s="155"/>
      <c r="I84" s="156"/>
    </row>
    <row r="85" spans="1:9" s="64" customFormat="1" ht="15.75" hidden="1" x14ac:dyDescent="0.25">
      <c r="A85" s="182" t="s">
        <v>125</v>
      </c>
      <c r="B85" s="160"/>
      <c r="C85" s="175">
        <f t="shared" ref="C85:H85" si="41">C46</f>
        <v>0</v>
      </c>
      <c r="D85" s="175">
        <f t="shared" si="41"/>
        <v>225</v>
      </c>
      <c r="E85" s="175">
        <f t="shared" si="41"/>
        <v>225</v>
      </c>
      <c r="F85" s="175">
        <f t="shared" si="41"/>
        <v>225</v>
      </c>
      <c r="G85" s="175">
        <f t="shared" si="41"/>
        <v>225</v>
      </c>
      <c r="H85" s="175">
        <f t="shared" si="41"/>
        <v>225</v>
      </c>
      <c r="I85" s="156"/>
    </row>
    <row r="86" spans="1:9" s="64" customFormat="1" ht="15.75" hidden="1" x14ac:dyDescent="0.25">
      <c r="A86" s="182" t="s">
        <v>134</v>
      </c>
      <c r="B86" s="160"/>
      <c r="C86" s="175">
        <f t="shared" ref="C86:H86" si="42">C54</f>
        <v>0</v>
      </c>
      <c r="D86" s="175">
        <f t="shared" si="42"/>
        <v>0</v>
      </c>
      <c r="E86" s="175">
        <f t="shared" si="42"/>
        <v>800</v>
      </c>
      <c r="F86" s="175">
        <f t="shared" si="42"/>
        <v>480</v>
      </c>
      <c r="G86" s="175">
        <f t="shared" si="42"/>
        <v>288</v>
      </c>
      <c r="H86" s="175">
        <f t="shared" si="42"/>
        <v>172.8</v>
      </c>
      <c r="I86" s="156"/>
    </row>
    <row r="87" spans="1:9" s="64" customFormat="1" ht="15.75" hidden="1" x14ac:dyDescent="0.25">
      <c r="A87" s="182" t="s">
        <v>129</v>
      </c>
      <c r="B87" s="160"/>
      <c r="C87" s="175">
        <f t="shared" ref="C87:H87" si="43">C65</f>
        <v>0</v>
      </c>
      <c r="D87" s="175">
        <f t="shared" si="43"/>
        <v>0</v>
      </c>
      <c r="E87" s="175">
        <f t="shared" si="43"/>
        <v>0</v>
      </c>
      <c r="F87" s="175">
        <f t="shared" si="43"/>
        <v>333.33333333333331</v>
      </c>
      <c r="G87" s="175">
        <f t="shared" si="43"/>
        <v>266.66666666666669</v>
      </c>
      <c r="H87" s="175">
        <f t="shared" si="43"/>
        <v>200</v>
      </c>
      <c r="I87" s="156"/>
    </row>
    <row r="88" spans="1:9" s="64" customFormat="1" ht="16.5" hidden="1" thickBot="1" x14ac:dyDescent="0.3">
      <c r="A88" s="182" t="s">
        <v>136</v>
      </c>
      <c r="B88" s="160"/>
      <c r="C88" s="175">
        <f t="shared" ref="C88:H88" si="44">C75</f>
        <v>0</v>
      </c>
      <c r="D88" s="175">
        <f t="shared" si="44"/>
        <v>0</v>
      </c>
      <c r="E88" s="175">
        <f t="shared" si="44"/>
        <v>0</v>
      </c>
      <c r="F88" s="175">
        <f t="shared" si="44"/>
        <v>562.500045</v>
      </c>
      <c r="G88" s="175">
        <f t="shared" si="44"/>
        <v>675.00005399999998</v>
      </c>
      <c r="H88" s="175">
        <f t="shared" si="44"/>
        <v>787.50028800001792</v>
      </c>
      <c r="I88" s="156"/>
    </row>
    <row r="89" spans="1:9" s="64" customFormat="1" ht="57" hidden="1" thickBot="1" x14ac:dyDescent="0.3">
      <c r="A89" s="174" t="s">
        <v>204</v>
      </c>
      <c r="C89" s="58" t="s">
        <v>5</v>
      </c>
      <c r="D89" s="59" t="s">
        <v>0</v>
      </c>
      <c r="E89" s="59" t="s">
        <v>1</v>
      </c>
      <c r="F89" s="59" t="s">
        <v>2</v>
      </c>
      <c r="G89" s="59" t="s">
        <v>3</v>
      </c>
      <c r="H89" s="59" t="s">
        <v>4</v>
      </c>
      <c r="I89" s="60" t="s">
        <v>7</v>
      </c>
    </row>
    <row r="90" spans="1:9" s="64" customFormat="1" ht="21.75" hidden="1" thickBot="1" x14ac:dyDescent="0.3">
      <c r="A90" s="162" t="s">
        <v>168</v>
      </c>
      <c r="B90" s="160"/>
      <c r="E90" s="155"/>
      <c r="F90" s="155"/>
      <c r="G90" s="155"/>
      <c r="H90" s="155"/>
      <c r="I90" s="156"/>
    </row>
    <row r="91" spans="1:9" s="64" customFormat="1" ht="15.75" hidden="1" x14ac:dyDescent="0.25">
      <c r="A91" s="182" t="s">
        <v>165</v>
      </c>
      <c r="B91" s="160"/>
      <c r="C91" s="175">
        <f t="shared" ref="C91:H91" si="45">C7</f>
        <v>0</v>
      </c>
      <c r="D91" s="175">
        <f t="shared" si="45"/>
        <v>75</v>
      </c>
      <c r="E91" s="175">
        <f t="shared" si="45"/>
        <v>30</v>
      </c>
      <c r="F91" s="175">
        <f t="shared" si="45"/>
        <v>125.00001</v>
      </c>
      <c r="G91" s="175">
        <f t="shared" si="45"/>
        <v>150.000012</v>
      </c>
      <c r="H91" s="175">
        <f t="shared" si="45"/>
        <v>175.00006400000399</v>
      </c>
      <c r="I91" s="186">
        <f>SUM(C91:H91)</f>
        <v>555.00008600000399</v>
      </c>
    </row>
    <row r="92" spans="1:9" s="64" customFormat="1" ht="15.75" hidden="1" x14ac:dyDescent="0.25">
      <c r="A92" s="182" t="s">
        <v>166</v>
      </c>
      <c r="B92" s="160"/>
      <c r="C92" s="187">
        <f>C91/365</f>
        <v>0</v>
      </c>
      <c r="D92" s="187">
        <f t="shared" ref="D92:H92" si="46">D91/365</f>
        <v>0.20547945205479451</v>
      </c>
      <c r="E92" s="187">
        <f t="shared" si="46"/>
        <v>8.2191780821917804E-2</v>
      </c>
      <c r="F92" s="187">
        <f t="shared" si="46"/>
        <v>0.34246578082191781</v>
      </c>
      <c r="G92" s="187">
        <f t="shared" si="46"/>
        <v>0.41095893698630137</v>
      </c>
      <c r="H92" s="187">
        <f t="shared" si="46"/>
        <v>0.47945223013699723</v>
      </c>
      <c r="I92" s="156"/>
    </row>
    <row r="93" spans="1:9" s="64" customFormat="1" ht="15.75" hidden="1" x14ac:dyDescent="0.25">
      <c r="A93" s="182" t="s">
        <v>176</v>
      </c>
      <c r="B93" s="160"/>
      <c r="C93" s="189">
        <f>C92*12</f>
        <v>0</v>
      </c>
      <c r="D93" s="190">
        <f t="shared" ref="D93:H93" si="47">D92*12</f>
        <v>2.4657534246575343</v>
      </c>
      <c r="E93" s="190">
        <f t="shared" si="47"/>
        <v>0.98630136986301364</v>
      </c>
      <c r="F93" s="190">
        <f t="shared" si="47"/>
        <v>4.1095893698630137</v>
      </c>
      <c r="G93" s="190">
        <f t="shared" si="47"/>
        <v>4.9315072438356164</v>
      </c>
      <c r="H93" s="190">
        <f t="shared" si="47"/>
        <v>5.7534267616439667</v>
      </c>
      <c r="I93" s="156"/>
    </row>
    <row r="94" spans="1:9" s="64" customFormat="1" ht="31.5" hidden="1" x14ac:dyDescent="0.25">
      <c r="A94" s="183" t="s">
        <v>173</v>
      </c>
      <c r="B94" s="160"/>
      <c r="C94" s="189">
        <f t="shared" ref="C94:H94" si="48">C16</f>
        <v>0</v>
      </c>
      <c r="D94" s="189">
        <f t="shared" si="48"/>
        <v>136.66666666666666</v>
      </c>
      <c r="E94" s="189">
        <f t="shared" si="48"/>
        <v>217.7</v>
      </c>
      <c r="F94" s="189">
        <f t="shared" si="48"/>
        <v>150.20199938180014</v>
      </c>
      <c r="G94" s="189">
        <f t="shared" si="48"/>
        <v>153.25980895735211</v>
      </c>
      <c r="H94" s="189">
        <f t="shared" si="48"/>
        <v>156.83313218343795</v>
      </c>
      <c r="I94" s="156"/>
    </row>
    <row r="95" spans="1:9" s="64" customFormat="1" ht="16.5" hidden="1" thickBot="1" x14ac:dyDescent="0.3">
      <c r="A95" s="182" t="s">
        <v>213</v>
      </c>
      <c r="B95" s="160"/>
      <c r="C95" s="189">
        <f>C94*C93</f>
        <v>0</v>
      </c>
      <c r="D95" s="189">
        <f t="shared" ref="D95:H95" si="49">D94*D93</f>
        <v>336.98630136986299</v>
      </c>
      <c r="E95" s="189">
        <f t="shared" si="49"/>
        <v>214.71780821917807</v>
      </c>
      <c r="F95" s="189">
        <f t="shared" si="49"/>
        <v>617.26853999161676</v>
      </c>
      <c r="G95" s="189">
        <f t="shared" si="49"/>
        <v>755.80185806204463</v>
      </c>
      <c r="H95" s="189">
        <f t="shared" si="49"/>
        <v>902.32793981663758</v>
      </c>
      <c r="I95" s="156"/>
    </row>
    <row r="96" spans="1:9" s="64" customFormat="1" ht="27" hidden="1" thickBot="1" x14ac:dyDescent="0.3">
      <c r="A96" s="162" t="s">
        <v>101</v>
      </c>
      <c r="B96" s="160"/>
      <c r="C96" s="58" t="s">
        <v>5</v>
      </c>
      <c r="D96" s="59" t="s">
        <v>0</v>
      </c>
      <c r="E96" s="59" t="s">
        <v>1</v>
      </c>
      <c r="F96" s="59" t="s">
        <v>2</v>
      </c>
      <c r="G96" s="59" t="s">
        <v>3</v>
      </c>
      <c r="H96" s="59" t="s">
        <v>4</v>
      </c>
      <c r="I96" s="156"/>
    </row>
    <row r="97" spans="1:9" s="64" customFormat="1" ht="15.75" hidden="1" x14ac:dyDescent="0.25">
      <c r="A97" s="182" t="s">
        <v>165</v>
      </c>
      <c r="B97" s="160"/>
      <c r="C97" s="175">
        <f>C91</f>
        <v>0</v>
      </c>
      <c r="D97" s="175">
        <f t="shared" ref="D97:H98" si="50">D91</f>
        <v>75</v>
      </c>
      <c r="E97" s="175">
        <f t="shared" si="50"/>
        <v>30</v>
      </c>
      <c r="F97" s="175">
        <f t="shared" si="50"/>
        <v>125.00001</v>
      </c>
      <c r="G97" s="175">
        <f t="shared" si="50"/>
        <v>150.000012</v>
      </c>
      <c r="H97" s="175">
        <f t="shared" si="50"/>
        <v>175.00006400000399</v>
      </c>
      <c r="I97" s="186">
        <f>SUM(C97:H97)</f>
        <v>555.00008600000399</v>
      </c>
    </row>
    <row r="98" spans="1:9" s="64" customFormat="1" ht="15.75" hidden="1" x14ac:dyDescent="0.25">
      <c r="A98" s="182" t="s">
        <v>166</v>
      </c>
      <c r="B98" s="160"/>
      <c r="C98" s="187">
        <f>C92</f>
        <v>0</v>
      </c>
      <c r="D98" s="187">
        <f t="shared" si="50"/>
        <v>0.20547945205479451</v>
      </c>
      <c r="E98" s="187">
        <f t="shared" si="50"/>
        <v>8.2191780821917804E-2</v>
      </c>
      <c r="F98" s="187">
        <f t="shared" si="50"/>
        <v>0.34246578082191781</v>
      </c>
      <c r="G98" s="187">
        <f t="shared" si="50"/>
        <v>0.41095893698630137</v>
      </c>
      <c r="H98" s="187">
        <f t="shared" si="50"/>
        <v>0.47945223013699723</v>
      </c>
      <c r="I98" s="156"/>
    </row>
    <row r="99" spans="1:9" s="64" customFormat="1" ht="31.5" hidden="1" x14ac:dyDescent="0.25">
      <c r="A99" s="183" t="s">
        <v>169</v>
      </c>
      <c r="B99" s="160"/>
      <c r="C99" s="189">
        <f>C98*12</f>
        <v>0</v>
      </c>
      <c r="D99" s="190">
        <f t="shared" ref="D99:H99" si="51">D98*12</f>
        <v>2.4657534246575343</v>
      </c>
      <c r="E99" s="190">
        <f t="shared" si="51"/>
        <v>0.98630136986301364</v>
      </c>
      <c r="F99" s="190">
        <f t="shared" si="51"/>
        <v>4.1095893698630137</v>
      </c>
      <c r="G99" s="190">
        <f t="shared" si="51"/>
        <v>4.9315072438356164</v>
      </c>
      <c r="H99" s="190">
        <f t="shared" si="51"/>
        <v>5.7534267616439667</v>
      </c>
      <c r="I99" s="156"/>
    </row>
    <row r="100" spans="1:9" s="64" customFormat="1" ht="31.5" hidden="1" x14ac:dyDescent="0.25">
      <c r="A100" s="183" t="s">
        <v>174</v>
      </c>
      <c r="B100" s="160"/>
      <c r="C100" s="189">
        <f t="shared" ref="C100:H100" si="52">C15</f>
        <v>0</v>
      </c>
      <c r="D100" s="189">
        <f t="shared" si="52"/>
        <v>110</v>
      </c>
      <c r="E100" s="189">
        <f t="shared" si="52"/>
        <v>117.7</v>
      </c>
      <c r="F100" s="189">
        <f t="shared" si="52"/>
        <v>124.762001177</v>
      </c>
      <c r="G100" s="189">
        <f t="shared" si="52"/>
        <v>130.99985275148941</v>
      </c>
      <c r="H100" s="189">
        <f t="shared" si="52"/>
        <v>136.89461130803107</v>
      </c>
      <c r="I100" s="156"/>
    </row>
    <row r="101" spans="1:9" s="64" customFormat="1" ht="16.5" hidden="1" thickBot="1" x14ac:dyDescent="0.3">
      <c r="A101" s="182" t="s">
        <v>167</v>
      </c>
      <c r="B101" s="160"/>
      <c r="C101" s="189">
        <f>C100*C99</f>
        <v>0</v>
      </c>
      <c r="D101" s="189">
        <f t="shared" ref="D101:H101" si="53">D100*D99</f>
        <v>271.23287671232879</v>
      </c>
      <c r="E101" s="189">
        <f t="shared" si="53"/>
        <v>116.08767123287672</v>
      </c>
      <c r="F101" s="189">
        <f t="shared" si="53"/>
        <v>512.72059379983602</v>
      </c>
      <c r="G101" s="189">
        <f t="shared" si="53"/>
        <v>646.0267227853692</v>
      </c>
      <c r="H101" s="189">
        <f t="shared" si="53"/>
        <v>787.61312022447476</v>
      </c>
      <c r="I101" s="156"/>
    </row>
    <row r="102" spans="1:9" s="64" customFormat="1" ht="27" hidden="1" thickBot="1" x14ac:dyDescent="0.3">
      <c r="A102" s="162" t="s">
        <v>104</v>
      </c>
      <c r="B102" s="160"/>
      <c r="C102" s="58" t="s">
        <v>5</v>
      </c>
      <c r="D102" s="59" t="s">
        <v>0</v>
      </c>
      <c r="E102" s="59" t="s">
        <v>1</v>
      </c>
      <c r="F102" s="59" t="s">
        <v>2</v>
      </c>
      <c r="G102" s="59" t="s">
        <v>3</v>
      </c>
      <c r="H102" s="59" t="s">
        <v>4</v>
      </c>
      <c r="I102" s="156"/>
    </row>
    <row r="103" spans="1:9" s="64" customFormat="1" ht="15.75" hidden="1" x14ac:dyDescent="0.25">
      <c r="A103" s="182" t="s">
        <v>177</v>
      </c>
      <c r="B103" s="188"/>
      <c r="C103" s="189">
        <f t="shared" ref="C103:H103" si="54">-C14/12</f>
        <v>0</v>
      </c>
      <c r="D103" s="189">
        <f t="shared" si="54"/>
        <v>687.5</v>
      </c>
      <c r="E103" s="189">
        <f t="shared" si="54"/>
        <v>294.25</v>
      </c>
      <c r="F103" s="189">
        <f t="shared" si="54"/>
        <v>1299.6042828954176</v>
      </c>
      <c r="G103" s="189">
        <f t="shared" si="54"/>
        <v>1637.4982903934704</v>
      </c>
      <c r="H103" s="189">
        <f t="shared" si="54"/>
        <v>1996.3804783467588</v>
      </c>
      <c r="I103" s="156"/>
    </row>
    <row r="104" spans="1:9" s="64" customFormat="1" ht="16.5" hidden="1" thickBot="1" x14ac:dyDescent="0.3">
      <c r="A104" s="182" t="s">
        <v>178</v>
      </c>
      <c r="B104" s="188" t="s">
        <v>216</v>
      </c>
      <c r="C104" s="189">
        <f>C103</f>
        <v>0</v>
      </c>
      <c r="D104" s="189">
        <f>D103</f>
        <v>687.5</v>
      </c>
      <c r="E104" s="189">
        <f t="shared" ref="E104:H104" si="55">E103</f>
        <v>294.25</v>
      </c>
      <c r="F104" s="189">
        <f t="shared" si="55"/>
        <v>1299.6042828954176</v>
      </c>
      <c r="G104" s="189">
        <f t="shared" si="55"/>
        <v>1637.4982903934704</v>
      </c>
      <c r="H104" s="189">
        <f t="shared" si="55"/>
        <v>1996.3804783467588</v>
      </c>
      <c r="I104" s="156"/>
    </row>
    <row r="105" spans="1:9" s="64" customFormat="1" ht="27" hidden="1" thickBot="1" x14ac:dyDescent="0.3">
      <c r="A105" s="162" t="s">
        <v>103</v>
      </c>
      <c r="B105" s="160"/>
      <c r="C105" s="58" t="s">
        <v>5</v>
      </c>
      <c r="D105" s="59" t="s">
        <v>0</v>
      </c>
      <c r="E105" s="59" t="s">
        <v>1</v>
      </c>
      <c r="F105" s="59" t="s">
        <v>2</v>
      </c>
      <c r="G105" s="59" t="s">
        <v>3</v>
      </c>
      <c r="H105" s="59" t="s">
        <v>4</v>
      </c>
      <c r="I105" s="156"/>
    </row>
    <row r="106" spans="1:9" s="64" customFormat="1" ht="15.75" hidden="1" x14ac:dyDescent="0.25">
      <c r="A106" s="182" t="s">
        <v>188</v>
      </c>
      <c r="B106" s="188"/>
      <c r="C106" s="189">
        <f t="shared" ref="C106:H106" si="56">C10</f>
        <v>0</v>
      </c>
      <c r="D106" s="189">
        <f t="shared" si="56"/>
        <v>15000</v>
      </c>
      <c r="E106" s="189">
        <f t="shared" si="56"/>
        <v>6299.9879999999994</v>
      </c>
      <c r="F106" s="189">
        <f t="shared" si="56"/>
        <v>27431.152694582041</v>
      </c>
      <c r="G106" s="189">
        <f t="shared" si="56"/>
        <v>34234.042353058481</v>
      </c>
      <c r="H106" s="189">
        <f t="shared" si="56"/>
        <v>41537.272655013272</v>
      </c>
      <c r="I106" s="156"/>
    </row>
    <row r="107" spans="1:9" s="64" customFormat="1" ht="31.5" hidden="1" x14ac:dyDescent="0.25">
      <c r="A107" s="183" t="s">
        <v>181</v>
      </c>
      <c r="B107" s="111">
        <v>0.3</v>
      </c>
      <c r="C107" s="189">
        <f>$B$107*C106</f>
        <v>0</v>
      </c>
      <c r="D107" s="189">
        <f t="shared" ref="D107:H107" si="57">$B$107*D106</f>
        <v>4500</v>
      </c>
      <c r="E107" s="189">
        <f t="shared" si="57"/>
        <v>1889.9963999999998</v>
      </c>
      <c r="F107" s="189">
        <f t="shared" si="57"/>
        <v>8229.3458083746118</v>
      </c>
      <c r="G107" s="189">
        <f t="shared" si="57"/>
        <v>10270.212705917544</v>
      </c>
      <c r="H107" s="189">
        <f t="shared" si="57"/>
        <v>12461.181796503981</v>
      </c>
      <c r="I107" s="191" t="s">
        <v>184</v>
      </c>
    </row>
    <row r="108" spans="1:9" ht="31.5" hidden="1" x14ac:dyDescent="0.25">
      <c r="A108" s="183" t="s">
        <v>214</v>
      </c>
      <c r="B108" s="111">
        <v>0.2</v>
      </c>
      <c r="C108" s="189">
        <f>$B$108*C106</f>
        <v>0</v>
      </c>
      <c r="D108" s="189">
        <f t="shared" ref="D108:H108" si="58">$B$108*D106</f>
        <v>3000</v>
      </c>
      <c r="E108" s="189">
        <f t="shared" si="58"/>
        <v>1259.9975999999999</v>
      </c>
      <c r="F108" s="189">
        <f t="shared" si="58"/>
        <v>5486.2305389164085</v>
      </c>
      <c r="G108" s="189">
        <f t="shared" si="58"/>
        <v>6846.808470611697</v>
      </c>
      <c r="H108" s="189">
        <f t="shared" si="58"/>
        <v>8307.4545310026551</v>
      </c>
      <c r="I108" s="191" t="s">
        <v>185</v>
      </c>
    </row>
    <row r="109" spans="1:9" ht="29.45" hidden="1" customHeight="1" x14ac:dyDescent="0.25">
      <c r="A109" s="183" t="s">
        <v>182</v>
      </c>
      <c r="B109" s="111">
        <v>0.2</v>
      </c>
      <c r="C109" s="189">
        <f>C106*$B$109</f>
        <v>0</v>
      </c>
      <c r="D109" s="189">
        <f t="shared" ref="D109:H109" si="59">D106*$B$109</f>
        <v>3000</v>
      </c>
      <c r="E109" s="189">
        <f t="shared" si="59"/>
        <v>1259.9975999999999</v>
      </c>
      <c r="F109" s="189">
        <f t="shared" si="59"/>
        <v>5486.2305389164085</v>
      </c>
      <c r="G109" s="189">
        <f t="shared" si="59"/>
        <v>6846.808470611697</v>
      </c>
      <c r="H109" s="189">
        <f t="shared" si="59"/>
        <v>8307.4545310026551</v>
      </c>
      <c r="I109" s="191" t="s">
        <v>186</v>
      </c>
    </row>
    <row r="110" spans="1:9" ht="29.45" hidden="1" customHeight="1" x14ac:dyDescent="0.25">
      <c r="A110" s="183" t="s">
        <v>215</v>
      </c>
      <c r="B110" s="194">
        <v>60</v>
      </c>
      <c r="C110" s="189">
        <f>C108*$B$110/365</f>
        <v>0</v>
      </c>
      <c r="D110" s="189">
        <f t="shared" ref="D110:H110" si="60">D108*$B$110/365</f>
        <v>493.15068493150687</v>
      </c>
      <c r="E110" s="189">
        <f t="shared" si="60"/>
        <v>207.12289315068494</v>
      </c>
      <c r="F110" s="189">
        <f t="shared" si="60"/>
        <v>901.84611598625895</v>
      </c>
      <c r="G110" s="189">
        <f t="shared" si="60"/>
        <v>1125.5027622923337</v>
      </c>
      <c r="H110" s="189">
        <f t="shared" si="60"/>
        <v>1365.6089640004363</v>
      </c>
      <c r="I110" s="191"/>
    </row>
    <row r="111" spans="1:9" ht="29.45" hidden="1" customHeight="1" x14ac:dyDescent="0.25">
      <c r="A111" s="183" t="s">
        <v>189</v>
      </c>
      <c r="B111" s="194">
        <v>30</v>
      </c>
      <c r="C111" s="189">
        <f>C108*$B$111/365</f>
        <v>0</v>
      </c>
      <c r="D111" s="189">
        <f t="shared" ref="D111:H111" si="61">D108*$B$111/365</f>
        <v>246.57534246575344</v>
      </c>
      <c r="E111" s="189">
        <f t="shared" si="61"/>
        <v>103.56144657534247</v>
      </c>
      <c r="F111" s="189">
        <f t="shared" si="61"/>
        <v>450.92305799312948</v>
      </c>
      <c r="G111" s="189">
        <f t="shared" si="61"/>
        <v>562.75138114616686</v>
      </c>
      <c r="H111" s="189">
        <f t="shared" si="61"/>
        <v>682.80448200021817</v>
      </c>
      <c r="I111" s="191"/>
    </row>
    <row r="112" spans="1:9" ht="16.5" hidden="1" thickBot="1" x14ac:dyDescent="0.3">
      <c r="A112" s="192" t="s">
        <v>187</v>
      </c>
      <c r="B112" s="4"/>
      <c r="C112" s="193">
        <f>C111+C110</f>
        <v>0</v>
      </c>
      <c r="D112" s="193">
        <f t="shared" ref="D112:H112" si="62">D111+D110</f>
        <v>739.72602739726028</v>
      </c>
      <c r="E112" s="193">
        <f t="shared" si="62"/>
        <v>310.68433972602742</v>
      </c>
      <c r="F112" s="193">
        <f t="shared" si="62"/>
        <v>1352.7691739793884</v>
      </c>
      <c r="G112" s="193">
        <f t="shared" si="62"/>
        <v>1688.2541434385007</v>
      </c>
      <c r="H112" s="193">
        <f t="shared" si="62"/>
        <v>2048.4134460006544</v>
      </c>
    </row>
    <row r="113" spans="1:9" ht="27" hidden="1" thickBot="1" x14ac:dyDescent="0.3">
      <c r="A113" s="162" t="s">
        <v>121</v>
      </c>
      <c r="C113" s="58" t="s">
        <v>5</v>
      </c>
      <c r="D113" s="59" t="s">
        <v>0</v>
      </c>
      <c r="E113" s="59" t="s">
        <v>1</v>
      </c>
      <c r="F113" s="59" t="s">
        <v>2</v>
      </c>
      <c r="G113" s="59" t="s">
        <v>3</v>
      </c>
      <c r="H113" s="59" t="s">
        <v>4</v>
      </c>
    </row>
    <row r="114" spans="1:9" ht="15.75" hidden="1" x14ac:dyDescent="0.25">
      <c r="A114" s="192" t="s">
        <v>198</v>
      </c>
      <c r="D114" s="189"/>
      <c r="E114" s="189"/>
      <c r="F114" s="189"/>
      <c r="G114" s="189"/>
      <c r="H114" s="189"/>
    </row>
    <row r="115" spans="1:9" ht="31.5" hidden="1" x14ac:dyDescent="0.25">
      <c r="A115" s="183" t="s">
        <v>191</v>
      </c>
      <c r="B115" s="111">
        <v>0.3</v>
      </c>
      <c r="C115" s="189">
        <f>$B$115*C106</f>
        <v>0</v>
      </c>
      <c r="D115" s="189">
        <f t="shared" ref="D115:H115" si="63">$B$115*D106</f>
        <v>4500</v>
      </c>
      <c r="E115" s="189">
        <f t="shared" si="63"/>
        <v>1889.9963999999998</v>
      </c>
      <c r="F115" s="189">
        <f t="shared" si="63"/>
        <v>8229.3458083746118</v>
      </c>
      <c r="G115" s="189">
        <f t="shared" si="63"/>
        <v>10270.212705917544</v>
      </c>
      <c r="H115" s="189">
        <f t="shared" si="63"/>
        <v>12461.181796503981</v>
      </c>
    </row>
    <row r="116" spans="1:9" ht="15.75" hidden="1" x14ac:dyDescent="0.25">
      <c r="A116" s="183" t="s">
        <v>192</v>
      </c>
      <c r="B116" s="194">
        <v>30</v>
      </c>
      <c r="C116" s="189">
        <f>C115*$B$116/365</f>
        <v>0</v>
      </c>
      <c r="D116" s="189">
        <f t="shared" ref="D116:H116" si="64">D115*$B$116/365</f>
        <v>369.86301369863014</v>
      </c>
      <c r="E116" s="189">
        <f t="shared" si="64"/>
        <v>155.34216986301368</v>
      </c>
      <c r="F116" s="189">
        <f t="shared" si="64"/>
        <v>676.38458698969418</v>
      </c>
      <c r="G116" s="189">
        <f t="shared" si="64"/>
        <v>844.12707171925024</v>
      </c>
      <c r="H116" s="189">
        <f t="shared" si="64"/>
        <v>1024.2067230003272</v>
      </c>
    </row>
    <row r="117" spans="1:9" ht="15.75" hidden="1" x14ac:dyDescent="0.25">
      <c r="A117" s="192" t="s">
        <v>6</v>
      </c>
      <c r="B117" s="194"/>
      <c r="C117" s="189"/>
      <c r="D117" s="189"/>
      <c r="E117" s="189"/>
      <c r="F117" s="189"/>
      <c r="G117" s="189"/>
      <c r="H117" s="189"/>
    </row>
    <row r="118" spans="1:9" ht="15.75" hidden="1" x14ac:dyDescent="0.25">
      <c r="A118" s="183" t="s">
        <v>196</v>
      </c>
      <c r="B118" s="111">
        <v>0.7</v>
      </c>
      <c r="C118" s="189">
        <f t="shared" ref="C118:H118" si="65">-$B$118*C13</f>
        <v>0</v>
      </c>
      <c r="D118" s="189">
        <f t="shared" si="65"/>
        <v>1400</v>
      </c>
      <c r="E118" s="189">
        <f t="shared" si="65"/>
        <v>2100</v>
      </c>
      <c r="F118" s="189">
        <f t="shared" si="65"/>
        <v>2226.0000209999998</v>
      </c>
      <c r="G118" s="189">
        <f t="shared" si="65"/>
        <v>2337.2955885992164</v>
      </c>
      <c r="H118" s="189">
        <f t="shared" si="65"/>
        <v>2442.4697004831373</v>
      </c>
    </row>
    <row r="119" spans="1:9" ht="15.75" hidden="1" x14ac:dyDescent="0.25">
      <c r="A119" s="183" t="s">
        <v>197</v>
      </c>
      <c r="B119" s="111">
        <v>0.3</v>
      </c>
      <c r="C119" s="189">
        <f t="shared" ref="C119:H119" si="66">-$B$119*C13</f>
        <v>0</v>
      </c>
      <c r="D119" s="189">
        <f t="shared" si="66"/>
        <v>600</v>
      </c>
      <c r="E119" s="189">
        <f t="shared" si="66"/>
        <v>900</v>
      </c>
      <c r="F119" s="189">
        <f t="shared" si="66"/>
        <v>954.00000899999998</v>
      </c>
      <c r="G119" s="189">
        <f t="shared" si="66"/>
        <v>1001.6981093996642</v>
      </c>
      <c r="H119" s="189">
        <f t="shared" si="66"/>
        <v>1046.7727287784874</v>
      </c>
    </row>
    <row r="120" spans="1:9" ht="15.75" hidden="1" x14ac:dyDescent="0.25">
      <c r="A120" s="183" t="s">
        <v>200</v>
      </c>
      <c r="B120" s="194">
        <v>15</v>
      </c>
      <c r="C120" s="189">
        <f>(C118/12)*($B$120/30)</f>
        <v>0</v>
      </c>
      <c r="D120" s="189">
        <f>(D118/12)*($B$120/30)</f>
        <v>58.333333333333336</v>
      </c>
      <c r="E120" s="189">
        <f t="shared" ref="E120:H120" si="67">(E118/12)*($B$120/30)</f>
        <v>87.5</v>
      </c>
      <c r="F120" s="189">
        <f t="shared" si="67"/>
        <v>92.750000874999998</v>
      </c>
      <c r="G120" s="189">
        <f t="shared" si="67"/>
        <v>97.387316191634014</v>
      </c>
      <c r="H120" s="189">
        <f t="shared" si="67"/>
        <v>101.76957085346406</v>
      </c>
    </row>
    <row r="121" spans="1:9" ht="15.75" hidden="1" x14ac:dyDescent="0.25">
      <c r="A121" s="183" t="s">
        <v>202</v>
      </c>
      <c r="B121" s="194">
        <v>20</v>
      </c>
      <c r="C121" s="189">
        <f>(C119/12)*($B$121/30)</f>
        <v>0</v>
      </c>
      <c r="D121" s="189">
        <f>(D119/12)*($B$121/30)</f>
        <v>33.333333333333329</v>
      </c>
      <c r="E121" s="189">
        <f t="shared" ref="E121:H121" si="68">(E119/12)*($B$121/30)</f>
        <v>50</v>
      </c>
      <c r="F121" s="189">
        <f t="shared" si="68"/>
        <v>53.000000499999999</v>
      </c>
      <c r="G121" s="189">
        <f t="shared" si="68"/>
        <v>55.649894966648006</v>
      </c>
      <c r="H121" s="189">
        <f t="shared" si="68"/>
        <v>58.154040487693734</v>
      </c>
    </row>
    <row r="122" spans="1:9" ht="16.5" hidden="1" thickBot="1" x14ac:dyDescent="0.3">
      <c r="A122" s="192" t="s">
        <v>203</v>
      </c>
      <c r="B122" s="194"/>
      <c r="C122" s="193">
        <f>C121+C120+C116</f>
        <v>0</v>
      </c>
      <c r="D122" s="193">
        <f t="shared" ref="D122:H122" si="69">D121+D120+D116</f>
        <v>461.52968036529683</v>
      </c>
      <c r="E122" s="193">
        <f t="shared" si="69"/>
        <v>292.84216986301368</v>
      </c>
      <c r="F122" s="193">
        <f t="shared" si="69"/>
        <v>822.1345883646942</v>
      </c>
      <c r="G122" s="193">
        <f t="shared" si="69"/>
        <v>997.16428287753229</v>
      </c>
      <c r="H122" s="193">
        <f t="shared" si="69"/>
        <v>1184.130334341485</v>
      </c>
    </row>
    <row r="123" spans="1:9" ht="57" hidden="1" thickBot="1" x14ac:dyDescent="0.3">
      <c r="A123" s="174" t="s">
        <v>205</v>
      </c>
      <c r="B123" s="64"/>
      <c r="C123" s="58" t="s">
        <v>5</v>
      </c>
      <c r="D123" s="59" t="s">
        <v>0</v>
      </c>
      <c r="E123" s="59" t="s">
        <v>1</v>
      </c>
      <c r="F123" s="59" t="s">
        <v>2</v>
      </c>
      <c r="G123" s="59" t="s">
        <v>3</v>
      </c>
      <c r="H123" s="59" t="s">
        <v>4</v>
      </c>
      <c r="I123" s="60" t="s">
        <v>7</v>
      </c>
    </row>
    <row r="124" spans="1:9" ht="15.75" hidden="1" x14ac:dyDescent="0.25">
      <c r="A124" s="183" t="s">
        <v>207</v>
      </c>
      <c r="B124" s="194"/>
      <c r="C124" s="189">
        <f>C101</f>
        <v>0</v>
      </c>
      <c r="D124" s="189">
        <f t="shared" ref="D124:H124" si="70">D101</f>
        <v>271.23287671232879</v>
      </c>
      <c r="E124" s="189">
        <f t="shared" si="70"/>
        <v>116.08767123287672</v>
      </c>
      <c r="F124" s="189">
        <f t="shared" si="70"/>
        <v>512.72059379983602</v>
      </c>
      <c r="G124" s="189">
        <f t="shared" si="70"/>
        <v>646.0267227853692</v>
      </c>
      <c r="H124" s="189">
        <f t="shared" si="70"/>
        <v>787.61312022447476</v>
      </c>
      <c r="I124" s="189"/>
    </row>
    <row r="125" spans="1:9" ht="15.75" hidden="1" x14ac:dyDescent="0.25">
      <c r="A125" s="183" t="s">
        <v>208</v>
      </c>
      <c r="B125" s="194"/>
      <c r="C125" s="189">
        <f>C95</f>
        <v>0</v>
      </c>
      <c r="D125" s="189">
        <f t="shared" ref="D125:H125" si="71">D95</f>
        <v>336.98630136986299</v>
      </c>
      <c r="E125" s="189">
        <f t="shared" si="71"/>
        <v>214.71780821917807</v>
      </c>
      <c r="F125" s="189">
        <f t="shared" si="71"/>
        <v>617.26853999161676</v>
      </c>
      <c r="G125" s="189">
        <f t="shared" si="71"/>
        <v>755.80185806204463</v>
      </c>
      <c r="H125" s="189">
        <f t="shared" si="71"/>
        <v>902.32793981663758</v>
      </c>
      <c r="I125" s="189"/>
    </row>
    <row r="126" spans="1:9" ht="15.75" hidden="1" x14ac:dyDescent="0.25">
      <c r="A126" s="183" t="s">
        <v>209</v>
      </c>
      <c r="B126" s="194"/>
      <c r="C126" s="189">
        <f>C104</f>
        <v>0</v>
      </c>
      <c r="D126" s="189">
        <f t="shared" ref="D126:H126" si="72">D104</f>
        <v>687.5</v>
      </c>
      <c r="E126" s="189">
        <f t="shared" si="72"/>
        <v>294.25</v>
      </c>
      <c r="F126" s="189">
        <f t="shared" si="72"/>
        <v>1299.6042828954176</v>
      </c>
      <c r="G126" s="189">
        <f t="shared" si="72"/>
        <v>1637.4982903934704</v>
      </c>
      <c r="H126" s="189">
        <f t="shared" si="72"/>
        <v>1996.3804783467588</v>
      </c>
      <c r="I126" s="189"/>
    </row>
    <row r="127" spans="1:9" ht="15.75" hidden="1" x14ac:dyDescent="0.25">
      <c r="A127" s="183" t="s">
        <v>210</v>
      </c>
      <c r="B127" s="194"/>
      <c r="C127" s="189">
        <f>C112</f>
        <v>0</v>
      </c>
      <c r="D127" s="189">
        <f t="shared" ref="D127:H127" si="73">D112</f>
        <v>739.72602739726028</v>
      </c>
      <c r="E127" s="189">
        <f t="shared" si="73"/>
        <v>310.68433972602742</v>
      </c>
      <c r="F127" s="189">
        <f t="shared" si="73"/>
        <v>1352.7691739793884</v>
      </c>
      <c r="G127" s="189">
        <f t="shared" si="73"/>
        <v>1688.2541434385007</v>
      </c>
      <c r="H127" s="189">
        <f t="shared" si="73"/>
        <v>2048.4134460006544</v>
      </c>
      <c r="I127" s="189"/>
    </row>
    <row r="128" spans="1:9" ht="16.5" hidden="1" thickBot="1" x14ac:dyDescent="0.3">
      <c r="A128" s="183" t="s">
        <v>206</v>
      </c>
      <c r="B128" s="194"/>
      <c r="C128" s="189">
        <f>C122</f>
        <v>0</v>
      </c>
      <c r="D128" s="189">
        <f t="shared" ref="D128:H128" si="74">D122</f>
        <v>461.52968036529683</v>
      </c>
      <c r="E128" s="189">
        <f t="shared" si="74"/>
        <v>292.84216986301368</v>
      </c>
      <c r="F128" s="189">
        <f t="shared" si="74"/>
        <v>822.1345883646942</v>
      </c>
      <c r="G128" s="189">
        <f t="shared" si="74"/>
        <v>997.16428287753229</v>
      </c>
      <c r="H128" s="189">
        <f t="shared" si="74"/>
        <v>1184.130334341485</v>
      </c>
      <c r="I128" s="189"/>
    </row>
    <row r="129" spans="1:11" ht="21.75" hidden="1" thickBot="1" x14ac:dyDescent="0.3">
      <c r="A129" s="162" t="s">
        <v>211</v>
      </c>
      <c r="B129" s="194"/>
      <c r="C129" s="195">
        <f>SUM(C124:C128)</f>
        <v>0</v>
      </c>
      <c r="D129" s="195">
        <f>SUM(D124:D127)-D128</f>
        <v>1573.9155251141551</v>
      </c>
      <c r="E129" s="195">
        <f t="shared" ref="E129:H129" si="75">SUM(E124:E127)-E128</f>
        <v>642.89764931506852</v>
      </c>
      <c r="F129" s="195">
        <f t="shared" si="75"/>
        <v>2960.2280023015642</v>
      </c>
      <c r="G129" s="195">
        <f t="shared" si="75"/>
        <v>3730.4167318018526</v>
      </c>
      <c r="H129" s="195">
        <f t="shared" si="75"/>
        <v>4550.6046500470411</v>
      </c>
      <c r="I129" s="189"/>
    </row>
    <row r="130" spans="1:11" ht="16.5" hidden="1" thickBot="1" x14ac:dyDescent="0.3">
      <c r="A130" s="196" t="s">
        <v>212</v>
      </c>
      <c r="B130" s="4"/>
      <c r="C130" s="193"/>
      <c r="D130" s="193">
        <f>D129-C129</f>
        <v>1573.9155251141551</v>
      </c>
      <c r="E130" s="193">
        <f t="shared" ref="E130:H130" si="76">E129-D129</f>
        <v>-931.0178757990866</v>
      </c>
      <c r="F130" s="193">
        <f t="shared" si="76"/>
        <v>2317.3303529864957</v>
      </c>
      <c r="G130" s="193">
        <f t="shared" si="76"/>
        <v>770.18872950028845</v>
      </c>
      <c r="H130" s="193">
        <f t="shared" si="76"/>
        <v>820.18791824518848</v>
      </c>
      <c r="I130" s="189"/>
      <c r="J130" s="65"/>
      <c r="K130" s="65"/>
    </row>
    <row r="131" spans="1:11" ht="57.75" thickBot="1" x14ac:dyDescent="0.3">
      <c r="A131" s="174" t="s">
        <v>497</v>
      </c>
      <c r="B131" s="64"/>
      <c r="C131" s="58" t="s">
        <v>5</v>
      </c>
      <c r="D131" s="59" t="s">
        <v>0</v>
      </c>
      <c r="E131" s="59" t="s">
        <v>1</v>
      </c>
      <c r="F131" s="59" t="s">
        <v>2</v>
      </c>
      <c r="G131" s="59" t="s">
        <v>3</v>
      </c>
      <c r="H131" s="59" t="s">
        <v>4</v>
      </c>
      <c r="I131" s="60" t="s">
        <v>238</v>
      </c>
      <c r="J131" s="65"/>
      <c r="K131" s="65"/>
    </row>
    <row r="132" spans="1:11" ht="42.75" thickBot="1" x14ac:dyDescent="0.3">
      <c r="A132" s="230" t="s">
        <v>498</v>
      </c>
      <c r="B132" s="5"/>
      <c r="D132" s="9"/>
      <c r="E132" s="9"/>
      <c r="F132" s="9"/>
      <c r="G132" s="9"/>
      <c r="H132" s="9"/>
      <c r="I132" s="9"/>
      <c r="J132" s="65"/>
      <c r="K132" s="65"/>
    </row>
    <row r="133" spans="1:11" ht="30" x14ac:dyDescent="0.25">
      <c r="A133" s="258" t="s">
        <v>256</v>
      </c>
      <c r="B133" s="5"/>
      <c r="C133" s="9">
        <f t="shared" ref="C133:H138" si="77">C26</f>
        <v>5000</v>
      </c>
      <c r="D133" s="9">
        <f t="shared" si="77"/>
        <v>0</v>
      </c>
      <c r="E133" s="9">
        <f t="shared" si="77"/>
        <v>3525</v>
      </c>
      <c r="F133" s="9">
        <f t="shared" si="77"/>
        <v>2873.9879999999976</v>
      </c>
      <c r="G133" s="9">
        <f t="shared" si="77"/>
        <v>9782.8756355362857</v>
      </c>
      <c r="H133" s="9">
        <f t="shared" si="77"/>
        <v>18749.877062608779</v>
      </c>
      <c r="I133" s="9"/>
      <c r="J133" s="65"/>
      <c r="K133" s="65"/>
    </row>
    <row r="134" spans="1:11" x14ac:dyDescent="0.25">
      <c r="A134" s="4" t="s">
        <v>258</v>
      </c>
      <c r="B134" s="4"/>
      <c r="C134" s="11">
        <f t="shared" si="77"/>
        <v>0</v>
      </c>
      <c r="D134" s="11">
        <f t="shared" si="77"/>
        <v>22000</v>
      </c>
      <c r="E134" s="11">
        <f t="shared" si="77"/>
        <v>17299.987999999998</v>
      </c>
      <c r="F134" s="11">
        <f t="shared" si="77"/>
        <v>34431.152694582037</v>
      </c>
      <c r="G134" s="11">
        <f t="shared" si="77"/>
        <v>42234.042353058481</v>
      </c>
      <c r="H134" s="11">
        <f t="shared" si="77"/>
        <v>50537.272655013272</v>
      </c>
      <c r="I134" s="11"/>
      <c r="J134" s="65"/>
      <c r="K134" s="65"/>
    </row>
    <row r="135" spans="1:11" x14ac:dyDescent="0.25">
      <c r="A135" s="4" t="s">
        <v>257</v>
      </c>
      <c r="B135" s="4"/>
      <c r="C135" s="11">
        <f t="shared" si="77"/>
        <v>-5000</v>
      </c>
      <c r="D135" s="11">
        <f t="shared" si="77"/>
        <v>-18475</v>
      </c>
      <c r="E135" s="11">
        <f t="shared" si="77"/>
        <v>-17951</v>
      </c>
      <c r="F135" s="11">
        <f t="shared" si="77"/>
        <v>-27522.265059045749</v>
      </c>
      <c r="G135" s="11">
        <f t="shared" si="77"/>
        <v>-33267.040925985988</v>
      </c>
      <c r="H135" s="11">
        <f t="shared" si="77"/>
        <v>-39311.028102938675</v>
      </c>
      <c r="I135" s="11"/>
      <c r="J135" s="65"/>
      <c r="K135" s="65"/>
    </row>
    <row r="136" spans="1:11" ht="30" x14ac:dyDescent="0.25">
      <c r="A136" s="259" t="s">
        <v>259</v>
      </c>
      <c r="B136" s="4"/>
      <c r="C136" s="11">
        <f t="shared" si="77"/>
        <v>-5000</v>
      </c>
      <c r="D136" s="11">
        <f t="shared" si="77"/>
        <v>3525</v>
      </c>
      <c r="E136" s="11">
        <f t="shared" si="77"/>
        <v>-651.01200000000244</v>
      </c>
      <c r="F136" s="11">
        <f t="shared" si="77"/>
        <v>6908.8876355362881</v>
      </c>
      <c r="G136" s="11">
        <f t="shared" si="77"/>
        <v>8967.0014270724932</v>
      </c>
      <c r="H136" s="11">
        <f t="shared" si="77"/>
        <v>11226.244552074597</v>
      </c>
      <c r="I136" s="11"/>
      <c r="J136" s="65"/>
      <c r="K136" s="65"/>
    </row>
    <row r="137" spans="1:11" ht="30" x14ac:dyDescent="0.25">
      <c r="A137" s="258" t="s">
        <v>260</v>
      </c>
      <c r="B137" s="5"/>
      <c r="C137" s="9">
        <f t="shared" si="77"/>
        <v>0</v>
      </c>
      <c r="D137" s="9">
        <f t="shared" si="77"/>
        <v>3525</v>
      </c>
      <c r="E137" s="9">
        <f t="shared" si="77"/>
        <v>2873.9879999999976</v>
      </c>
      <c r="F137" s="9">
        <f t="shared" si="77"/>
        <v>9782.8756355362857</v>
      </c>
      <c r="G137" s="9">
        <f t="shared" si="77"/>
        <v>18749.877062608779</v>
      </c>
      <c r="H137" s="9">
        <f t="shared" si="77"/>
        <v>29976.121614683376</v>
      </c>
      <c r="I137" s="9"/>
      <c r="J137" s="65"/>
      <c r="K137" s="65"/>
    </row>
    <row r="138" spans="1:11" ht="30" x14ac:dyDescent="0.25">
      <c r="A138" s="258" t="s">
        <v>261</v>
      </c>
      <c r="B138" s="5"/>
      <c r="C138" s="9">
        <f t="shared" si="77"/>
        <v>-5000</v>
      </c>
      <c r="D138" s="9">
        <f t="shared" si="77"/>
        <v>-1475</v>
      </c>
      <c r="E138" s="9">
        <f t="shared" si="77"/>
        <v>-2126.0120000000024</v>
      </c>
      <c r="F138" s="9">
        <f t="shared" si="77"/>
        <v>4782.8756355362857</v>
      </c>
      <c r="G138" s="9">
        <f t="shared" si="77"/>
        <v>13749.877062608779</v>
      </c>
      <c r="H138" s="9">
        <f t="shared" si="77"/>
        <v>24976.121614683376</v>
      </c>
      <c r="I138" s="9"/>
      <c r="J138" s="65"/>
      <c r="K138" s="65"/>
    </row>
    <row r="139" spans="1:11" ht="27.75" thickBot="1" x14ac:dyDescent="0.3">
      <c r="A139" s="196" t="s">
        <v>496</v>
      </c>
      <c r="B139" s="4"/>
      <c r="C139" s="193"/>
      <c r="D139" s="197">
        <f>D130</f>
        <v>1573.9155251141551</v>
      </c>
      <c r="E139" s="197">
        <f t="shared" ref="E139:H139" si="78">E130</f>
        <v>-931.0178757990866</v>
      </c>
      <c r="F139" s="197">
        <f t="shared" si="78"/>
        <v>2317.3303529864957</v>
      </c>
      <c r="G139" s="197">
        <f t="shared" si="78"/>
        <v>770.18872950028845</v>
      </c>
      <c r="H139" s="197">
        <f t="shared" si="78"/>
        <v>820.18791824518848</v>
      </c>
      <c r="I139" s="9"/>
      <c r="J139" s="65"/>
      <c r="K139" s="65"/>
    </row>
    <row r="140" spans="1:11" ht="27" thickBot="1" x14ac:dyDescent="0.3">
      <c r="A140" s="230" t="s">
        <v>499</v>
      </c>
      <c r="B140" s="5"/>
      <c r="C140" s="58" t="s">
        <v>5</v>
      </c>
      <c r="D140" s="59" t="s">
        <v>0</v>
      </c>
      <c r="E140" s="59" t="s">
        <v>1</v>
      </c>
      <c r="F140" s="59" t="s">
        <v>2</v>
      </c>
      <c r="G140" s="59" t="s">
        <v>3</v>
      </c>
      <c r="H140" s="272" t="s">
        <v>4</v>
      </c>
      <c r="I140" s="9"/>
      <c r="J140" s="65"/>
      <c r="K140" s="65"/>
    </row>
    <row r="141" spans="1:11" ht="30" x14ac:dyDescent="0.25">
      <c r="A141" s="258" t="s">
        <v>256</v>
      </c>
      <c r="B141" s="5"/>
      <c r="C141" s="9">
        <f>C133</f>
        <v>5000</v>
      </c>
      <c r="D141" s="9">
        <f>D133</f>
        <v>0</v>
      </c>
      <c r="E141" s="9">
        <f>D144</f>
        <v>1951.0844748858435</v>
      </c>
      <c r="F141" s="9">
        <f>E145+F5</f>
        <v>2231.0903506849281</v>
      </c>
      <c r="G141" s="9">
        <f>F145+G5</f>
        <v>6822.6476332347193</v>
      </c>
      <c r="H141" s="9">
        <f>G145+H5</f>
        <v>15019.460330806924</v>
      </c>
      <c r="I141" s="9"/>
      <c r="J141" s="65"/>
      <c r="K141" s="65"/>
    </row>
    <row r="142" spans="1:11" x14ac:dyDescent="0.25">
      <c r="A142" s="4" t="s">
        <v>258</v>
      </c>
      <c r="B142" s="5"/>
      <c r="C142" s="9">
        <f>C134</f>
        <v>0</v>
      </c>
      <c r="D142" s="9">
        <f>D134</f>
        <v>22000</v>
      </c>
      <c r="E142" s="9">
        <f t="shared" ref="E142:H142" si="79">E134</f>
        <v>17299.987999999998</v>
      </c>
      <c r="F142" s="9">
        <f t="shared" si="79"/>
        <v>34431.152694582037</v>
      </c>
      <c r="G142" s="9">
        <f t="shared" si="79"/>
        <v>42234.042353058481</v>
      </c>
      <c r="H142" s="9">
        <f t="shared" si="79"/>
        <v>50537.272655013272</v>
      </c>
      <c r="I142" s="9"/>
      <c r="J142" s="65"/>
      <c r="K142" s="65"/>
    </row>
    <row r="143" spans="1:11" x14ac:dyDescent="0.25">
      <c r="A143" s="4" t="s">
        <v>257</v>
      </c>
      <c r="B143" s="5"/>
      <c r="C143" s="11">
        <f t="shared" ref="C143:H143" si="80">C135-C139</f>
        <v>-5000</v>
      </c>
      <c r="D143" s="11">
        <f t="shared" si="80"/>
        <v>-20048.915525114156</v>
      </c>
      <c r="E143" s="11">
        <f t="shared" si="80"/>
        <v>-17019.982124200913</v>
      </c>
      <c r="F143" s="11">
        <f t="shared" si="80"/>
        <v>-29839.595412032246</v>
      </c>
      <c r="G143" s="11">
        <f t="shared" si="80"/>
        <v>-34037.229655486277</v>
      </c>
      <c r="H143" s="11">
        <f t="shared" si="80"/>
        <v>-40131.216021183864</v>
      </c>
      <c r="I143" s="9"/>
      <c r="J143" s="65"/>
      <c r="K143" s="65"/>
    </row>
    <row r="144" spans="1:11" ht="30" x14ac:dyDescent="0.25">
      <c r="A144" s="259" t="s">
        <v>259</v>
      </c>
      <c r="B144" s="5"/>
      <c r="C144" s="11">
        <f>C142+C143</f>
        <v>-5000</v>
      </c>
      <c r="D144" s="11">
        <f>D142+D143</f>
        <v>1951.0844748858435</v>
      </c>
      <c r="E144" s="11">
        <f t="shared" ref="E144:H144" si="81">E142+E143</f>
        <v>280.00587579908461</v>
      </c>
      <c r="F144" s="11">
        <f t="shared" si="81"/>
        <v>4591.5572825497911</v>
      </c>
      <c r="G144" s="11">
        <f t="shared" si="81"/>
        <v>8196.8126975722043</v>
      </c>
      <c r="H144" s="11">
        <f t="shared" si="81"/>
        <v>10406.056633829408</v>
      </c>
      <c r="I144" s="9"/>
      <c r="J144" s="65"/>
      <c r="K144" s="65"/>
    </row>
    <row r="145" spans="1:11" s="14" customFormat="1" ht="30" x14ac:dyDescent="0.25">
      <c r="A145" s="258" t="s">
        <v>260</v>
      </c>
      <c r="C145" s="200">
        <f>C141+C144</f>
        <v>0</v>
      </c>
      <c r="D145" s="200">
        <f>D141+D144</f>
        <v>1951.0844748858435</v>
      </c>
      <c r="E145" s="200">
        <f t="shared" ref="E145:H145" si="82">E141+E144</f>
        <v>2231.0903506849281</v>
      </c>
      <c r="F145" s="200">
        <f t="shared" si="82"/>
        <v>6822.6476332347193</v>
      </c>
      <c r="G145" s="200">
        <f t="shared" si="82"/>
        <v>15019.460330806924</v>
      </c>
      <c r="H145" s="200">
        <f t="shared" si="82"/>
        <v>25425.516964636332</v>
      </c>
      <c r="I145" s="198"/>
      <c r="J145" s="199"/>
      <c r="K145" s="199"/>
    </row>
    <row r="146" spans="1:11" ht="30.75" thickBot="1" x14ac:dyDescent="0.3">
      <c r="A146" s="258" t="s">
        <v>261</v>
      </c>
      <c r="B146" s="5"/>
      <c r="C146" s="9">
        <f>C145</f>
        <v>0</v>
      </c>
      <c r="D146" s="9">
        <f>C146+D145</f>
        <v>1951.0844748858435</v>
      </c>
      <c r="E146" s="9">
        <f t="shared" ref="E146:H146" si="83">D146+E145</f>
        <v>4182.1748255707716</v>
      </c>
      <c r="F146" s="9">
        <f t="shared" si="83"/>
        <v>11004.822458805491</v>
      </c>
      <c r="G146" s="9">
        <f t="shared" si="83"/>
        <v>26024.282789612414</v>
      </c>
      <c r="H146" s="9">
        <f t="shared" si="83"/>
        <v>51449.799754248743</v>
      </c>
      <c r="I146" s="9"/>
      <c r="J146" s="65"/>
      <c r="K146" s="65"/>
    </row>
    <row r="147" spans="1:11" s="64" customFormat="1" ht="27" hidden="1" thickBot="1" x14ac:dyDescent="0.3">
      <c r="A147" s="220" t="s">
        <v>217</v>
      </c>
      <c r="C147" s="217" t="s">
        <v>5</v>
      </c>
      <c r="D147" s="218" t="s">
        <v>0</v>
      </c>
      <c r="E147" s="218" t="s">
        <v>1</v>
      </c>
      <c r="F147" s="218" t="s">
        <v>2</v>
      </c>
      <c r="G147" s="218" t="s">
        <v>3</v>
      </c>
      <c r="H147" s="218" t="s">
        <v>4</v>
      </c>
      <c r="I147" s="156"/>
    </row>
    <row r="148" spans="1:11" s="64" customFormat="1" ht="23.25" hidden="1" x14ac:dyDescent="0.25">
      <c r="A148" s="221" t="s">
        <v>95</v>
      </c>
      <c r="B148" s="201"/>
      <c r="C148" s="201"/>
      <c r="D148" s="201"/>
      <c r="E148" s="202"/>
      <c r="F148" s="202"/>
      <c r="G148" s="202"/>
      <c r="H148" s="203"/>
      <c r="I148" s="156"/>
    </row>
    <row r="149" spans="1:11" s="64" customFormat="1" ht="18.75" hidden="1" x14ac:dyDescent="0.25">
      <c r="A149" s="204" t="s">
        <v>100</v>
      </c>
      <c r="B149" s="219"/>
      <c r="C149" s="206">
        <f>SUM(C151:C153)</f>
        <v>5000</v>
      </c>
      <c r="D149" s="206">
        <f t="shared" ref="D149:H149" si="84">SUM(D151:D153)</f>
        <v>6775</v>
      </c>
      <c r="E149" s="206">
        <f t="shared" si="84"/>
        <v>10750</v>
      </c>
      <c r="F149" s="206">
        <f t="shared" si="84"/>
        <v>9149.1666216666654</v>
      </c>
      <c r="G149" s="206">
        <f t="shared" si="84"/>
        <v>7694.4999010000001</v>
      </c>
      <c r="H149" s="207">
        <f t="shared" si="84"/>
        <v>6309.1996129999825</v>
      </c>
      <c r="I149" s="156"/>
    </row>
    <row r="150" spans="1:11" s="64" customFormat="1" hidden="1" x14ac:dyDescent="0.25">
      <c r="A150" s="208" t="s">
        <v>99</v>
      </c>
      <c r="B150" s="205"/>
      <c r="C150" s="205"/>
      <c r="D150" s="205"/>
      <c r="E150" s="209"/>
      <c r="F150" s="209"/>
      <c r="G150" s="209"/>
      <c r="H150" s="210"/>
      <c r="I150" s="156"/>
    </row>
    <row r="151" spans="1:11" s="64" customFormat="1" ht="15.75" hidden="1" x14ac:dyDescent="0.25">
      <c r="A151" s="211" t="s">
        <v>96</v>
      </c>
      <c r="B151" s="205"/>
      <c r="C151" s="205">
        <f t="shared" ref="C151:H151" si="85">C79+C80+C82</f>
        <v>5000</v>
      </c>
      <c r="D151" s="205">
        <f t="shared" si="85"/>
        <v>6775</v>
      </c>
      <c r="E151" s="205">
        <f t="shared" si="85"/>
        <v>9750</v>
      </c>
      <c r="F151" s="205">
        <f t="shared" si="85"/>
        <v>8482.4999549999993</v>
      </c>
      <c r="G151" s="205">
        <f t="shared" si="85"/>
        <v>7294.4999010000001</v>
      </c>
      <c r="H151" s="212">
        <f t="shared" si="85"/>
        <v>6109.1996129999825</v>
      </c>
      <c r="I151" s="156"/>
    </row>
    <row r="152" spans="1:11" s="64" customFormat="1" ht="15.75" hidden="1" x14ac:dyDescent="0.25">
      <c r="A152" s="211" t="s">
        <v>190</v>
      </c>
      <c r="B152" s="205"/>
      <c r="C152" s="205">
        <f t="shared" ref="C152:H152" si="86">C81</f>
        <v>0</v>
      </c>
      <c r="D152" s="205">
        <f t="shared" si="86"/>
        <v>0</v>
      </c>
      <c r="E152" s="205">
        <f t="shared" si="86"/>
        <v>1000</v>
      </c>
      <c r="F152" s="205">
        <f t="shared" si="86"/>
        <v>666.66666666666674</v>
      </c>
      <c r="G152" s="205">
        <f t="shared" si="86"/>
        <v>400.00000000000006</v>
      </c>
      <c r="H152" s="212">
        <f t="shared" si="86"/>
        <v>200.00000000000006</v>
      </c>
      <c r="I152" s="156"/>
    </row>
    <row r="153" spans="1:11" s="64" customFormat="1" ht="15.75" hidden="1" x14ac:dyDescent="0.25">
      <c r="A153" s="211" t="s">
        <v>97</v>
      </c>
      <c r="B153" s="205"/>
      <c r="C153" s="205"/>
      <c r="D153" s="205"/>
      <c r="E153" s="209"/>
      <c r="F153" s="209"/>
      <c r="G153" s="209"/>
      <c r="H153" s="210"/>
      <c r="I153" s="156"/>
    </row>
    <row r="154" spans="1:11" s="64" customFormat="1" ht="18.75" hidden="1" x14ac:dyDescent="0.25">
      <c r="A154" s="204" t="s">
        <v>98</v>
      </c>
      <c r="B154" s="205"/>
      <c r="C154" s="206">
        <f t="shared" ref="C154:H154" si="87">SUM(C156:C161)</f>
        <v>0</v>
      </c>
      <c r="D154" s="206">
        <f t="shared" si="87"/>
        <v>3986.5296803652955</v>
      </c>
      <c r="E154" s="206">
        <f t="shared" si="87"/>
        <v>3166.8301698630103</v>
      </c>
      <c r="F154" s="206">
        <f t="shared" si="87"/>
        <v>10605.010223900979</v>
      </c>
      <c r="G154" s="206">
        <f t="shared" si="87"/>
        <v>19747.041345486308</v>
      </c>
      <c r="H154" s="207">
        <f t="shared" si="87"/>
        <v>31160.25194902486</v>
      </c>
      <c r="I154" s="156"/>
    </row>
    <row r="155" spans="1:11" s="64" customFormat="1" hidden="1" x14ac:dyDescent="0.25">
      <c r="A155" s="208" t="s">
        <v>99</v>
      </c>
      <c r="B155" s="205"/>
      <c r="C155" s="205"/>
      <c r="D155" s="205"/>
      <c r="E155" s="209"/>
      <c r="F155" s="209"/>
      <c r="G155" s="209"/>
      <c r="H155" s="210"/>
      <c r="I155" s="156"/>
    </row>
    <row r="156" spans="1:11" s="64" customFormat="1" ht="15.75" hidden="1" x14ac:dyDescent="0.25">
      <c r="A156" s="211" t="s">
        <v>101</v>
      </c>
      <c r="B156" s="205"/>
      <c r="C156" s="205">
        <f t="shared" ref="C156:H156" si="88">C101</f>
        <v>0</v>
      </c>
      <c r="D156" s="205">
        <f t="shared" si="88"/>
        <v>271.23287671232879</v>
      </c>
      <c r="E156" s="205">
        <f t="shared" si="88"/>
        <v>116.08767123287672</v>
      </c>
      <c r="F156" s="205">
        <f t="shared" si="88"/>
        <v>512.72059379983602</v>
      </c>
      <c r="G156" s="205">
        <f t="shared" si="88"/>
        <v>646.0267227853692</v>
      </c>
      <c r="H156" s="212">
        <f t="shared" si="88"/>
        <v>787.61312022447476</v>
      </c>
      <c r="I156" s="156"/>
    </row>
    <row r="157" spans="1:11" s="64" customFormat="1" ht="15.75" hidden="1" x14ac:dyDescent="0.25">
      <c r="A157" s="211" t="s">
        <v>102</v>
      </c>
      <c r="B157" s="205"/>
      <c r="C157" s="205">
        <f t="shared" ref="C157:H157" si="89">C95</f>
        <v>0</v>
      </c>
      <c r="D157" s="205">
        <f t="shared" si="89"/>
        <v>336.98630136986299</v>
      </c>
      <c r="E157" s="205">
        <f t="shared" si="89"/>
        <v>214.71780821917807</v>
      </c>
      <c r="F157" s="205">
        <f t="shared" si="89"/>
        <v>617.26853999161676</v>
      </c>
      <c r="G157" s="205">
        <f t="shared" si="89"/>
        <v>755.80185806204463</v>
      </c>
      <c r="H157" s="212">
        <f t="shared" si="89"/>
        <v>902.32793981663758</v>
      </c>
      <c r="I157" s="156"/>
    </row>
    <row r="158" spans="1:11" s="64" customFormat="1" ht="15.75" hidden="1" x14ac:dyDescent="0.25">
      <c r="A158" s="211" t="s">
        <v>103</v>
      </c>
      <c r="B158" s="205"/>
      <c r="C158" s="205">
        <f t="shared" ref="C158:H158" si="90">C112</f>
        <v>0</v>
      </c>
      <c r="D158" s="205">
        <f t="shared" si="90"/>
        <v>739.72602739726028</v>
      </c>
      <c r="E158" s="205">
        <f t="shared" si="90"/>
        <v>310.68433972602742</v>
      </c>
      <c r="F158" s="205">
        <f t="shared" si="90"/>
        <v>1352.7691739793884</v>
      </c>
      <c r="G158" s="205">
        <f t="shared" si="90"/>
        <v>1688.2541434385007</v>
      </c>
      <c r="H158" s="212">
        <f t="shared" si="90"/>
        <v>2048.4134460006544</v>
      </c>
      <c r="I158" s="156"/>
    </row>
    <row r="159" spans="1:11" s="64" customFormat="1" ht="15.75" hidden="1" x14ac:dyDescent="0.25">
      <c r="A159" s="211" t="s">
        <v>104</v>
      </c>
      <c r="B159" s="205"/>
      <c r="C159" s="205">
        <f t="shared" ref="C159:H159" si="91">C104</f>
        <v>0</v>
      </c>
      <c r="D159" s="205">
        <f t="shared" si="91"/>
        <v>687.5</v>
      </c>
      <c r="E159" s="205">
        <f t="shared" si="91"/>
        <v>294.25</v>
      </c>
      <c r="F159" s="205">
        <f t="shared" si="91"/>
        <v>1299.6042828954176</v>
      </c>
      <c r="G159" s="205">
        <f t="shared" si="91"/>
        <v>1637.4982903934704</v>
      </c>
      <c r="H159" s="212">
        <f t="shared" si="91"/>
        <v>1996.3804783467588</v>
      </c>
      <c r="I159" s="156"/>
    </row>
    <row r="160" spans="1:11" s="64" customFormat="1" ht="15.75" hidden="1" x14ac:dyDescent="0.25">
      <c r="A160" s="211" t="s">
        <v>105</v>
      </c>
      <c r="B160" s="205"/>
      <c r="C160" s="205">
        <f t="shared" ref="C160:H160" si="92">C145</f>
        <v>0</v>
      </c>
      <c r="D160" s="205">
        <f t="shared" si="92"/>
        <v>1951.0844748858435</v>
      </c>
      <c r="E160" s="205">
        <f t="shared" si="92"/>
        <v>2231.0903506849281</v>
      </c>
      <c r="F160" s="205">
        <f t="shared" si="92"/>
        <v>6822.6476332347193</v>
      </c>
      <c r="G160" s="205">
        <f t="shared" si="92"/>
        <v>15019.460330806924</v>
      </c>
      <c r="H160" s="212">
        <f t="shared" si="92"/>
        <v>25425.516964636332</v>
      </c>
      <c r="I160" s="156"/>
    </row>
    <row r="161" spans="1:9" s="64" customFormat="1" ht="15.75" hidden="1" x14ac:dyDescent="0.25">
      <c r="A161" s="211" t="s">
        <v>106</v>
      </c>
      <c r="B161" s="205"/>
      <c r="C161" s="205"/>
      <c r="D161" s="205"/>
      <c r="E161" s="209"/>
      <c r="F161" s="209"/>
      <c r="G161" s="209"/>
      <c r="H161" s="210"/>
      <c r="I161" s="156"/>
    </row>
    <row r="162" spans="1:9" s="64" customFormat="1" ht="21.75" hidden="1" thickBot="1" x14ac:dyDescent="0.3">
      <c r="A162" s="213" t="s">
        <v>107</v>
      </c>
      <c r="B162" s="214"/>
      <c r="C162" s="215">
        <f>C154+C149</f>
        <v>5000</v>
      </c>
      <c r="D162" s="215">
        <f t="shared" ref="D162:H162" si="93">D154+D149</f>
        <v>10761.529680365296</v>
      </c>
      <c r="E162" s="215">
        <f t="shared" si="93"/>
        <v>13916.830169863009</v>
      </c>
      <c r="F162" s="215">
        <f t="shared" si="93"/>
        <v>19754.176845567643</v>
      </c>
      <c r="G162" s="215">
        <f t="shared" si="93"/>
        <v>27441.541246486308</v>
      </c>
      <c r="H162" s="216">
        <f t="shared" si="93"/>
        <v>37469.451562024842</v>
      </c>
      <c r="I162" s="156"/>
    </row>
    <row r="163" spans="1:9" s="64" customFormat="1" ht="23.25" hidden="1" x14ac:dyDescent="0.25">
      <c r="A163" s="221" t="s">
        <v>108</v>
      </c>
      <c r="B163" s="201"/>
      <c r="C163" s="201"/>
      <c r="D163" s="201"/>
      <c r="E163" s="202"/>
      <c r="F163" s="202"/>
      <c r="G163" s="202"/>
      <c r="H163" s="203"/>
      <c r="I163" s="156"/>
    </row>
    <row r="164" spans="1:9" s="64" customFormat="1" ht="18.75" hidden="1" x14ac:dyDescent="0.25">
      <c r="A164" s="204" t="s">
        <v>109</v>
      </c>
      <c r="B164" s="205"/>
      <c r="C164" s="206">
        <f t="shared" ref="C164:H164" si="94">SUM(C166:C169)</f>
        <v>5000</v>
      </c>
      <c r="D164" s="206">
        <f t="shared" si="94"/>
        <v>10300</v>
      </c>
      <c r="E164" s="206">
        <f t="shared" si="94"/>
        <v>13623.987999999999</v>
      </c>
      <c r="F164" s="206">
        <f t="shared" si="94"/>
        <v>18932.042257202957</v>
      </c>
      <c r="G164" s="206">
        <f t="shared" si="94"/>
        <v>26444.376963608789</v>
      </c>
      <c r="H164" s="207">
        <f t="shared" si="94"/>
        <v>36285.321227683366</v>
      </c>
      <c r="I164" s="156"/>
    </row>
    <row r="165" spans="1:9" s="64" customFormat="1" hidden="1" x14ac:dyDescent="0.25">
      <c r="A165" s="208" t="s">
        <v>99</v>
      </c>
      <c r="B165" s="205"/>
      <c r="C165" s="205"/>
      <c r="D165" s="205"/>
      <c r="E165" s="209"/>
      <c r="F165" s="209"/>
      <c r="G165" s="209"/>
      <c r="H165" s="210"/>
      <c r="I165" s="156"/>
    </row>
    <row r="166" spans="1:9" s="64" customFormat="1" ht="15.75" hidden="1" x14ac:dyDescent="0.25">
      <c r="A166" s="211" t="s">
        <v>110</v>
      </c>
      <c r="B166" s="205"/>
      <c r="C166" s="205">
        <f>C5</f>
        <v>5000</v>
      </c>
      <c r="D166" s="205">
        <f>C166+D5</f>
        <v>7000</v>
      </c>
      <c r="E166" s="205">
        <f>D166+E5</f>
        <v>12000</v>
      </c>
      <c r="F166" s="205">
        <f>E166+F5</f>
        <v>12000</v>
      </c>
      <c r="G166" s="205">
        <f>F166+G5</f>
        <v>12000</v>
      </c>
      <c r="H166" s="212">
        <f>G166+H5</f>
        <v>12000</v>
      </c>
      <c r="I166" s="156"/>
    </row>
    <row r="167" spans="1:9" s="64" customFormat="1" ht="15.75" hidden="1" x14ac:dyDescent="0.25">
      <c r="A167" s="211" t="s">
        <v>111</v>
      </c>
      <c r="B167" s="205"/>
      <c r="C167" s="205"/>
      <c r="D167" s="205">
        <f>C32</f>
        <v>0</v>
      </c>
      <c r="E167" s="205">
        <f>D167+E32</f>
        <v>825</v>
      </c>
      <c r="F167" s="205">
        <f>E167+F32</f>
        <v>825</v>
      </c>
      <c r="G167" s="205">
        <f>F167+G32</f>
        <v>2152.0135643007388</v>
      </c>
      <c r="H167" s="212">
        <f>G167+H32</f>
        <v>4030.097240902197</v>
      </c>
      <c r="I167" s="156"/>
    </row>
    <row r="168" spans="1:9" s="64" customFormat="1" ht="15.75" hidden="1" x14ac:dyDescent="0.25">
      <c r="A168" s="211" t="s">
        <v>112</v>
      </c>
      <c r="B168" s="205"/>
      <c r="C168" s="205">
        <v>0</v>
      </c>
      <c r="D168" s="205">
        <f>C169-C32</f>
        <v>0</v>
      </c>
      <c r="E168" s="205">
        <f>D169-E32</f>
        <v>2475</v>
      </c>
      <c r="F168" s="205">
        <f>E168+E169-F32</f>
        <v>798.98799999999937</v>
      </c>
      <c r="G168" s="205">
        <f>F168+F169-G32</f>
        <v>4780.0286929022168</v>
      </c>
      <c r="H168" s="212">
        <f>G168+G169-H32</f>
        <v>10414.279722706591</v>
      </c>
      <c r="I168" s="156"/>
    </row>
    <row r="169" spans="1:9" s="64" customFormat="1" ht="15.75" hidden="1" x14ac:dyDescent="0.25">
      <c r="A169" s="211" t="s">
        <v>113</v>
      </c>
      <c r="B169" s="205"/>
      <c r="C169" s="205">
        <f t="shared" ref="C169:H169" si="95">C25</f>
        <v>0</v>
      </c>
      <c r="D169" s="205">
        <f t="shared" si="95"/>
        <v>3300</v>
      </c>
      <c r="E169" s="205">
        <f t="shared" si="95"/>
        <v>-1676.0120000000006</v>
      </c>
      <c r="F169" s="205">
        <f t="shared" si="95"/>
        <v>5308.0542572029563</v>
      </c>
      <c r="G169" s="205">
        <f t="shared" si="95"/>
        <v>7512.3347064058325</v>
      </c>
      <c r="H169" s="212">
        <f t="shared" si="95"/>
        <v>9840.9442640745801</v>
      </c>
      <c r="I169" s="156"/>
    </row>
    <row r="170" spans="1:9" s="64" customFormat="1" ht="18.75" hidden="1" x14ac:dyDescent="0.25">
      <c r="A170" s="204" t="s">
        <v>118</v>
      </c>
      <c r="B170" s="205"/>
      <c r="C170" s="206">
        <f>SUM(C172:C174)</f>
        <v>0</v>
      </c>
      <c r="D170" s="206">
        <f t="shared" ref="D170:H170" si="96">SUM(D172:D174)</f>
        <v>0</v>
      </c>
      <c r="E170" s="206">
        <f t="shared" si="96"/>
        <v>0</v>
      </c>
      <c r="F170" s="206">
        <f t="shared" si="96"/>
        <v>0</v>
      </c>
      <c r="G170" s="206">
        <f t="shared" si="96"/>
        <v>0</v>
      </c>
      <c r="H170" s="207">
        <f t="shared" si="96"/>
        <v>0</v>
      </c>
      <c r="I170" s="156"/>
    </row>
    <row r="171" spans="1:9" s="64" customFormat="1" hidden="1" x14ac:dyDescent="0.25">
      <c r="A171" s="208" t="s">
        <v>99</v>
      </c>
      <c r="B171" s="205"/>
      <c r="C171" s="205"/>
      <c r="D171" s="205"/>
      <c r="E171" s="209"/>
      <c r="F171" s="209"/>
      <c r="G171" s="209"/>
      <c r="H171" s="210"/>
      <c r="I171" s="156"/>
    </row>
    <row r="172" spans="1:9" s="64" customFormat="1" ht="15.75" hidden="1" x14ac:dyDescent="0.25">
      <c r="A172" s="211" t="s">
        <v>114</v>
      </c>
      <c r="B172" s="205"/>
      <c r="C172" s="205"/>
      <c r="D172" s="205"/>
      <c r="E172" s="209"/>
      <c r="F172" s="209"/>
      <c r="G172" s="209"/>
      <c r="H172" s="210"/>
      <c r="I172" s="156"/>
    </row>
    <row r="173" spans="1:9" s="64" customFormat="1" ht="15.75" hidden="1" x14ac:dyDescent="0.25">
      <c r="A173" s="211" t="s">
        <v>115</v>
      </c>
      <c r="B173" s="205"/>
      <c r="C173" s="205"/>
      <c r="D173" s="205"/>
      <c r="E173" s="209"/>
      <c r="F173" s="209"/>
      <c r="G173" s="209"/>
      <c r="H173" s="210"/>
      <c r="I173" s="156"/>
    </row>
    <row r="174" spans="1:9" s="64" customFormat="1" ht="15.75" hidden="1" x14ac:dyDescent="0.25">
      <c r="A174" s="211" t="s">
        <v>116</v>
      </c>
      <c r="B174" s="205"/>
      <c r="C174" s="205"/>
      <c r="D174" s="205"/>
      <c r="E174" s="209"/>
      <c r="F174" s="209"/>
      <c r="G174" s="209"/>
      <c r="H174" s="210"/>
      <c r="I174" s="156"/>
    </row>
    <row r="175" spans="1:9" s="64" customFormat="1" ht="18.75" hidden="1" x14ac:dyDescent="0.25">
      <c r="A175" s="204" t="s">
        <v>117</v>
      </c>
      <c r="B175" s="205"/>
      <c r="C175" s="206">
        <f>SUM(C177:C180)</f>
        <v>0</v>
      </c>
      <c r="D175" s="206">
        <f t="shared" ref="D175:H175" si="97">SUM(D177:D180)</f>
        <v>461.52968036529683</v>
      </c>
      <c r="E175" s="206">
        <f t="shared" si="97"/>
        <v>292.84216986301368</v>
      </c>
      <c r="F175" s="206">
        <f t="shared" si="97"/>
        <v>822.1345883646942</v>
      </c>
      <c r="G175" s="206">
        <f t="shared" si="97"/>
        <v>997.16428287753229</v>
      </c>
      <c r="H175" s="207">
        <f t="shared" si="97"/>
        <v>1184.130334341485</v>
      </c>
      <c r="I175" s="156"/>
    </row>
    <row r="176" spans="1:9" s="64" customFormat="1" hidden="1" x14ac:dyDescent="0.25">
      <c r="A176" s="208" t="s">
        <v>99</v>
      </c>
      <c r="B176" s="205"/>
      <c r="C176" s="205"/>
      <c r="D176" s="205"/>
      <c r="E176" s="209"/>
      <c r="F176" s="209"/>
      <c r="G176" s="209"/>
      <c r="H176" s="210"/>
      <c r="I176" s="156"/>
    </row>
    <row r="177" spans="1:11" s="64" customFormat="1" ht="15.75" hidden="1" x14ac:dyDescent="0.25">
      <c r="A177" s="211" t="s">
        <v>119</v>
      </c>
      <c r="B177" s="205"/>
      <c r="C177" s="205"/>
      <c r="D177" s="205"/>
      <c r="E177" s="209"/>
      <c r="F177" s="209"/>
      <c r="G177" s="209"/>
      <c r="H177" s="210"/>
      <c r="I177" s="156"/>
    </row>
    <row r="178" spans="1:11" s="64" customFormat="1" ht="15.75" hidden="1" x14ac:dyDescent="0.25">
      <c r="A178" s="211" t="s">
        <v>120</v>
      </c>
      <c r="B178" s="205"/>
      <c r="C178" s="205"/>
      <c r="D178" s="205"/>
      <c r="E178" s="209"/>
      <c r="F178" s="209"/>
      <c r="G178" s="209"/>
      <c r="H178" s="210"/>
      <c r="I178" s="156"/>
    </row>
    <row r="179" spans="1:11" s="64" customFormat="1" ht="15.75" hidden="1" x14ac:dyDescent="0.25">
      <c r="A179" s="211" t="s">
        <v>121</v>
      </c>
      <c r="B179" s="205"/>
      <c r="C179" s="205">
        <f t="shared" ref="C179:H179" si="98">C122</f>
        <v>0</v>
      </c>
      <c r="D179" s="205">
        <f t="shared" si="98"/>
        <v>461.52968036529683</v>
      </c>
      <c r="E179" s="205">
        <f t="shared" si="98"/>
        <v>292.84216986301368</v>
      </c>
      <c r="F179" s="205">
        <f t="shared" si="98"/>
        <v>822.1345883646942</v>
      </c>
      <c r="G179" s="205">
        <f t="shared" si="98"/>
        <v>997.16428287753229</v>
      </c>
      <c r="H179" s="212">
        <f t="shared" si="98"/>
        <v>1184.130334341485</v>
      </c>
      <c r="I179" s="156"/>
    </row>
    <row r="180" spans="1:11" s="64" customFormat="1" ht="15.75" hidden="1" x14ac:dyDescent="0.25">
      <c r="A180" s="211" t="s">
        <v>122</v>
      </c>
      <c r="B180" s="205"/>
      <c r="C180" s="205"/>
      <c r="D180" s="205"/>
      <c r="E180" s="209"/>
      <c r="F180" s="209"/>
      <c r="G180" s="209"/>
      <c r="H180" s="210"/>
      <c r="I180" s="156"/>
    </row>
    <row r="181" spans="1:11" s="64" customFormat="1" ht="21.75" hidden="1" thickBot="1" x14ac:dyDescent="0.3">
      <c r="A181" s="213" t="s">
        <v>123</v>
      </c>
      <c r="B181" s="214"/>
      <c r="C181" s="215">
        <f t="shared" ref="C181:H181" si="99">C164+C170+C175</f>
        <v>5000</v>
      </c>
      <c r="D181" s="215">
        <f t="shared" si="99"/>
        <v>10761.529680365296</v>
      </c>
      <c r="E181" s="215">
        <f t="shared" si="99"/>
        <v>13916.830169863013</v>
      </c>
      <c r="F181" s="215">
        <f t="shared" si="99"/>
        <v>19754.17684556765</v>
      </c>
      <c r="G181" s="215">
        <f t="shared" si="99"/>
        <v>27441.541246486322</v>
      </c>
      <c r="H181" s="216">
        <f t="shared" si="99"/>
        <v>37469.451562024849</v>
      </c>
      <c r="I181" s="156"/>
    </row>
    <row r="182" spans="1:11" s="64" customFormat="1" ht="18.75" hidden="1" x14ac:dyDescent="0.25">
      <c r="A182" s="223" t="s">
        <v>170</v>
      </c>
      <c r="E182" s="155"/>
      <c r="F182" s="155"/>
      <c r="G182" s="155"/>
      <c r="H182" s="155"/>
      <c r="I182" s="156"/>
    </row>
    <row r="183" spans="1:11" ht="30" hidden="1" x14ac:dyDescent="0.25">
      <c r="A183" s="224" t="s">
        <v>171</v>
      </c>
      <c r="B183" s="5"/>
      <c r="C183" s="9"/>
      <c r="D183" s="9"/>
      <c r="E183" s="9"/>
      <c r="F183" s="9"/>
      <c r="G183" s="9"/>
      <c r="H183" s="9"/>
      <c r="I183" s="9"/>
      <c r="J183" s="65"/>
      <c r="K183" s="65"/>
    </row>
    <row r="184" spans="1:11" ht="30" hidden="1" x14ac:dyDescent="0.25">
      <c r="A184" s="224" t="s">
        <v>172</v>
      </c>
      <c r="B184" s="5"/>
      <c r="C184" s="9"/>
      <c r="D184" s="9"/>
      <c r="E184" s="9"/>
      <c r="F184" s="9"/>
      <c r="G184" s="9"/>
      <c r="H184" s="9"/>
      <c r="I184" s="9"/>
      <c r="J184" s="65"/>
      <c r="K184" s="65"/>
    </row>
    <row r="185" spans="1:11" hidden="1" x14ac:dyDescent="0.25">
      <c r="A185" s="225" t="s">
        <v>194</v>
      </c>
      <c r="G185" s="65"/>
      <c r="J185" s="65"/>
      <c r="K185" s="65"/>
    </row>
    <row r="186" spans="1:11" ht="30" hidden="1" x14ac:dyDescent="0.25">
      <c r="A186" s="224" t="s">
        <v>179</v>
      </c>
    </row>
    <row r="187" spans="1:11" hidden="1" x14ac:dyDescent="0.25">
      <c r="A187" s="225" t="s">
        <v>183</v>
      </c>
    </row>
    <row r="188" spans="1:11" hidden="1" x14ac:dyDescent="0.25">
      <c r="A188" s="225" t="s">
        <v>180</v>
      </c>
    </row>
    <row r="189" spans="1:11" ht="30" hidden="1" x14ac:dyDescent="0.25">
      <c r="A189" s="224" t="s">
        <v>195</v>
      </c>
    </row>
    <row r="190" spans="1:11" hidden="1" x14ac:dyDescent="0.25">
      <c r="A190" s="225" t="s">
        <v>175</v>
      </c>
    </row>
    <row r="191" spans="1:11" hidden="1" x14ac:dyDescent="0.25">
      <c r="A191" s="225" t="s">
        <v>193</v>
      </c>
    </row>
    <row r="192" spans="1:11" hidden="1" x14ac:dyDescent="0.25">
      <c r="A192" s="225" t="s">
        <v>199</v>
      </c>
    </row>
    <row r="193" spans="1:12" ht="15.75" hidden="1" thickBot="1" x14ac:dyDescent="0.3">
      <c r="A193" s="226" t="s">
        <v>201</v>
      </c>
    </row>
    <row r="194" spans="1:12" ht="81" thickBot="1" x14ac:dyDescent="0.3">
      <c r="A194" s="174" t="s">
        <v>543</v>
      </c>
      <c r="B194" s="64"/>
      <c r="C194" s="58" t="s">
        <v>5</v>
      </c>
      <c r="D194" s="59" t="s">
        <v>0</v>
      </c>
      <c r="E194" s="59" t="s">
        <v>1</v>
      </c>
      <c r="F194" s="59" t="s">
        <v>2</v>
      </c>
      <c r="G194" s="59" t="s">
        <v>3</v>
      </c>
      <c r="H194" s="59" t="s">
        <v>4</v>
      </c>
      <c r="I194" s="60" t="s">
        <v>238</v>
      </c>
      <c r="J194" s="269" t="s">
        <v>594</v>
      </c>
    </row>
    <row r="195" spans="1:12" ht="38.25" thickBot="1" x14ac:dyDescent="0.3">
      <c r="A195" s="274" t="s">
        <v>544</v>
      </c>
    </row>
    <row r="196" spans="1:12" ht="38.25" thickBot="1" x14ac:dyDescent="0.3">
      <c r="A196" s="18" t="s">
        <v>401</v>
      </c>
      <c r="B196" s="130">
        <f>'Вариативные ставки'!B59</f>
        <v>0.18516293810914031</v>
      </c>
    </row>
    <row r="197" spans="1:12" ht="19.5" thickBot="1" x14ac:dyDescent="0.3">
      <c r="A197" s="18" t="s">
        <v>545</v>
      </c>
      <c r="C197" s="75">
        <f>C144</f>
        <v>-5000</v>
      </c>
      <c r="D197" s="75">
        <f t="shared" ref="D197:H197" si="100">D144</f>
        <v>1951.0844748858435</v>
      </c>
      <c r="E197" s="75">
        <f t="shared" si="100"/>
        <v>280.00587579908461</v>
      </c>
      <c r="F197" s="75">
        <f t="shared" si="100"/>
        <v>4591.5572825497911</v>
      </c>
      <c r="G197" s="75">
        <f t="shared" si="100"/>
        <v>8196.8126975722043</v>
      </c>
      <c r="H197" s="75">
        <f t="shared" si="100"/>
        <v>10406.056633829408</v>
      </c>
      <c r="I197" s="228">
        <f>SUM(C197:H197)</f>
        <v>20425.516964636332</v>
      </c>
      <c r="J197" s="227">
        <f>'Вариативные ставки'!I61</f>
        <v>24976.386169999991</v>
      </c>
    </row>
    <row r="198" spans="1:12" ht="21.75" thickBot="1" x14ac:dyDescent="0.3">
      <c r="A198" s="162" t="s">
        <v>82</v>
      </c>
      <c r="B198" s="111"/>
      <c r="C198" s="8">
        <f>C197*'Вариативные ставки'!C63</f>
        <v>-5000</v>
      </c>
      <c r="D198" s="8">
        <f>D197*'Вариативные ставки'!D63</f>
        <v>1646.2584275531663</v>
      </c>
      <c r="E198" s="8">
        <f>E197*'Вариативные ставки'!E63</f>
        <v>199.34760438972452</v>
      </c>
      <c r="F198" s="8">
        <f>F197*'Вариативные ставки'!F63</f>
        <v>2758.2004241295062</v>
      </c>
      <c r="G198" s="8">
        <f>G197*'Вариативные ставки'!G63</f>
        <v>4154.6339289987673</v>
      </c>
      <c r="H198" s="8">
        <f>H197*'Вариативные ставки'!H63</f>
        <v>4450.3674999644272</v>
      </c>
      <c r="I198" s="81">
        <f>SUM(C198:H198)</f>
        <v>8208.8078850355923</v>
      </c>
      <c r="J198" s="227">
        <f>'Вариативные ставки'!I64</f>
        <v>11007.325678089361</v>
      </c>
    </row>
    <row r="199" spans="1:12" ht="21.75" thickBot="1" x14ac:dyDescent="0.3">
      <c r="A199" s="230" t="s">
        <v>219</v>
      </c>
      <c r="I199" s="91">
        <f>IRR(C197:H197,0.0001)</f>
        <v>0.56830619740549615</v>
      </c>
      <c r="J199" s="229">
        <f>'Вариативные ставки'!I66</f>
        <v>0.71462228398451022</v>
      </c>
    </row>
    <row r="200" spans="1:12" ht="16.5" thickBot="1" x14ac:dyDescent="0.3">
      <c r="A200" s="231" t="s">
        <v>546</v>
      </c>
      <c r="B200" s="231"/>
      <c r="C200" s="232">
        <f>C198</f>
        <v>-5000</v>
      </c>
      <c r="D200" s="232">
        <f>C200+D198</f>
        <v>-3353.7415724468337</v>
      </c>
      <c r="E200" s="232">
        <f t="shared" ref="E200:H200" si="101">D200+E198</f>
        <v>-3154.3939680571093</v>
      </c>
      <c r="F200" s="232">
        <f t="shared" si="101"/>
        <v>-396.19354392760306</v>
      </c>
      <c r="G200" s="232">
        <f t="shared" si="101"/>
        <v>3758.4403850711642</v>
      </c>
      <c r="H200" s="232">
        <f t="shared" si="101"/>
        <v>8208.8078850355923</v>
      </c>
    </row>
    <row r="201" spans="1:12" ht="21.75" thickBot="1" x14ac:dyDescent="0.3">
      <c r="A201" s="230" t="s">
        <v>69</v>
      </c>
      <c r="G201" s="20">
        <f>G200/G198</f>
        <v>0.90463815809084236</v>
      </c>
      <c r="I201" s="85">
        <f>COUNTIF(C200:H200,"&lt;0")-G201</f>
        <v>3.0953618419091575</v>
      </c>
      <c r="J201" s="95">
        <f>'Вариативные ставки'!I90</f>
        <v>2.5833994956627619</v>
      </c>
    </row>
    <row r="202" spans="1:12" ht="31.5" x14ac:dyDescent="0.25">
      <c r="A202" s="275" t="s">
        <v>547</v>
      </c>
      <c r="B202" s="130">
        <f>'Вариативные ставки'!B95</f>
        <v>0.1</v>
      </c>
      <c r="C202" s="233">
        <f>IF(C197&gt;0,C197*'Вариативные ставки'!C73,0)</f>
        <v>0</v>
      </c>
      <c r="D202" s="233">
        <f>IF(D197&gt;0,D197*'Вариативные ставки'!D73,0)</f>
        <v>2856.5827796803642</v>
      </c>
      <c r="E202" s="233">
        <f>IF(E197&gt;0,E197*'Вариативные ставки'!E73,0)</f>
        <v>372.68782068858172</v>
      </c>
      <c r="F202" s="233">
        <f>IF(F197&gt;0,F197*'Вариативные ставки'!F73,0)</f>
        <v>5555.7843118852479</v>
      </c>
      <c r="G202" s="233">
        <f>IF(G197&gt;0,G197*'Вариативные ставки'!G73,0)</f>
        <v>9016.4939673294248</v>
      </c>
      <c r="H202" s="233">
        <f>IF(H197&gt;0,H197*'Вариативные ставки'!H73,0)</f>
        <v>10406.056633829408</v>
      </c>
      <c r="I202" s="29">
        <f>SUM(C202:H202)</f>
        <v>28207.605513413029</v>
      </c>
    </row>
    <row r="203" spans="1:12" ht="31.5" x14ac:dyDescent="0.25">
      <c r="A203" s="275" t="s">
        <v>548</v>
      </c>
      <c r="B203" s="130">
        <f>B196</f>
        <v>0.18516293810914031</v>
      </c>
      <c r="C203" s="29">
        <f>IF(C197&lt;0,-C197*'Вариативные ставки'!C74,0)</f>
        <v>5000</v>
      </c>
      <c r="D203" s="29">
        <f>IF(D197&lt;0,-D197*'Вариативные ставки'!D74,0)</f>
        <v>0</v>
      </c>
      <c r="E203" s="29">
        <f>IF(E197&lt;0,-E197*'Вариативные ставки'!E74,0)</f>
        <v>0</v>
      </c>
      <c r="F203" s="29">
        <f>IF(F197&lt;0,-F197*'Вариативные ставки'!F74,0)</f>
        <v>0</v>
      </c>
      <c r="G203" s="29">
        <f>IF(G197&lt;0,-G197*'Вариативные ставки'!G74,0)</f>
        <v>0</v>
      </c>
      <c r="H203" s="29">
        <f>IF(H197&lt;0,-H197*'Вариативные ставки'!H74,0)</f>
        <v>0</v>
      </c>
      <c r="I203" s="29">
        <f>SUM(C203:H203)</f>
        <v>5000</v>
      </c>
      <c r="L203" s="20"/>
    </row>
    <row r="204" spans="1:12" ht="32.25" thickBot="1" x14ac:dyDescent="0.3">
      <c r="A204" s="275" t="s">
        <v>549</v>
      </c>
      <c r="B204" s="130">
        <f>B203</f>
        <v>0.18516293810914031</v>
      </c>
      <c r="I204" s="29">
        <f>I202/(1+B204)^G4</f>
        <v>12063.571749226045</v>
      </c>
      <c r="L204" s="20"/>
    </row>
    <row r="205" spans="1:12" ht="21.75" thickBot="1" x14ac:dyDescent="0.3">
      <c r="A205" s="230" t="s">
        <v>70</v>
      </c>
      <c r="I205" s="81">
        <f>I204-I203</f>
        <v>7063.5717492260446</v>
      </c>
      <c r="J205" s="234">
        <f>'Вариативные ставки'!I78</f>
        <v>9338.6136917972744</v>
      </c>
    </row>
    <row r="206" spans="1:12" ht="42.75" thickBot="1" x14ac:dyDescent="0.3">
      <c r="A206" s="230" t="s">
        <v>46</v>
      </c>
      <c r="I206" s="87">
        <f>MIRR(C197:H197,B203,B202)</f>
        <v>0.41344607245511478</v>
      </c>
      <c r="J206" s="235">
        <f>'Вариативные ставки'!I80</f>
        <v>0.44660141593824876</v>
      </c>
    </row>
    <row r="207" spans="1:12" ht="104.25" thickBot="1" x14ac:dyDescent="0.3">
      <c r="A207" s="174" t="s">
        <v>550</v>
      </c>
      <c r="B207" s="64"/>
      <c r="C207" s="58" t="s">
        <v>5</v>
      </c>
      <c r="D207" s="59" t="s">
        <v>0</v>
      </c>
      <c r="E207" s="59" t="s">
        <v>1</v>
      </c>
      <c r="F207" s="59" t="s">
        <v>2</v>
      </c>
      <c r="G207" s="59" t="s">
        <v>3</v>
      </c>
      <c r="H207" s="59" t="s">
        <v>4</v>
      </c>
      <c r="I207" s="60" t="s">
        <v>593</v>
      </c>
    </row>
    <row r="208" spans="1:12" ht="38.25" thickBot="1" x14ac:dyDescent="0.3">
      <c r="A208" s="18" t="s">
        <v>552</v>
      </c>
      <c r="C208" s="3">
        <f>C149</f>
        <v>5000</v>
      </c>
      <c r="D208" s="3">
        <f t="shared" ref="D208:H208" si="102">D149</f>
        <v>6775</v>
      </c>
      <c r="E208" s="3">
        <f t="shared" si="102"/>
        <v>10750</v>
      </c>
      <c r="F208" s="3">
        <f t="shared" si="102"/>
        <v>9149.1666216666654</v>
      </c>
      <c r="G208" s="3">
        <f t="shared" si="102"/>
        <v>7694.4999010000001</v>
      </c>
      <c r="H208" s="3">
        <f t="shared" si="102"/>
        <v>6309.1996129999825</v>
      </c>
      <c r="I208" s="234">
        <f>AVERAGE(C208:H208)</f>
        <v>7612.9776892777745</v>
      </c>
      <c r="J208"/>
    </row>
    <row r="209" spans="1:12" ht="19.5" thickBot="1" x14ac:dyDescent="0.3">
      <c r="A209" s="14" t="s">
        <v>553</v>
      </c>
      <c r="C209" s="3">
        <f>C25</f>
        <v>0</v>
      </c>
      <c r="D209" s="3">
        <f t="shared" ref="D209:H209" si="103">D25</f>
        <v>3300</v>
      </c>
      <c r="E209" s="3">
        <f t="shared" si="103"/>
        <v>-1676.0120000000006</v>
      </c>
      <c r="F209" s="3">
        <f t="shared" si="103"/>
        <v>5308.0542572029563</v>
      </c>
      <c r="G209" s="3">
        <f t="shared" si="103"/>
        <v>7512.3347064058325</v>
      </c>
      <c r="H209" s="3">
        <f t="shared" si="103"/>
        <v>9840.9442640745801</v>
      </c>
      <c r="I209" s="234">
        <f>AVERAGE(C209:H209)</f>
        <v>4047.5535379472281</v>
      </c>
    </row>
    <row r="210" spans="1:12" ht="63.75" thickBot="1" x14ac:dyDescent="0.3">
      <c r="A210" s="276" t="s">
        <v>554</v>
      </c>
      <c r="I210" s="87">
        <f>I209/I208</f>
        <v>0.53166496778886663</v>
      </c>
    </row>
    <row r="211" spans="1:12" ht="81" thickBot="1" x14ac:dyDescent="0.3">
      <c r="A211" s="174" t="s">
        <v>555</v>
      </c>
      <c r="B211" s="64"/>
      <c r="C211" s="58" t="s">
        <v>5</v>
      </c>
      <c r="D211" s="59" t="s">
        <v>0</v>
      </c>
      <c r="E211" s="59" t="s">
        <v>1</v>
      </c>
      <c r="F211" s="59" t="s">
        <v>2</v>
      </c>
      <c r="G211" s="59" t="s">
        <v>3</v>
      </c>
      <c r="H211" s="59" t="s">
        <v>4</v>
      </c>
      <c r="I211" s="60" t="s">
        <v>593</v>
      </c>
    </row>
    <row r="212" spans="1:12" ht="18.75" x14ac:dyDescent="0.25">
      <c r="A212" s="14" t="s">
        <v>232</v>
      </c>
      <c r="D212" s="3">
        <f>D25-D23-D21</f>
        <v>3925</v>
      </c>
      <c r="E212" s="3">
        <f>E25-E23-E21</f>
        <v>-231.01200000000063</v>
      </c>
      <c r="F212" s="3">
        <f>F25-F23-F21</f>
        <v>7328.88770553629</v>
      </c>
      <c r="G212" s="3">
        <f>G25-G23-G21</f>
        <v>9366.9854937364998</v>
      </c>
      <c r="H212" s="3">
        <f>H25-H23-H21</f>
        <v>11631.228419571898</v>
      </c>
    </row>
    <row r="213" spans="1:12" ht="57" thickBot="1" x14ac:dyDescent="0.3">
      <c r="A213" s="264" t="s">
        <v>556</v>
      </c>
      <c r="D213" s="3">
        <f>-D18-D23</f>
        <v>5400</v>
      </c>
      <c r="E213" s="3">
        <f t="shared" ref="E213:H213" si="104">-E18-E23</f>
        <v>6420</v>
      </c>
      <c r="F213" s="3">
        <f t="shared" si="104"/>
        <v>7420.0000700000001</v>
      </c>
      <c r="G213" s="3">
        <f t="shared" si="104"/>
        <v>8399.9840666639993</v>
      </c>
      <c r="H213" s="3">
        <f t="shared" si="104"/>
        <v>9404.9838674972998</v>
      </c>
    </row>
    <row r="214" spans="1:12" ht="42.75" thickBot="1" x14ac:dyDescent="0.3">
      <c r="A214" s="276" t="s">
        <v>557</v>
      </c>
      <c r="D214" s="97">
        <f>D212/D213</f>
        <v>0.72685185185185186</v>
      </c>
      <c r="E214" s="97">
        <f t="shared" ref="E214:H214" si="105">E212/E213</f>
        <v>-3.5983177570093554E-2</v>
      </c>
      <c r="F214" s="97">
        <f t="shared" si="105"/>
        <v>0.98772070571372517</v>
      </c>
      <c r="G214" s="97">
        <f t="shared" si="105"/>
        <v>1.1151194358701373</v>
      </c>
      <c r="H214" s="97">
        <f t="shared" si="105"/>
        <v>1.2367090240067589</v>
      </c>
      <c r="I214" s="83">
        <f>AVERAGE(D214:H214)</f>
        <v>0.80608356797447589</v>
      </c>
    </row>
    <row r="215" spans="1:12" ht="15.75" thickBot="1" x14ac:dyDescent="0.3"/>
    <row r="216" spans="1:12" ht="86.25" thickBot="1" x14ac:dyDescent="0.3">
      <c r="A216" s="241" t="s">
        <v>596</v>
      </c>
      <c r="B216" s="64"/>
      <c r="C216" s="58" t="s">
        <v>5</v>
      </c>
      <c r="D216" s="59" t="s">
        <v>0</v>
      </c>
      <c r="E216" s="59" t="s">
        <v>1</v>
      </c>
      <c r="F216" s="59" t="s">
        <v>2</v>
      </c>
      <c r="G216" s="59" t="s">
        <v>3</v>
      </c>
      <c r="H216" s="59" t="s">
        <v>4</v>
      </c>
      <c r="I216" s="60" t="s">
        <v>585</v>
      </c>
    </row>
    <row r="217" spans="1:12" ht="29.25" thickBot="1" x14ac:dyDescent="0.3">
      <c r="A217" s="174" t="s">
        <v>599</v>
      </c>
      <c r="C217" s="1">
        <v>0</v>
      </c>
      <c r="D217" s="1">
        <v>1</v>
      </c>
      <c r="E217" s="1">
        <v>2</v>
      </c>
      <c r="F217" s="1">
        <v>3</v>
      </c>
      <c r="G217" s="1">
        <v>4</v>
      </c>
      <c r="H217" s="1">
        <v>5</v>
      </c>
    </row>
    <row r="218" spans="1:12" ht="42.75" thickBot="1" x14ac:dyDescent="0.3">
      <c r="A218" s="276" t="s">
        <v>600</v>
      </c>
      <c r="D218" s="1">
        <f>740-J218</f>
        <v>0</v>
      </c>
      <c r="E218" s="1">
        <f>D218*0.42027</f>
        <v>0</v>
      </c>
      <c r="F218" s="1">
        <f>E218*4.35048</f>
        <v>0</v>
      </c>
      <c r="G218" s="1">
        <f>F218*1.2476</f>
        <v>0</v>
      </c>
      <c r="H218" s="1">
        <f>G218*1.21327</f>
        <v>0</v>
      </c>
      <c r="J218" s="243">
        <v>740</v>
      </c>
      <c r="K218" s="1" t="s">
        <v>597</v>
      </c>
      <c r="L218" s="77"/>
    </row>
    <row r="219" spans="1:12" ht="21.75" thickBot="1" x14ac:dyDescent="0.3">
      <c r="A219" s="151"/>
      <c r="D219" s="1">
        <f>J219-462</f>
        <v>0</v>
      </c>
      <c r="E219" s="1">
        <f>D219*0.633858</f>
        <v>0</v>
      </c>
      <c r="F219" s="1">
        <f>E219*2.805461</f>
        <v>0</v>
      </c>
      <c r="G219" s="1">
        <f>F219*1.213</f>
        <v>0</v>
      </c>
      <c r="H219" s="1">
        <f>G219*1.18763</f>
        <v>0</v>
      </c>
      <c r="J219" s="243">
        <v>462</v>
      </c>
      <c r="K219" s="1" t="s">
        <v>598</v>
      </c>
      <c r="L219" s="77"/>
    </row>
    <row r="220" spans="1:12" ht="15.75" x14ac:dyDescent="0.25">
      <c r="A220" s="1" t="s">
        <v>602</v>
      </c>
      <c r="C220" s="1">
        <f>C7</f>
        <v>0</v>
      </c>
      <c r="D220" s="251">
        <f>D7</f>
        <v>75</v>
      </c>
      <c r="E220" s="1">
        <f>D220*0.4</f>
        <v>30</v>
      </c>
      <c r="F220" s="1">
        <f>E220*4.166667</f>
        <v>125.00001</v>
      </c>
      <c r="G220" s="1">
        <f>F220*1.2</f>
        <v>150.000012</v>
      </c>
      <c r="H220" s="1">
        <f>G220*1.166667</f>
        <v>175.00006400000399</v>
      </c>
    </row>
    <row r="221" spans="1:12" ht="15.75" x14ac:dyDescent="0.25">
      <c r="A221" s="99" t="s">
        <v>603</v>
      </c>
      <c r="C221" s="1">
        <f>C8</f>
        <v>0</v>
      </c>
      <c r="D221" s="252">
        <f t="shared" ref="D221" si="106">D8</f>
        <v>0.06</v>
      </c>
      <c r="E221" s="242">
        <f>D221*0.8333</f>
        <v>4.9998000000000001E-2</v>
      </c>
      <c r="F221" s="242">
        <f>E221*0.9</f>
        <v>4.4998200000000002E-2</v>
      </c>
      <c r="G221" s="242">
        <f>F221*0.8889</f>
        <v>3.9998899980000002E-2</v>
      </c>
      <c r="H221" s="242">
        <f>G221</f>
        <v>3.9998899980000002E-2</v>
      </c>
      <c r="K221" s="78"/>
    </row>
    <row r="222" spans="1:12" ht="30" x14ac:dyDescent="0.25">
      <c r="A222" s="278" t="s">
        <v>605</v>
      </c>
      <c r="C222" s="1">
        <f>C11</f>
        <v>0</v>
      </c>
      <c r="D222" s="252">
        <f t="shared" ref="D222" si="107">D11</f>
        <v>0.08</v>
      </c>
      <c r="E222" s="242">
        <f>D222*0.875</f>
        <v>7.0000000000000007E-2</v>
      </c>
      <c r="F222" s="242">
        <f>E222*0.857143</f>
        <v>6.0000010000000006E-2</v>
      </c>
      <c r="G222" s="242">
        <f>F222*0.8333</f>
        <v>4.9998008333000006E-2</v>
      </c>
      <c r="H222" s="242">
        <f>G222*0.9</f>
        <v>4.4998207499700009E-2</v>
      </c>
    </row>
    <row r="223" spans="1:12" ht="15.75" x14ac:dyDescent="0.25">
      <c r="A223" s="99" t="s">
        <v>604</v>
      </c>
      <c r="C223" s="1">
        <f>C19</f>
        <v>0</v>
      </c>
      <c r="D223" s="252">
        <f t="shared" ref="D223" si="108">D19</f>
        <v>0.08</v>
      </c>
      <c r="E223" s="242">
        <f>D223*0.875</f>
        <v>7.0000000000000007E-2</v>
      </c>
      <c r="F223" s="242">
        <f>E223*0.857143</f>
        <v>6.0000010000000006E-2</v>
      </c>
      <c r="G223" s="242">
        <f>F223*0.8333</f>
        <v>4.9998008333000006E-2</v>
      </c>
      <c r="H223" s="242">
        <f>G223*0.9</f>
        <v>4.4998207499700009E-2</v>
      </c>
    </row>
    <row r="224" spans="1:12" ht="31.5" x14ac:dyDescent="0.25">
      <c r="A224" s="183" t="s">
        <v>601</v>
      </c>
      <c r="C224" s="1">
        <f>C112</f>
        <v>0</v>
      </c>
      <c r="D224" s="253">
        <f t="shared" ref="D224:H224" si="109">D112</f>
        <v>739.72602739726028</v>
      </c>
      <c r="E224" s="1">
        <f t="shared" si="109"/>
        <v>310.68433972602742</v>
      </c>
      <c r="F224" s="1">
        <f t="shared" si="109"/>
        <v>1352.7691739793884</v>
      </c>
      <c r="G224" s="1">
        <f t="shared" si="109"/>
        <v>1688.2541434385007</v>
      </c>
      <c r="H224" s="1">
        <f t="shared" si="109"/>
        <v>2048.4134460006544</v>
      </c>
    </row>
    <row r="225" spans="1:9" ht="32.25" thickBot="1" x14ac:dyDescent="0.3">
      <c r="A225" s="183" t="s">
        <v>606</v>
      </c>
      <c r="C225" s="1">
        <f>C122</f>
        <v>0</v>
      </c>
      <c r="D225" s="254">
        <f t="shared" ref="D225:H225" si="110">D122</f>
        <v>461.52968036529683</v>
      </c>
      <c r="E225" s="1">
        <f t="shared" si="110"/>
        <v>292.84216986301368</v>
      </c>
      <c r="F225" s="1">
        <f t="shared" si="110"/>
        <v>822.1345883646942</v>
      </c>
      <c r="G225" s="1">
        <f t="shared" si="110"/>
        <v>997.16428287753229</v>
      </c>
      <c r="H225" s="1">
        <f t="shared" si="110"/>
        <v>1184.130334341485</v>
      </c>
    </row>
    <row r="226" spans="1:9" ht="19.5" thickBot="1" x14ac:dyDescent="0.3">
      <c r="A226" s="14" t="s">
        <v>607</v>
      </c>
      <c r="B226" s="14"/>
      <c r="C226" s="200">
        <f>C144+C218+C219</f>
        <v>-5000</v>
      </c>
      <c r="D226" s="200">
        <f t="shared" ref="D226:H226" si="111">D144+D218+D219</f>
        <v>1951.0844748858435</v>
      </c>
      <c r="E226" s="200">
        <f t="shared" si="111"/>
        <v>280.00587579908461</v>
      </c>
      <c r="F226" s="200">
        <f t="shared" si="111"/>
        <v>4591.5572825497911</v>
      </c>
      <c r="G226" s="200">
        <f t="shared" si="111"/>
        <v>8196.8126975722043</v>
      </c>
      <c r="H226" s="200">
        <f t="shared" si="111"/>
        <v>10406.056633829408</v>
      </c>
    </row>
    <row r="227" spans="1:9" ht="21.75" thickBot="1" x14ac:dyDescent="0.3">
      <c r="A227" s="244" t="s">
        <v>82</v>
      </c>
      <c r="C227" s="1">
        <f>C226*((1+$B$228)^(-C217))</f>
        <v>-5000</v>
      </c>
      <c r="D227" s="1">
        <f t="shared" ref="D227:H227" si="112">D226*((1+$B$228)^(-D217))</f>
        <v>1646.2584275531663</v>
      </c>
      <c r="E227" s="1">
        <f t="shared" si="112"/>
        <v>199.34760438972452</v>
      </c>
      <c r="F227" s="1">
        <f t="shared" si="112"/>
        <v>2758.2004241295062</v>
      </c>
      <c r="G227" s="1">
        <f t="shared" si="112"/>
        <v>4154.6339289987673</v>
      </c>
      <c r="H227" s="1">
        <f t="shared" si="112"/>
        <v>4450.3674999644272</v>
      </c>
      <c r="I227" s="81">
        <f>SUM(C227:H227)</f>
        <v>8208.8078850355923</v>
      </c>
    </row>
    <row r="228" spans="1:9" ht="38.25" thickBot="1" x14ac:dyDescent="0.3">
      <c r="A228" s="18" t="s">
        <v>401</v>
      </c>
      <c r="B228" s="130">
        <f>B196</f>
        <v>0.18516293810914031</v>
      </c>
    </row>
    <row r="229" spans="1:9" ht="60.75" thickBot="1" x14ac:dyDescent="0.3">
      <c r="C229" s="279" t="s">
        <v>608</v>
      </c>
      <c r="D229" s="279" t="s">
        <v>609</v>
      </c>
      <c r="E229" s="279" t="s">
        <v>610</v>
      </c>
      <c r="F229" s="279" t="s">
        <v>611</v>
      </c>
    </row>
    <row r="230" spans="1:9" s="64" customFormat="1" ht="42.75" thickBot="1" x14ac:dyDescent="0.3">
      <c r="A230" s="230" t="s">
        <v>612</v>
      </c>
      <c r="C230" s="64">
        <v>50</v>
      </c>
      <c r="D230" s="64">
        <v>75</v>
      </c>
      <c r="E230" s="64">
        <v>100</v>
      </c>
      <c r="F230" s="248">
        <f t="shared" ref="F230:F241" si="113">E230-C230</f>
        <v>50</v>
      </c>
    </row>
    <row r="231" spans="1:9" ht="19.5" thickBot="1" x14ac:dyDescent="0.3">
      <c r="A231" s="14" t="s">
        <v>10</v>
      </c>
      <c r="C231" s="1">
        <v>1037.1614365914425</v>
      </c>
      <c r="D231" s="1">
        <v>8208.8078850355923</v>
      </c>
      <c r="E231" s="1">
        <v>15380.454333479749</v>
      </c>
      <c r="F231" s="249">
        <f t="shared" si="113"/>
        <v>14343.292896888306</v>
      </c>
    </row>
    <row r="232" spans="1:9" ht="42.75" thickBot="1" x14ac:dyDescent="0.3">
      <c r="A232" s="230" t="s">
        <v>613</v>
      </c>
      <c r="C232" s="242">
        <v>0.05</v>
      </c>
      <c r="D232" s="242">
        <f>D8</f>
        <v>0.06</v>
      </c>
      <c r="E232" s="242">
        <v>0.09</v>
      </c>
      <c r="F232" s="250">
        <f t="shared" si="113"/>
        <v>3.9999999999999994E-2</v>
      </c>
    </row>
    <row r="233" spans="1:9" ht="19.5" thickBot="1" x14ac:dyDescent="0.3">
      <c r="A233" s="14" t="s">
        <v>10</v>
      </c>
      <c r="C233" s="1">
        <v>7299.8813586691722</v>
      </c>
      <c r="D233" s="1">
        <f>D231</f>
        <v>8208.8078850355923</v>
      </c>
      <c r="E233" s="1">
        <v>11018.854302489664</v>
      </c>
      <c r="F233" s="249">
        <f t="shared" si="113"/>
        <v>3718.9729438204922</v>
      </c>
    </row>
    <row r="234" spans="1:9" ht="42.75" thickBot="1" x14ac:dyDescent="0.3">
      <c r="A234" s="230" t="s">
        <v>614</v>
      </c>
      <c r="C234" s="242">
        <v>0.1</v>
      </c>
      <c r="D234" s="242">
        <v>0.08</v>
      </c>
      <c r="E234" s="242">
        <v>7.0000000000000007E-2</v>
      </c>
      <c r="F234" s="250">
        <f t="shared" si="113"/>
        <v>-0.03</v>
      </c>
    </row>
    <row r="235" spans="1:9" ht="19.5" thickBot="1" x14ac:dyDescent="0.3">
      <c r="A235" s="14" t="s">
        <v>10</v>
      </c>
      <c r="C235" s="1">
        <v>6948.8643222087412</v>
      </c>
      <c r="D235" s="1">
        <f>D233</f>
        <v>8208.8078850355923</v>
      </c>
      <c r="E235" s="1">
        <v>8825.5093606292794</v>
      </c>
      <c r="F235" s="249">
        <f t="shared" si="113"/>
        <v>1876.6450384205382</v>
      </c>
    </row>
    <row r="236" spans="1:9" ht="42.75" thickBot="1" x14ac:dyDescent="0.3">
      <c r="A236" s="230" t="s">
        <v>615</v>
      </c>
      <c r="C236" s="242">
        <v>0.12</v>
      </c>
      <c r="D236" s="242">
        <v>0.08</v>
      </c>
      <c r="E236" s="242">
        <v>7.0000000000000007E-2</v>
      </c>
      <c r="F236" s="250">
        <f t="shared" si="113"/>
        <v>-4.9999999999999989E-2</v>
      </c>
    </row>
    <row r="237" spans="1:9" ht="19.5" thickBot="1" x14ac:dyDescent="0.3">
      <c r="A237" s="14" t="s">
        <v>10</v>
      </c>
      <c r="C237" s="1">
        <v>7673.0040227562986</v>
      </c>
      <c r="D237" s="1">
        <f>D235</f>
        <v>8208.8078850355923</v>
      </c>
      <c r="E237" s="1">
        <v>8342.7588506054126</v>
      </c>
      <c r="F237" s="249">
        <f t="shared" si="113"/>
        <v>669.75482784911401</v>
      </c>
    </row>
    <row r="238" spans="1:9" ht="63.75" thickBot="1" x14ac:dyDescent="0.3">
      <c r="A238" s="230" t="s">
        <v>616</v>
      </c>
      <c r="C238" s="1">
        <v>1000</v>
      </c>
      <c r="D238" s="1">
        <v>740</v>
      </c>
      <c r="E238" s="1">
        <v>500</v>
      </c>
      <c r="F238" s="248">
        <f t="shared" si="113"/>
        <v>-500</v>
      </c>
    </row>
    <row r="239" spans="1:9" ht="19.5" thickBot="1" x14ac:dyDescent="0.3">
      <c r="A239" s="14" t="s">
        <v>10</v>
      </c>
      <c r="C239" s="1">
        <v>7017.7227663591902</v>
      </c>
      <c r="D239" s="1">
        <f>D237</f>
        <v>8208.8078850355923</v>
      </c>
      <c r="E239" s="1">
        <v>9308.2710715061166</v>
      </c>
      <c r="F239" s="249">
        <f t="shared" si="113"/>
        <v>2290.5483051469264</v>
      </c>
    </row>
    <row r="240" spans="1:9" ht="63.75" thickBot="1" x14ac:dyDescent="0.3">
      <c r="A240" s="230" t="s">
        <v>617</v>
      </c>
      <c r="C240" s="1">
        <v>300</v>
      </c>
      <c r="D240" s="1">
        <f>D225</f>
        <v>461.52968036529683</v>
      </c>
      <c r="E240" s="1">
        <v>500</v>
      </c>
      <c r="F240" s="248">
        <f t="shared" si="113"/>
        <v>200</v>
      </c>
    </row>
    <row r="241" spans="1:9" ht="19.5" thickBot="1" x14ac:dyDescent="0.3">
      <c r="A241" s="14" t="s">
        <v>10</v>
      </c>
      <c r="C241" s="1">
        <v>8035.8257445689251</v>
      </c>
      <c r="D241" s="1">
        <f>D239</f>
        <v>8208.8078850355923</v>
      </c>
      <c r="E241" s="1">
        <v>8946.258062814537</v>
      </c>
      <c r="F241" s="249">
        <f t="shared" si="113"/>
        <v>910.4323182456119</v>
      </c>
    </row>
    <row r="242" spans="1:9" ht="75.75" thickBot="1" x14ac:dyDescent="0.3">
      <c r="A242" s="241" t="s">
        <v>591</v>
      </c>
      <c r="B242" s="64"/>
      <c r="C242" s="58" t="s">
        <v>5</v>
      </c>
      <c r="D242" s="59" t="s">
        <v>0</v>
      </c>
      <c r="E242" s="59" t="s">
        <v>1</v>
      </c>
      <c r="F242" s="59" t="s">
        <v>2</v>
      </c>
      <c r="G242" s="59" t="s">
        <v>3</v>
      </c>
      <c r="H242" s="59" t="s">
        <v>4</v>
      </c>
      <c r="I242" s="60" t="s">
        <v>585</v>
      </c>
    </row>
    <row r="243" spans="1:9" ht="57.75" thickBot="1" x14ac:dyDescent="0.3">
      <c r="A243" s="174" t="s">
        <v>592</v>
      </c>
      <c r="C243" s="1">
        <v>0</v>
      </c>
      <c r="D243" s="1">
        <v>1</v>
      </c>
      <c r="E243" s="1">
        <v>2</v>
      </c>
      <c r="F243" s="1">
        <v>3</v>
      </c>
      <c r="G243" s="1">
        <v>4</v>
      </c>
      <c r="H243" s="1">
        <v>5</v>
      </c>
    </row>
    <row r="244" spans="1:9" ht="15.75" x14ac:dyDescent="0.25">
      <c r="A244" s="1" t="s">
        <v>602</v>
      </c>
      <c r="C244" s="1">
        <v>0</v>
      </c>
      <c r="D244" s="251">
        <v>75</v>
      </c>
      <c r="E244" s="1">
        <f>D244*0.4</f>
        <v>30</v>
      </c>
      <c r="F244" s="1">
        <f>E244*4.166667</f>
        <v>125.00001</v>
      </c>
      <c r="G244" s="1">
        <f>F244*1.2</f>
        <v>150.000012</v>
      </c>
      <c r="H244" s="1">
        <f>G244*1.166667</f>
        <v>175.00006400000399</v>
      </c>
    </row>
    <row r="245" spans="1:9" ht="15.75" x14ac:dyDescent="0.25">
      <c r="A245" s="99" t="s">
        <v>603</v>
      </c>
      <c r="C245" s="1">
        <f>C32</f>
        <v>0</v>
      </c>
      <c r="D245" s="252">
        <v>0.06</v>
      </c>
      <c r="E245" s="242">
        <f>D245*0.8333</f>
        <v>4.9998000000000001E-2</v>
      </c>
      <c r="F245" s="242">
        <f>E245*0.9</f>
        <v>4.4998200000000002E-2</v>
      </c>
      <c r="G245" s="242">
        <f>F245*0.8889</f>
        <v>3.9998899980000002E-2</v>
      </c>
      <c r="H245" s="242">
        <f>G245</f>
        <v>3.9998899980000002E-2</v>
      </c>
    </row>
    <row r="246" spans="1:9" ht="30" x14ac:dyDescent="0.25">
      <c r="A246" s="278" t="s">
        <v>605</v>
      </c>
      <c r="C246" s="1">
        <f>C35</f>
        <v>0</v>
      </c>
      <c r="D246" s="252">
        <v>0.08</v>
      </c>
      <c r="E246" s="242">
        <f>D246*0.875</f>
        <v>7.0000000000000007E-2</v>
      </c>
      <c r="F246" s="242">
        <f>E246*0.857143</f>
        <v>6.0000010000000006E-2</v>
      </c>
      <c r="G246" s="242">
        <f>F246*0.8333</f>
        <v>4.9998008333000006E-2</v>
      </c>
      <c r="H246" s="242">
        <f>G246*0.9</f>
        <v>4.4998207499700009E-2</v>
      </c>
    </row>
    <row r="247" spans="1:9" ht="15.75" x14ac:dyDescent="0.25">
      <c r="A247" s="99" t="s">
        <v>604</v>
      </c>
      <c r="C247" s="1">
        <f>C43</f>
        <v>0</v>
      </c>
      <c r="D247" s="252">
        <v>0.08</v>
      </c>
      <c r="E247" s="242">
        <f>D247*0.875</f>
        <v>7.0000000000000007E-2</v>
      </c>
      <c r="F247" s="242">
        <f>E247*0.857143</f>
        <v>6.0000010000000006E-2</v>
      </c>
      <c r="G247" s="242">
        <f>F247*0.8333</f>
        <v>4.9998008333000006E-2</v>
      </c>
      <c r="H247" s="242">
        <f>G247*0.9</f>
        <v>4.4998207499700009E-2</v>
      </c>
    </row>
    <row r="248" spans="1:9" ht="31.5" x14ac:dyDescent="0.25">
      <c r="A248" s="183" t="s">
        <v>601</v>
      </c>
      <c r="C248" s="1">
        <v>0</v>
      </c>
      <c r="D248" s="253">
        <v>739.72602739726028</v>
      </c>
      <c r="E248" s="1">
        <f>D248*0.42027</f>
        <v>310.88465753424657</v>
      </c>
      <c r="F248" s="1">
        <f>E248*4.35048</f>
        <v>1352.497484909589</v>
      </c>
      <c r="G248" s="1">
        <f>F248*1.2476</f>
        <v>1687.3758621732034</v>
      </c>
      <c r="H248" s="1">
        <f>G248*1.21327</f>
        <v>2047.2425122988825</v>
      </c>
    </row>
    <row r="249" spans="1:9" ht="32.25" thickBot="1" x14ac:dyDescent="0.3">
      <c r="A249" s="183" t="s">
        <v>606</v>
      </c>
      <c r="C249" s="1">
        <f>C146</f>
        <v>0</v>
      </c>
      <c r="D249" s="254">
        <v>461.52968036529683</v>
      </c>
      <c r="E249" s="1">
        <f>D249*0.633858</f>
        <v>292.54428013698634</v>
      </c>
      <c r="F249" s="1">
        <f>E249*2.805461</f>
        <v>820.7215686973899</v>
      </c>
      <c r="G249" s="1">
        <f>F249*1.213</f>
        <v>995.53526282993403</v>
      </c>
      <c r="H249" s="1">
        <f>G249*1.18763</f>
        <v>1182.3275441947146</v>
      </c>
    </row>
    <row r="250" spans="1:9" ht="21.75" thickBot="1" x14ac:dyDescent="0.3">
      <c r="A250" s="244" t="s">
        <v>82</v>
      </c>
      <c r="B250" s="81">
        <v>8208.8078850355923</v>
      </c>
    </row>
    <row r="251" spans="1:9" ht="57.75" thickBot="1" x14ac:dyDescent="0.3">
      <c r="A251" s="174" t="s">
        <v>618</v>
      </c>
    </row>
    <row r="252" spans="1:9" ht="15.75" x14ac:dyDescent="0.25">
      <c r="A252" s="1" t="s">
        <v>602</v>
      </c>
      <c r="C252" s="1">
        <v>0</v>
      </c>
      <c r="D252" s="251">
        <f>50</f>
        <v>50</v>
      </c>
      <c r="E252" s="1">
        <f>D252*0.4</f>
        <v>20</v>
      </c>
      <c r="F252" s="1">
        <f>E252*4.166667</f>
        <v>83.333340000000007</v>
      </c>
      <c r="G252" s="1">
        <f>F252*1.2</f>
        <v>100.00000800000001</v>
      </c>
      <c r="H252" s="1">
        <f>G252*1.166667</f>
        <v>116.666709333336</v>
      </c>
    </row>
    <row r="253" spans="1:9" ht="15.75" x14ac:dyDescent="0.25">
      <c r="A253" s="99" t="s">
        <v>603</v>
      </c>
      <c r="C253" s="1">
        <f>C40</f>
        <v>0</v>
      </c>
      <c r="D253" s="252">
        <v>0.05</v>
      </c>
      <c r="E253" s="242">
        <f>D253*0.8333</f>
        <v>4.1665000000000008E-2</v>
      </c>
      <c r="F253" s="242">
        <f>E253*0.9</f>
        <v>3.7498500000000011E-2</v>
      </c>
      <c r="G253" s="242">
        <f>F253*0.8889</f>
        <v>3.3332416650000009E-2</v>
      </c>
      <c r="H253" s="242">
        <f>G253</f>
        <v>3.3332416650000009E-2</v>
      </c>
    </row>
    <row r="254" spans="1:9" ht="30" x14ac:dyDescent="0.25">
      <c r="A254" s="278" t="s">
        <v>605</v>
      </c>
      <c r="C254" s="1">
        <f>C43</f>
        <v>0</v>
      </c>
      <c r="D254" s="252">
        <v>0.1</v>
      </c>
      <c r="E254" s="242">
        <f>D254*0.875</f>
        <v>8.7500000000000008E-2</v>
      </c>
      <c r="F254" s="242">
        <f>E254*0.857143</f>
        <v>7.5000012500000005E-2</v>
      </c>
      <c r="G254" s="242">
        <f>F254*0.8333</f>
        <v>6.2497510416250006E-2</v>
      </c>
      <c r="H254" s="242">
        <f>G254*0.9</f>
        <v>5.6247759374625006E-2</v>
      </c>
    </row>
    <row r="255" spans="1:9" ht="15.75" x14ac:dyDescent="0.25">
      <c r="A255" s="99" t="s">
        <v>604</v>
      </c>
      <c r="C255" s="1">
        <f>C51</f>
        <v>0</v>
      </c>
      <c r="D255" s="252">
        <v>0.12</v>
      </c>
      <c r="E255" s="242">
        <f>D255*0.875</f>
        <v>0.105</v>
      </c>
      <c r="F255" s="242">
        <f>E255*0.857143</f>
        <v>9.0000014999999989E-2</v>
      </c>
      <c r="G255" s="242">
        <f>F255*0.8333</f>
        <v>7.4997012499499999E-2</v>
      </c>
      <c r="H255" s="242">
        <f>G255*0.9</f>
        <v>6.7497311249549996E-2</v>
      </c>
    </row>
    <row r="256" spans="1:9" ht="31.5" x14ac:dyDescent="0.25">
      <c r="A256" s="183" t="s">
        <v>601</v>
      </c>
      <c r="C256" s="1">
        <v>0</v>
      </c>
      <c r="D256" s="253">
        <v>1000</v>
      </c>
      <c r="E256" s="1">
        <f>D256*0.42027</f>
        <v>420.27</v>
      </c>
      <c r="F256" s="1">
        <f>E256*4.35048</f>
        <v>1828.3762296</v>
      </c>
      <c r="G256" s="1">
        <f>F256*1.2476</f>
        <v>2281.0821840489602</v>
      </c>
      <c r="H256" s="1">
        <f>G256*1.21327</f>
        <v>2767.5685814410822</v>
      </c>
    </row>
    <row r="257" spans="1:9" ht="32.25" thickBot="1" x14ac:dyDescent="0.3">
      <c r="A257" s="183" t="s">
        <v>606</v>
      </c>
      <c r="C257" s="1">
        <f>C154</f>
        <v>0</v>
      </c>
      <c r="D257" s="254">
        <v>300</v>
      </c>
      <c r="E257" s="1">
        <f>D257*0.633858</f>
        <v>190.1574</v>
      </c>
      <c r="F257" s="1">
        <f>E257*2.805461</f>
        <v>533.4791695614</v>
      </c>
      <c r="G257" s="1">
        <f>F257*1.213</f>
        <v>647.11023267797827</v>
      </c>
      <c r="H257" s="1">
        <f>G257*1.18763</f>
        <v>768.52752563534727</v>
      </c>
    </row>
    <row r="258" spans="1:9" ht="21.75" thickBot="1" x14ac:dyDescent="0.3">
      <c r="A258" s="244" t="s">
        <v>82</v>
      </c>
      <c r="B258" s="81">
        <v>-2906.6776143295806</v>
      </c>
    </row>
    <row r="259" spans="1:9" ht="57.75" thickBot="1" x14ac:dyDescent="0.3">
      <c r="A259" s="174" t="s">
        <v>619</v>
      </c>
    </row>
    <row r="260" spans="1:9" ht="15.75" x14ac:dyDescent="0.25">
      <c r="A260" s="1" t="s">
        <v>602</v>
      </c>
      <c r="D260" s="251">
        <v>100</v>
      </c>
      <c r="E260" s="1">
        <f>D260*0.4</f>
        <v>40</v>
      </c>
      <c r="F260" s="1">
        <f>E260*4.166667</f>
        <v>166.66668000000001</v>
      </c>
      <c r="G260" s="1">
        <f>F260*1.2</f>
        <v>200.00001600000002</v>
      </c>
      <c r="H260" s="1">
        <f>G260*1.166667</f>
        <v>233.333418666672</v>
      </c>
    </row>
    <row r="261" spans="1:9" ht="15.75" x14ac:dyDescent="0.25">
      <c r="A261" s="99" t="s">
        <v>603</v>
      </c>
      <c r="D261" s="252">
        <v>0.09</v>
      </c>
      <c r="E261" s="242">
        <f>D261*0.8333</f>
        <v>7.4996999999999994E-2</v>
      </c>
      <c r="F261" s="242">
        <f>E261*0.9</f>
        <v>6.7497299999999996E-2</v>
      </c>
      <c r="G261" s="242">
        <f>F261*0.8889</f>
        <v>5.9998349969999996E-2</v>
      </c>
      <c r="H261" s="242">
        <f>G261</f>
        <v>5.9998349969999996E-2</v>
      </c>
    </row>
    <row r="262" spans="1:9" ht="30" x14ac:dyDescent="0.25">
      <c r="A262" s="278" t="s">
        <v>605</v>
      </c>
      <c r="D262" s="252">
        <v>7.0000000000000007E-2</v>
      </c>
      <c r="E262" s="242">
        <f>D262*0.875</f>
        <v>6.1250000000000006E-2</v>
      </c>
      <c r="F262" s="242">
        <f>E262*0.857143</f>
        <v>5.2500008750000007E-2</v>
      </c>
      <c r="G262" s="242">
        <f>F262*0.8333</f>
        <v>4.3748257291375006E-2</v>
      </c>
      <c r="H262" s="242">
        <f>G262*0.9</f>
        <v>3.9373431562237507E-2</v>
      </c>
    </row>
    <row r="263" spans="1:9" ht="15.75" x14ac:dyDescent="0.25">
      <c r="A263" s="99" t="s">
        <v>604</v>
      </c>
      <c r="D263" s="252">
        <v>7.0000000000000007E-2</v>
      </c>
      <c r="E263" s="242">
        <f>D263*0.875</f>
        <v>6.1250000000000006E-2</v>
      </c>
      <c r="F263" s="242">
        <f>E263*0.857143</f>
        <v>5.2500008750000007E-2</v>
      </c>
      <c r="G263" s="242">
        <f>F263*0.8333</f>
        <v>4.3748257291375006E-2</v>
      </c>
      <c r="H263" s="242">
        <f>G263*0.9</f>
        <v>3.9373431562237507E-2</v>
      </c>
    </row>
    <row r="264" spans="1:9" ht="31.5" x14ac:dyDescent="0.25">
      <c r="A264" s="183" t="s">
        <v>601</v>
      </c>
      <c r="D264" s="253">
        <v>500</v>
      </c>
      <c r="E264" s="1">
        <f>D264*0.42027</f>
        <v>210.13499999999999</v>
      </c>
      <c r="F264" s="1">
        <f>E264*4.35048</f>
        <v>914.18811479999999</v>
      </c>
      <c r="G264" s="1">
        <f>F264*1.2476</f>
        <v>1140.5410920244801</v>
      </c>
      <c r="H264" s="1">
        <f>G264*1.21327</f>
        <v>1383.7842907205411</v>
      </c>
    </row>
    <row r="265" spans="1:9" ht="32.25" thickBot="1" x14ac:dyDescent="0.3">
      <c r="A265" s="183" t="s">
        <v>606</v>
      </c>
      <c r="D265" s="254">
        <v>500</v>
      </c>
      <c r="E265" s="1">
        <f>D265*0.633858</f>
        <v>316.92900000000003</v>
      </c>
      <c r="F265" s="1">
        <f>E265*2.805461</f>
        <v>889.13194926900019</v>
      </c>
      <c r="G265" s="1">
        <f>F265*1.213</f>
        <v>1078.5170544632972</v>
      </c>
      <c r="H265" s="1">
        <f>G265*1.18763</f>
        <v>1280.8792093922457</v>
      </c>
    </row>
    <row r="266" spans="1:9" ht="21.75" thickBot="1" x14ac:dyDescent="0.3">
      <c r="A266" s="244" t="s">
        <v>82</v>
      </c>
      <c r="B266" s="277">
        <v>21339.24352601268</v>
      </c>
    </row>
    <row r="267" spans="1:9" ht="86.25" thickBot="1" x14ac:dyDescent="0.3">
      <c r="A267" s="241" t="s">
        <v>590</v>
      </c>
      <c r="B267" s="64"/>
      <c r="C267" s="58" t="s">
        <v>5</v>
      </c>
      <c r="D267" s="59" t="s">
        <v>0</v>
      </c>
      <c r="E267" s="59" t="s">
        <v>1</v>
      </c>
      <c r="F267" s="59" t="s">
        <v>2</v>
      </c>
      <c r="G267" s="59" t="s">
        <v>3</v>
      </c>
      <c r="H267" s="59" t="s">
        <v>4</v>
      </c>
      <c r="I267" s="60" t="s">
        <v>585</v>
      </c>
    </row>
    <row r="268" spans="1:9" ht="63.75" thickBot="1" x14ac:dyDescent="0.3">
      <c r="A268" s="184" t="s">
        <v>10</v>
      </c>
      <c r="C268" s="2" t="s">
        <v>583</v>
      </c>
      <c r="D268" s="255" t="s">
        <v>587</v>
      </c>
      <c r="E268" s="255" t="s">
        <v>588</v>
      </c>
      <c r="F268" s="255" t="s">
        <v>589</v>
      </c>
    </row>
    <row r="269" spans="1:9" ht="18" customHeight="1" x14ac:dyDescent="0.25">
      <c r="A269" s="298" t="s">
        <v>586</v>
      </c>
      <c r="B269" s="1">
        <v>-6304</v>
      </c>
      <c r="C269" s="300">
        <f>AVERAGE(B269:B281)</f>
        <v>5862.3076923076924</v>
      </c>
      <c r="D269" s="303">
        <f>_xlfn.VAR.S(B269:B281)</f>
        <v>91717649.564102575</v>
      </c>
      <c r="E269" s="300">
        <f>_xlfn.STDEV.P(B269:B281)</f>
        <v>9201.2197969334084</v>
      </c>
      <c r="F269" s="300">
        <f>MEDIAN(B269:B281)</f>
        <v>3476</v>
      </c>
    </row>
    <row r="270" spans="1:9" x14ac:dyDescent="0.25">
      <c r="A270" s="299"/>
      <c r="B270" s="1">
        <v>-4579</v>
      </c>
      <c r="C270" s="301"/>
      <c r="D270" s="304"/>
      <c r="E270" s="301"/>
      <c r="F270" s="301"/>
    </row>
    <row r="271" spans="1:9" x14ac:dyDescent="0.25">
      <c r="A271" s="299"/>
      <c r="B271" s="1">
        <v>-2907</v>
      </c>
      <c r="C271" s="301"/>
      <c r="D271" s="304"/>
      <c r="E271" s="301"/>
      <c r="F271" s="301"/>
    </row>
    <row r="272" spans="1:9" x14ac:dyDescent="0.25">
      <c r="A272" s="299"/>
      <c r="B272" s="1">
        <v>-908</v>
      </c>
      <c r="C272" s="301"/>
      <c r="D272" s="304"/>
      <c r="E272" s="301"/>
      <c r="F272" s="301"/>
    </row>
    <row r="273" spans="1:6" x14ac:dyDescent="0.25">
      <c r="A273" s="299"/>
      <c r="B273" s="1">
        <v>204</v>
      </c>
      <c r="C273" s="301"/>
      <c r="D273" s="304"/>
      <c r="E273" s="301"/>
      <c r="F273" s="301"/>
    </row>
    <row r="274" spans="1:6" x14ac:dyDescent="0.25">
      <c r="A274" s="299"/>
      <c r="B274" s="1">
        <v>1235</v>
      </c>
      <c r="C274" s="301"/>
      <c r="D274" s="304"/>
      <c r="E274" s="301"/>
      <c r="F274" s="301"/>
    </row>
    <row r="275" spans="1:6" x14ac:dyDescent="0.25">
      <c r="A275" s="299"/>
      <c r="B275" s="1">
        <v>3476</v>
      </c>
      <c r="C275" s="301"/>
      <c r="D275" s="304"/>
      <c r="E275" s="301"/>
      <c r="F275" s="301"/>
    </row>
    <row r="276" spans="1:6" x14ac:dyDescent="0.25">
      <c r="A276" s="299"/>
      <c r="B276" s="1">
        <v>5783</v>
      </c>
      <c r="C276" s="301"/>
      <c r="D276" s="304"/>
      <c r="E276" s="301"/>
      <c r="F276" s="301"/>
    </row>
    <row r="277" spans="1:6" x14ac:dyDescent="0.25">
      <c r="A277" s="299"/>
      <c r="B277" s="1">
        <v>8209</v>
      </c>
      <c r="C277" s="301"/>
      <c r="D277" s="304"/>
      <c r="E277" s="301"/>
      <c r="F277" s="301"/>
    </row>
    <row r="278" spans="1:6" x14ac:dyDescent="0.25">
      <c r="A278" s="299"/>
      <c r="B278" s="1">
        <v>12367</v>
      </c>
      <c r="C278" s="301"/>
      <c r="D278" s="304"/>
      <c r="E278" s="301"/>
      <c r="F278" s="301"/>
    </row>
    <row r="279" spans="1:6" x14ac:dyDescent="0.25">
      <c r="A279" s="299"/>
      <c r="B279" s="1">
        <v>15879</v>
      </c>
      <c r="C279" s="301"/>
      <c r="D279" s="304"/>
      <c r="E279" s="301"/>
      <c r="F279" s="301"/>
    </row>
    <row r="280" spans="1:6" x14ac:dyDescent="0.25">
      <c r="A280" s="299"/>
      <c r="B280" s="1">
        <v>21339</v>
      </c>
      <c r="C280" s="301"/>
      <c r="D280" s="304"/>
      <c r="E280" s="301"/>
      <c r="F280" s="301"/>
    </row>
    <row r="281" spans="1:6" ht="15.75" thickBot="1" x14ac:dyDescent="0.3">
      <c r="A281" s="299"/>
      <c r="B281" s="1">
        <v>22416</v>
      </c>
      <c r="C281" s="302"/>
      <c r="D281" s="305"/>
      <c r="E281" s="302"/>
      <c r="F281" s="302"/>
    </row>
    <row r="282" spans="1:6" ht="32.25" thickBot="1" x14ac:dyDescent="0.3">
      <c r="A282" s="230" t="s">
        <v>579</v>
      </c>
      <c r="C282" s="255" t="s">
        <v>581</v>
      </c>
      <c r="D282" s="255" t="s">
        <v>582</v>
      </c>
      <c r="E282" s="255" t="s">
        <v>583</v>
      </c>
      <c r="F282" s="255" t="s">
        <v>584</v>
      </c>
    </row>
    <row r="283" spans="1:6" ht="19.5" thickBot="1" x14ac:dyDescent="0.3">
      <c r="A283" s="14" t="s">
        <v>580</v>
      </c>
      <c r="C283" s="81">
        <f>C269-E269</f>
        <v>-3338.912104625716</v>
      </c>
      <c r="D283" s="12">
        <f>F269</f>
        <v>3476</v>
      </c>
      <c r="E283" s="12">
        <f>C269</f>
        <v>5862.3076923076924</v>
      </c>
      <c r="F283" s="256">
        <f>C269+E269</f>
        <v>15063.5274892411</v>
      </c>
    </row>
  </sheetData>
  <mergeCells count="12">
    <mergeCell ref="E59:J59"/>
    <mergeCell ref="C50:H50"/>
    <mergeCell ref="I50:O50"/>
    <mergeCell ref="I51:O51"/>
    <mergeCell ref="J54:L54"/>
    <mergeCell ref="J55:L55"/>
    <mergeCell ref="C69:H69"/>
    <mergeCell ref="A269:A281"/>
    <mergeCell ref="C269:C281"/>
    <mergeCell ref="D269:D281"/>
    <mergeCell ref="E269:E281"/>
    <mergeCell ref="F269:F28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Фиксированные ставки</vt:lpstr>
      <vt:lpstr>Вариативные ставки</vt:lpstr>
      <vt:lpstr>Cash Flow уточненный</vt:lpstr>
      <vt:lpstr>Формулы и определения</vt:lpstr>
      <vt:lpstr>Чувствительность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2014-10-05T15:29:21Z</dcterms:created>
  <dcterms:modified xsi:type="dcterms:W3CDTF">2017-09-29T20:59:40Z</dcterms:modified>
</cp:coreProperties>
</file>