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hail Cherkasov\Desktop\Teaching\Управление инвестиционными проектами\My dox\"/>
    </mc:Choice>
  </mc:AlternateContent>
  <bookViews>
    <workbookView xWindow="0" yWindow="0" windowWidth="23040" windowHeight="8544" activeTab="4"/>
  </bookViews>
  <sheets>
    <sheet name="Proj Ratios Fix" sheetId="3" r:id="rId1"/>
    <sheet name="Proj Ratios Var" sheetId="4" r:id="rId2"/>
    <sheet name="Adj Cash Flow" sheetId="6" r:id="rId3"/>
    <sheet name="Proj Ratios Def" sheetId="7" r:id="rId4"/>
    <sheet name="Sensitivity" sheetId="9"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"HE6A3QMGT5ZT2TVGNYUIWL8J"</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9" i="9" l="1"/>
  <c r="E283" i="9" s="1"/>
  <c r="F269" i="9"/>
  <c r="D283" i="9"/>
  <c r="E269" i="9"/>
  <c r="D269" i="9"/>
  <c r="C283" i="9"/>
  <c r="F283" i="9"/>
  <c r="D219" i="9"/>
  <c r="E219" i="9" s="1"/>
  <c r="F219" i="9" s="1"/>
  <c r="G219" i="9" s="1"/>
  <c r="H219" i="9" s="1"/>
  <c r="E265" i="9"/>
  <c r="F265" i="9"/>
  <c r="G265" i="9"/>
  <c r="H265" i="9"/>
  <c r="E264" i="9"/>
  <c r="F264" i="9"/>
  <c r="G264" i="9"/>
  <c r="H264" i="9"/>
  <c r="E263" i="9"/>
  <c r="F263" i="9"/>
  <c r="G263" i="9"/>
  <c r="H263" i="9"/>
  <c r="E262" i="9"/>
  <c r="F262" i="9"/>
  <c r="G262" i="9"/>
  <c r="H262" i="9"/>
  <c r="E261" i="9"/>
  <c r="F261" i="9"/>
  <c r="G261" i="9"/>
  <c r="H261" i="9"/>
  <c r="E260" i="9"/>
  <c r="F260" i="9"/>
  <c r="G260" i="9"/>
  <c r="H260" i="9"/>
  <c r="E257" i="9"/>
  <c r="F257" i="9"/>
  <c r="G257" i="9"/>
  <c r="H257" i="9"/>
  <c r="E256" i="9"/>
  <c r="F256" i="9"/>
  <c r="G256" i="9"/>
  <c r="H256" i="9"/>
  <c r="D252" i="9"/>
  <c r="E255" i="9"/>
  <c r="F255" i="9"/>
  <c r="G255" i="9"/>
  <c r="H255" i="9" s="1"/>
  <c r="C255" i="9"/>
  <c r="E254" i="9"/>
  <c r="F254" i="9"/>
  <c r="G254" i="9" s="1"/>
  <c r="H254" i="9"/>
  <c r="C254" i="9"/>
  <c r="E253" i="9"/>
  <c r="F253" i="9" s="1"/>
  <c r="G253" i="9"/>
  <c r="H253" i="9"/>
  <c r="C253" i="9"/>
  <c r="E252" i="9"/>
  <c r="F252" i="9"/>
  <c r="G252" i="9"/>
  <c r="H252" i="9" s="1"/>
  <c r="F241" i="9"/>
  <c r="F239" i="9"/>
  <c r="F237" i="9"/>
  <c r="F235" i="9"/>
  <c r="F238" i="9"/>
  <c r="F236" i="9"/>
  <c r="F234" i="9"/>
  <c r="E246" i="9"/>
  <c r="F246" i="9" s="1"/>
  <c r="G246" i="9" s="1"/>
  <c r="H246" i="9" s="1"/>
  <c r="E245" i="9"/>
  <c r="F245" i="9" s="1"/>
  <c r="G245" i="9"/>
  <c r="H245" i="9" s="1"/>
  <c r="E244" i="9"/>
  <c r="F244" i="9" s="1"/>
  <c r="G244" i="9" s="1"/>
  <c r="H244" i="9" s="1"/>
  <c r="E247" i="9"/>
  <c r="F247" i="9" s="1"/>
  <c r="G247" i="9"/>
  <c r="H247" i="9" s="1"/>
  <c r="C247" i="9"/>
  <c r="C246" i="9"/>
  <c r="C245" i="9"/>
  <c r="F240" i="9"/>
  <c r="D218" i="9"/>
  <c r="E218" i="9" s="1"/>
  <c r="F218" i="9" s="1"/>
  <c r="D23" i="9"/>
  <c r="E23" i="6"/>
  <c r="F23" i="6"/>
  <c r="G23" i="6"/>
  <c r="H23" i="6"/>
  <c r="D23" i="6"/>
  <c r="E23" i="4"/>
  <c r="F23" i="4"/>
  <c r="G23" i="4"/>
  <c r="H23" i="4"/>
  <c r="D23" i="4"/>
  <c r="F233" i="9"/>
  <c r="F232" i="9"/>
  <c r="F231" i="9"/>
  <c r="F230" i="9"/>
  <c r="D233" i="9"/>
  <c r="D235" i="9"/>
  <c r="D237" i="9"/>
  <c r="D239" i="9" s="1"/>
  <c r="D241" i="9" s="1"/>
  <c r="D232" i="9"/>
  <c r="E19" i="9"/>
  <c r="F19" i="9"/>
  <c r="E11" i="9"/>
  <c r="E8" i="9"/>
  <c r="E9" i="9" s="1"/>
  <c r="E10" i="9" s="1"/>
  <c r="E7" i="9"/>
  <c r="D223" i="9"/>
  <c r="E223" i="9"/>
  <c r="F223" i="9" s="1"/>
  <c r="G223" i="9" s="1"/>
  <c r="H223" i="9" s="1"/>
  <c r="C223" i="9"/>
  <c r="D222" i="9"/>
  <c r="E222" i="9" s="1"/>
  <c r="F222" i="9" s="1"/>
  <c r="G222" i="9" s="1"/>
  <c r="H222" i="9" s="1"/>
  <c r="C222" i="9"/>
  <c r="D221" i="9"/>
  <c r="E221" i="9" s="1"/>
  <c r="F221" i="9" s="1"/>
  <c r="G221" i="9" s="1"/>
  <c r="H221" i="9" s="1"/>
  <c r="C221" i="9"/>
  <c r="D220" i="9"/>
  <c r="E220" i="9" s="1"/>
  <c r="C220" i="9"/>
  <c r="B97" i="4"/>
  <c r="B202" i="9"/>
  <c r="C52" i="4"/>
  <c r="C53" i="4"/>
  <c r="C54" i="4"/>
  <c r="B55" i="4"/>
  <c r="C55" i="4"/>
  <c r="C56" i="4"/>
  <c r="B57" i="4"/>
  <c r="C58" i="4"/>
  <c r="D52" i="4"/>
  <c r="D53" i="4"/>
  <c r="D54" i="4"/>
  <c r="D55" i="4"/>
  <c r="D56" i="4"/>
  <c r="D58" i="4"/>
  <c r="E52" i="4"/>
  <c r="E53" i="4"/>
  <c r="E54" i="4"/>
  <c r="E55" i="4"/>
  <c r="E56" i="4"/>
  <c r="E58" i="4"/>
  <c r="F52" i="4"/>
  <c r="F53" i="4"/>
  <c r="F54" i="4"/>
  <c r="F55" i="4"/>
  <c r="F56" i="4"/>
  <c r="F58" i="4"/>
  <c r="G52" i="4"/>
  <c r="G53" i="4"/>
  <c r="G54" i="4"/>
  <c r="G55" i="4"/>
  <c r="G56" i="4"/>
  <c r="G58" i="4"/>
  <c r="H52" i="4"/>
  <c r="H53" i="4"/>
  <c r="H54" i="4"/>
  <c r="H55" i="4"/>
  <c r="H56" i="4"/>
  <c r="H58" i="4"/>
  <c r="I58" i="4"/>
  <c r="B61" i="4"/>
  <c r="B196" i="9"/>
  <c r="H170" i="9"/>
  <c r="G170" i="9"/>
  <c r="F170" i="9"/>
  <c r="E170" i="9"/>
  <c r="D170" i="9"/>
  <c r="C170" i="9"/>
  <c r="D167" i="9"/>
  <c r="C166" i="9"/>
  <c r="E119" i="9"/>
  <c r="E121" i="9"/>
  <c r="D119" i="9"/>
  <c r="D121" i="9" s="1"/>
  <c r="C119" i="9"/>
  <c r="C121" i="9" s="1"/>
  <c r="E118" i="9"/>
  <c r="E120" i="9" s="1"/>
  <c r="D118" i="9"/>
  <c r="D120" i="9"/>
  <c r="C118" i="9"/>
  <c r="C120" i="9" s="1"/>
  <c r="C106" i="9"/>
  <c r="C108" i="9" s="1"/>
  <c r="C103" i="9"/>
  <c r="C104" i="9"/>
  <c r="C159" i="9" s="1"/>
  <c r="D100" i="9"/>
  <c r="C100" i="9"/>
  <c r="C94" i="9"/>
  <c r="D91" i="9"/>
  <c r="D92" i="9" s="1"/>
  <c r="D98" i="9" s="1"/>
  <c r="D99" i="9" s="1"/>
  <c r="C91" i="9"/>
  <c r="E88" i="9"/>
  <c r="D88" i="9"/>
  <c r="C88" i="9"/>
  <c r="E87" i="9"/>
  <c r="D87" i="9"/>
  <c r="C87" i="9"/>
  <c r="D86" i="9"/>
  <c r="C86" i="9"/>
  <c r="C85" i="9"/>
  <c r="C83" i="9" s="1"/>
  <c r="D82" i="9"/>
  <c r="C82" i="9"/>
  <c r="D81" i="9"/>
  <c r="D152" i="9"/>
  <c r="C81" i="9"/>
  <c r="C152" i="9" s="1"/>
  <c r="C80" i="9"/>
  <c r="D74" i="9"/>
  <c r="C74" i="9"/>
  <c r="B72" i="9"/>
  <c r="E67" i="9"/>
  <c r="J64" i="9"/>
  <c r="J65" i="9" s="1"/>
  <c r="I64" i="9"/>
  <c r="H64" i="9"/>
  <c r="H65" i="9" s="1"/>
  <c r="H87" i="9" s="1"/>
  <c r="G64" i="9"/>
  <c r="F64" i="9"/>
  <c r="B62" i="9"/>
  <c r="I65" i="9"/>
  <c r="E57" i="9"/>
  <c r="E81" i="9" s="1"/>
  <c r="B54" i="9"/>
  <c r="B48" i="9"/>
  <c r="B55" i="9"/>
  <c r="B45" i="9"/>
  <c r="B39" i="9"/>
  <c r="C27" i="9"/>
  <c r="C134" i="9" s="1"/>
  <c r="C142" i="9" s="1"/>
  <c r="C26" i="9"/>
  <c r="C133" i="9"/>
  <c r="C141" i="9" s="1"/>
  <c r="C20" i="9"/>
  <c r="C22" i="9" s="1"/>
  <c r="C24" i="9"/>
  <c r="H18" i="9"/>
  <c r="G18" i="9"/>
  <c r="F18" i="9"/>
  <c r="E18" i="9"/>
  <c r="D18" i="9"/>
  <c r="I17" i="9"/>
  <c r="D14" i="9"/>
  <c r="D10" i="9"/>
  <c r="C9" i="9"/>
  <c r="H6" i="9"/>
  <c r="G6" i="9"/>
  <c r="F6" i="9"/>
  <c r="E6" i="9"/>
  <c r="D6" i="9"/>
  <c r="C6" i="9"/>
  <c r="C29" i="9"/>
  <c r="I5" i="9"/>
  <c r="E74" i="9"/>
  <c r="E23" i="9"/>
  <c r="E213" i="9"/>
  <c r="F8" i="9"/>
  <c r="G8" i="9" s="1"/>
  <c r="H8" i="9" s="1"/>
  <c r="E91" i="9"/>
  <c r="E92" i="9" s="1"/>
  <c r="E97" i="9"/>
  <c r="B53" i="9"/>
  <c r="E55" i="9"/>
  <c r="F55" i="9" s="1"/>
  <c r="G55" i="9" s="1"/>
  <c r="H55" i="9" s="1"/>
  <c r="I55" i="9" s="1"/>
  <c r="F220" i="9"/>
  <c r="G220" i="9" s="1"/>
  <c r="H220" i="9" s="1"/>
  <c r="D48" i="9"/>
  <c r="B46" i="9"/>
  <c r="D46" i="9" s="1"/>
  <c r="E46" i="9" s="1"/>
  <c r="C109" i="9"/>
  <c r="E152" i="9"/>
  <c r="C126" i="9"/>
  <c r="D103" i="9"/>
  <c r="D104" i="9"/>
  <c r="D159" i="9" s="1"/>
  <c r="D12" i="9"/>
  <c r="G65" i="9"/>
  <c r="G87" i="9" s="1"/>
  <c r="F65" i="9"/>
  <c r="C97" i="9"/>
  <c r="C92" i="9"/>
  <c r="D93" i="9"/>
  <c r="I26" i="9"/>
  <c r="C107" i="9"/>
  <c r="D166" i="9"/>
  <c r="E18" i="6"/>
  <c r="E213" i="6"/>
  <c r="F18" i="6"/>
  <c r="F213" i="6"/>
  <c r="G18" i="6"/>
  <c r="G213" i="6"/>
  <c r="H18" i="6"/>
  <c r="H213" i="6"/>
  <c r="D18" i="6"/>
  <c r="D213" i="6"/>
  <c r="G218" i="9"/>
  <c r="E93" i="9"/>
  <c r="E166" i="9"/>
  <c r="C98" i="9"/>
  <c r="C99" i="9"/>
  <c r="C93" i="9"/>
  <c r="C95" i="9" s="1"/>
  <c r="C125" i="9" s="1"/>
  <c r="D126" i="9"/>
  <c r="D184" i="3"/>
  <c r="E184" i="3"/>
  <c r="F184" i="3"/>
  <c r="G184" i="3"/>
  <c r="H184" i="3"/>
  <c r="I185" i="3"/>
  <c r="H186" i="3"/>
  <c r="I186" i="3"/>
  <c r="C189" i="3"/>
  <c r="C6" i="3"/>
  <c r="C26" i="3"/>
  <c r="C17" i="3"/>
  <c r="C19" i="3"/>
  <c r="C21" i="3"/>
  <c r="C31" i="3"/>
  <c r="C32" i="3"/>
  <c r="C86" i="3"/>
  <c r="C129" i="3"/>
  <c r="C133" i="3"/>
  <c r="D7" i="3"/>
  <c r="D9" i="3"/>
  <c r="D6" i="3"/>
  <c r="B39" i="6"/>
  <c r="B46" i="6"/>
  <c r="D46" i="6"/>
  <c r="D85" i="6"/>
  <c r="D86" i="6"/>
  <c r="D87" i="6"/>
  <c r="D88" i="6"/>
  <c r="D83" i="6"/>
  <c r="D21" i="6"/>
  <c r="D18" i="3"/>
  <c r="H130" i="3"/>
  <c r="D130" i="3"/>
  <c r="D132" i="3"/>
  <c r="E9" i="3"/>
  <c r="E24" i="3"/>
  <c r="E6" i="3"/>
  <c r="E13" i="3"/>
  <c r="E12" i="3"/>
  <c r="E10" i="3"/>
  <c r="E17" i="3"/>
  <c r="E46" i="6"/>
  <c r="E85" i="6"/>
  <c r="B54" i="6"/>
  <c r="B48" i="6"/>
  <c r="E54" i="6"/>
  <c r="E86" i="6"/>
  <c r="E87" i="6"/>
  <c r="E88" i="6"/>
  <c r="E83" i="6"/>
  <c r="E21" i="6"/>
  <c r="E18" i="3"/>
  <c r="E19" i="3"/>
  <c r="E21" i="3"/>
  <c r="E25" i="3"/>
  <c r="F8" i="3"/>
  <c r="F7" i="3"/>
  <c r="F9" i="3"/>
  <c r="F24" i="3"/>
  <c r="F59" i="3"/>
  <c r="F60" i="3"/>
  <c r="F63" i="3"/>
  <c r="F6" i="3"/>
  <c r="F11" i="3"/>
  <c r="F13" i="3"/>
  <c r="F46" i="6"/>
  <c r="F85" i="6"/>
  <c r="D48" i="6"/>
  <c r="E48" i="6"/>
  <c r="F54" i="6"/>
  <c r="F86" i="6"/>
  <c r="B62" i="6"/>
  <c r="F64" i="6"/>
  <c r="F65" i="6"/>
  <c r="F87" i="6"/>
  <c r="D74" i="6"/>
  <c r="E74" i="6"/>
  <c r="F74" i="6"/>
  <c r="B72" i="6"/>
  <c r="F73" i="6"/>
  <c r="F75" i="6"/>
  <c r="F88" i="6"/>
  <c r="F83" i="6"/>
  <c r="F21" i="6"/>
  <c r="F18" i="3"/>
  <c r="F130" i="3"/>
  <c r="F132" i="3"/>
  <c r="G8" i="3"/>
  <c r="G7" i="3"/>
  <c r="G13" i="3"/>
  <c r="G12" i="3"/>
  <c r="G11" i="3"/>
  <c r="G10" i="3"/>
  <c r="G14" i="3"/>
  <c r="G6" i="3"/>
  <c r="G46" i="6"/>
  <c r="G85" i="6"/>
  <c r="F48" i="6"/>
  <c r="G54" i="6"/>
  <c r="G86" i="6"/>
  <c r="G64" i="6"/>
  <c r="G65" i="6"/>
  <c r="G87" i="6"/>
  <c r="G74" i="6"/>
  <c r="G73" i="6"/>
  <c r="G75" i="6"/>
  <c r="G88" i="6"/>
  <c r="G83" i="6"/>
  <c r="G21" i="6"/>
  <c r="G18" i="3"/>
  <c r="G130" i="3"/>
  <c r="G132" i="3"/>
  <c r="H8" i="3"/>
  <c r="H7" i="3"/>
  <c r="H9" i="3"/>
  <c r="H24" i="3"/>
  <c r="H59" i="3"/>
  <c r="H60" i="3"/>
  <c r="H63" i="3"/>
  <c r="H6" i="3"/>
  <c r="H11" i="3"/>
  <c r="H13" i="3"/>
  <c r="H46" i="6"/>
  <c r="H85" i="6"/>
  <c r="G48" i="6"/>
  <c r="H54" i="6"/>
  <c r="H86" i="6"/>
  <c r="H64" i="6"/>
  <c r="H65" i="6"/>
  <c r="H87" i="6"/>
  <c r="H74" i="6"/>
  <c r="H73" i="6"/>
  <c r="H75" i="6"/>
  <c r="H88" i="6"/>
  <c r="H83" i="6"/>
  <c r="H21" i="6"/>
  <c r="H18" i="3"/>
  <c r="H132" i="3"/>
  <c r="C59" i="3"/>
  <c r="C60" i="3"/>
  <c r="C87" i="3"/>
  <c r="C131" i="3"/>
  <c r="C134" i="3"/>
  <c r="E59" i="3"/>
  <c r="E60" i="3"/>
  <c r="E87" i="3"/>
  <c r="E131" i="3"/>
  <c r="C88" i="3"/>
  <c r="C89" i="3"/>
  <c r="D59" i="3"/>
  <c r="D60" i="3"/>
  <c r="D87" i="3"/>
  <c r="F87" i="3"/>
  <c r="G59" i="3"/>
  <c r="G60" i="3"/>
  <c r="G87" i="3"/>
  <c r="H87" i="3"/>
  <c r="D167" i="3"/>
  <c r="D168" i="3"/>
  <c r="E167" i="3"/>
  <c r="E168" i="3"/>
  <c r="F167" i="3"/>
  <c r="F168" i="3"/>
  <c r="G167" i="3"/>
  <c r="G168" i="3"/>
  <c r="H167" i="3"/>
  <c r="H168" i="3"/>
  <c r="I168" i="3"/>
  <c r="C28" i="3"/>
  <c r="C20" i="6"/>
  <c r="C22" i="6"/>
  <c r="C24" i="6"/>
  <c r="C25" i="6"/>
  <c r="C209" i="6"/>
  <c r="C39" i="6"/>
  <c r="C79" i="6"/>
  <c r="C80" i="6"/>
  <c r="C82" i="6"/>
  <c r="C151" i="6"/>
  <c r="C81" i="6"/>
  <c r="C152" i="6"/>
  <c r="C149" i="6"/>
  <c r="C208" i="6"/>
  <c r="D39" i="6"/>
  <c r="D79" i="6"/>
  <c r="D80" i="6"/>
  <c r="D82" i="6"/>
  <c r="D151" i="6"/>
  <c r="D81" i="6"/>
  <c r="D152" i="6"/>
  <c r="D149" i="6"/>
  <c r="D208" i="6"/>
  <c r="E39" i="6"/>
  <c r="E79" i="6"/>
  <c r="E80" i="6"/>
  <c r="E67" i="6"/>
  <c r="E82" i="6"/>
  <c r="E151" i="6"/>
  <c r="E57" i="6"/>
  <c r="E81" i="6"/>
  <c r="E152" i="6"/>
  <c r="E149" i="6"/>
  <c r="E208" i="6"/>
  <c r="F39" i="6"/>
  <c r="F79" i="6"/>
  <c r="F80" i="6"/>
  <c r="F67" i="6"/>
  <c r="F82" i="6"/>
  <c r="F151" i="6"/>
  <c r="F57" i="6"/>
  <c r="F81" i="6"/>
  <c r="F152" i="6"/>
  <c r="F149" i="6"/>
  <c r="F208" i="6"/>
  <c r="G39" i="6"/>
  <c r="G79" i="6"/>
  <c r="G80" i="6"/>
  <c r="G67" i="6"/>
  <c r="G82" i="6"/>
  <c r="G151" i="6"/>
  <c r="G57" i="6"/>
  <c r="G81" i="6"/>
  <c r="G152" i="6"/>
  <c r="G149" i="6"/>
  <c r="G208" i="6"/>
  <c r="H39" i="6"/>
  <c r="H79" i="6"/>
  <c r="H48" i="6"/>
  <c r="H80" i="6"/>
  <c r="H67" i="6"/>
  <c r="H82" i="6"/>
  <c r="H151" i="6"/>
  <c r="H57" i="6"/>
  <c r="H81" i="6"/>
  <c r="H152" i="6"/>
  <c r="H149" i="6"/>
  <c r="H208" i="6"/>
  <c r="I208" i="6"/>
  <c r="C58" i="3"/>
  <c r="C66" i="3"/>
  <c r="D73" i="3"/>
  <c r="E9" i="6"/>
  <c r="E10" i="6"/>
  <c r="E27" i="6"/>
  <c r="F9" i="6"/>
  <c r="F10" i="6"/>
  <c r="F27" i="6"/>
  <c r="G9" i="6"/>
  <c r="G10" i="6"/>
  <c r="G27" i="6"/>
  <c r="H9" i="6"/>
  <c r="H10" i="6"/>
  <c r="H27" i="6"/>
  <c r="F6" i="6"/>
  <c r="F13" i="6"/>
  <c r="E15" i="6"/>
  <c r="F15" i="6"/>
  <c r="F14" i="6"/>
  <c r="F12" i="6"/>
  <c r="F20" i="6"/>
  <c r="F22" i="6"/>
  <c r="F24" i="6"/>
  <c r="F28" i="6"/>
  <c r="F135" i="6"/>
  <c r="F100" i="6"/>
  <c r="F91" i="6"/>
  <c r="F92" i="6"/>
  <c r="F98" i="6"/>
  <c r="F99" i="6"/>
  <c r="F101" i="6"/>
  <c r="F124" i="6"/>
  <c r="F16" i="6"/>
  <c r="F94" i="6"/>
  <c r="F93" i="6"/>
  <c r="F95" i="6"/>
  <c r="F125" i="6"/>
  <c r="F103" i="6"/>
  <c r="F104" i="6"/>
  <c r="F126" i="6"/>
  <c r="F106" i="6"/>
  <c r="F108" i="6"/>
  <c r="F111" i="6"/>
  <c r="F110" i="6"/>
  <c r="F112" i="6"/>
  <c r="F127" i="6"/>
  <c r="F119" i="6"/>
  <c r="F121" i="6"/>
  <c r="F118" i="6"/>
  <c r="F120" i="6"/>
  <c r="F115" i="6"/>
  <c r="F116" i="6"/>
  <c r="F122" i="6"/>
  <c r="F128" i="6"/>
  <c r="F129" i="6"/>
  <c r="E100" i="6"/>
  <c r="E91" i="6"/>
  <c r="E92" i="6"/>
  <c r="E98" i="6"/>
  <c r="E99" i="6"/>
  <c r="E101" i="6"/>
  <c r="E124" i="6"/>
  <c r="E14" i="6"/>
  <c r="E12" i="6"/>
  <c r="E16" i="6"/>
  <c r="E94" i="6"/>
  <c r="E93" i="6"/>
  <c r="E95" i="6"/>
  <c r="E125" i="6"/>
  <c r="E103" i="6"/>
  <c r="E104" i="6"/>
  <c r="E126" i="6"/>
  <c r="E106" i="6"/>
  <c r="E108" i="6"/>
  <c r="E111" i="6"/>
  <c r="E110" i="6"/>
  <c r="E112" i="6"/>
  <c r="E127" i="6"/>
  <c r="E119" i="6"/>
  <c r="E121" i="6"/>
  <c r="E118" i="6"/>
  <c r="E120" i="6"/>
  <c r="E115" i="6"/>
  <c r="E116" i="6"/>
  <c r="E122" i="6"/>
  <c r="E128" i="6"/>
  <c r="E129" i="6"/>
  <c r="F130" i="6"/>
  <c r="F139" i="6"/>
  <c r="F143" i="6"/>
  <c r="F134" i="6"/>
  <c r="F142" i="6"/>
  <c r="F144" i="6"/>
  <c r="F197" i="6"/>
  <c r="D6" i="6"/>
  <c r="D14" i="6"/>
  <c r="D12" i="6"/>
  <c r="D10" i="6"/>
  <c r="D20" i="6"/>
  <c r="D22" i="6"/>
  <c r="D24" i="6"/>
  <c r="D28" i="6"/>
  <c r="D27" i="6"/>
  <c r="D29" i="6"/>
  <c r="B56" i="4"/>
  <c r="E7" i="4"/>
  <c r="E9" i="4"/>
  <c r="E10" i="4"/>
  <c r="E27" i="4"/>
  <c r="F7" i="4"/>
  <c r="F9" i="4"/>
  <c r="F10" i="4"/>
  <c r="G7" i="4"/>
  <c r="G9" i="4"/>
  <c r="G10" i="4"/>
  <c r="G27" i="4"/>
  <c r="H7" i="4"/>
  <c r="D7" i="4"/>
  <c r="D10" i="4"/>
  <c r="D27" i="4"/>
  <c r="C6" i="6"/>
  <c r="C29" i="6"/>
  <c r="C26" i="6"/>
  <c r="C30" i="6"/>
  <c r="D26" i="6"/>
  <c r="C103" i="6"/>
  <c r="C104" i="6"/>
  <c r="C126" i="6"/>
  <c r="C119" i="6"/>
  <c r="C121" i="6"/>
  <c r="D119" i="6"/>
  <c r="D121" i="6"/>
  <c r="D118" i="6"/>
  <c r="D120" i="6"/>
  <c r="C118" i="6"/>
  <c r="C120" i="6"/>
  <c r="D170" i="6"/>
  <c r="E170" i="6"/>
  <c r="F170" i="6"/>
  <c r="G170" i="6"/>
  <c r="H170" i="6"/>
  <c r="C170" i="6"/>
  <c r="C106" i="6"/>
  <c r="C115" i="6"/>
  <c r="C116" i="6"/>
  <c r="C122" i="6"/>
  <c r="C179" i="6"/>
  <c r="C175" i="6"/>
  <c r="C128" i="6"/>
  <c r="D167" i="6"/>
  <c r="C166" i="6"/>
  <c r="C109" i="6"/>
  <c r="C108" i="6"/>
  <c r="C107" i="6"/>
  <c r="C111" i="6"/>
  <c r="C110" i="6"/>
  <c r="D166" i="6"/>
  <c r="D100" i="6"/>
  <c r="C100" i="6"/>
  <c r="E166" i="6"/>
  <c r="C112" i="6"/>
  <c r="C94" i="6"/>
  <c r="D91" i="6"/>
  <c r="D97" i="6"/>
  <c r="E97" i="6"/>
  <c r="F97" i="6"/>
  <c r="G91" i="6"/>
  <c r="G97" i="6"/>
  <c r="H91" i="6"/>
  <c r="H97" i="6"/>
  <c r="C91" i="6"/>
  <c r="C97" i="6"/>
  <c r="C88" i="6"/>
  <c r="C87" i="6"/>
  <c r="C86" i="6"/>
  <c r="C85" i="6"/>
  <c r="C74" i="6"/>
  <c r="I64" i="6"/>
  <c r="J64" i="6"/>
  <c r="B45" i="6"/>
  <c r="B53" i="6"/>
  <c r="B55" i="6"/>
  <c r="J65" i="6"/>
  <c r="C158" i="6"/>
  <c r="C127" i="6"/>
  <c r="G92" i="6"/>
  <c r="G98" i="6"/>
  <c r="G99" i="6"/>
  <c r="C83" i="6"/>
  <c r="E55" i="6"/>
  <c r="F55" i="6"/>
  <c r="G55" i="6"/>
  <c r="H55" i="6"/>
  <c r="I55" i="6"/>
  <c r="I97" i="6"/>
  <c r="I74" i="6"/>
  <c r="I75" i="6"/>
  <c r="I67" i="6"/>
  <c r="I65" i="6"/>
  <c r="B44" i="6"/>
  <c r="I91" i="6"/>
  <c r="C92" i="6"/>
  <c r="F166" i="6"/>
  <c r="H92" i="6"/>
  <c r="D92" i="6"/>
  <c r="C27" i="6"/>
  <c r="C134" i="6"/>
  <c r="C142" i="6"/>
  <c r="I17" i="6"/>
  <c r="D106" i="6"/>
  <c r="D115" i="6"/>
  <c r="D116" i="6"/>
  <c r="C9" i="6"/>
  <c r="I7" i="6"/>
  <c r="H6" i="6"/>
  <c r="G6" i="6"/>
  <c r="E6" i="6"/>
  <c r="I5" i="6"/>
  <c r="I26" i="6"/>
  <c r="C133" i="6"/>
  <c r="C141" i="6"/>
  <c r="D16" i="6"/>
  <c r="D94" i="6"/>
  <c r="D103" i="6"/>
  <c r="D104" i="6"/>
  <c r="D126" i="6"/>
  <c r="G13" i="6"/>
  <c r="G93" i="6"/>
  <c r="H98" i="6"/>
  <c r="H99" i="6"/>
  <c r="H93" i="6"/>
  <c r="G166" i="6"/>
  <c r="C98" i="6"/>
  <c r="C99" i="6"/>
  <c r="C101" i="6"/>
  <c r="C124" i="6"/>
  <c r="C93" i="6"/>
  <c r="C95" i="6"/>
  <c r="D122" i="6"/>
  <c r="D109" i="6"/>
  <c r="D107" i="6"/>
  <c r="D108" i="6"/>
  <c r="D98" i="6"/>
  <c r="D99" i="6"/>
  <c r="D93" i="6"/>
  <c r="C77" i="6"/>
  <c r="I18" i="6"/>
  <c r="H13" i="6"/>
  <c r="C136" i="6"/>
  <c r="I6" i="6"/>
  <c r="I23" i="6"/>
  <c r="C28" i="6"/>
  <c r="C135" i="6"/>
  <c r="C143" i="6"/>
  <c r="C144" i="6"/>
  <c r="C197" i="6"/>
  <c r="D134" i="6"/>
  <c r="D142" i="6"/>
  <c r="C65" i="4"/>
  <c r="C198" i="6"/>
  <c r="C200" i="6"/>
  <c r="E134" i="6"/>
  <c r="E142" i="6"/>
  <c r="C157" i="6"/>
  <c r="C125" i="6"/>
  <c r="C129" i="6"/>
  <c r="C145" i="6"/>
  <c r="D179" i="6"/>
  <c r="D175" i="6"/>
  <c r="D128" i="6"/>
  <c r="H119" i="6"/>
  <c r="H121" i="6"/>
  <c r="H118" i="6"/>
  <c r="H120" i="6"/>
  <c r="G118" i="6"/>
  <c r="G120" i="6"/>
  <c r="G119" i="6"/>
  <c r="G121" i="6"/>
  <c r="I13" i="6"/>
  <c r="H166" i="6"/>
  <c r="D95" i="6"/>
  <c r="E109" i="6"/>
  <c r="D110" i="6"/>
  <c r="D111" i="6"/>
  <c r="C156" i="6"/>
  <c r="C159" i="6"/>
  <c r="G15" i="6"/>
  <c r="G100" i="6"/>
  <c r="C31" i="6"/>
  <c r="C138" i="6"/>
  <c r="D105" i="4"/>
  <c r="D119" i="4"/>
  <c r="E105" i="4"/>
  <c r="E119" i="4"/>
  <c r="F105" i="4"/>
  <c r="F119" i="4"/>
  <c r="G105" i="4"/>
  <c r="G119" i="4"/>
  <c r="H105" i="4"/>
  <c r="H119" i="4"/>
  <c r="C105" i="4"/>
  <c r="C119" i="4"/>
  <c r="B202" i="6"/>
  <c r="D75" i="4"/>
  <c r="D97" i="4"/>
  <c r="E75" i="4"/>
  <c r="E97" i="4"/>
  <c r="F75" i="4"/>
  <c r="F97" i="4"/>
  <c r="G75" i="4"/>
  <c r="G97" i="4"/>
  <c r="H75" i="4"/>
  <c r="H97" i="4"/>
  <c r="C75" i="4"/>
  <c r="C97" i="4"/>
  <c r="C76" i="4"/>
  <c r="E39" i="4"/>
  <c r="E40" i="4"/>
  <c r="F39" i="4"/>
  <c r="G39" i="4"/>
  <c r="G40" i="4"/>
  <c r="H39" i="4"/>
  <c r="H40" i="4"/>
  <c r="D39" i="4"/>
  <c r="D40" i="4"/>
  <c r="C39" i="4"/>
  <c r="C40" i="4"/>
  <c r="B48" i="4"/>
  <c r="B118" i="4"/>
  <c r="I178" i="3"/>
  <c r="E186" i="3"/>
  <c r="F186" i="3"/>
  <c r="G186" i="3"/>
  <c r="D186" i="3"/>
  <c r="C184" i="3"/>
  <c r="E179" i="3"/>
  <c r="F179" i="3"/>
  <c r="F181" i="3"/>
  <c r="F185" i="3"/>
  <c r="G179" i="3"/>
  <c r="G181" i="3"/>
  <c r="H179" i="3"/>
  <c r="H181" i="3"/>
  <c r="H185" i="3"/>
  <c r="D179" i="3"/>
  <c r="D181" i="3"/>
  <c r="D185" i="3"/>
  <c r="C9" i="4"/>
  <c r="I23" i="4"/>
  <c r="F13" i="4"/>
  <c r="G13" i="4"/>
  <c r="E18" i="4"/>
  <c r="F18" i="4"/>
  <c r="G18" i="4"/>
  <c r="H18" i="4"/>
  <c r="D18" i="4"/>
  <c r="C27" i="4"/>
  <c r="C26" i="4"/>
  <c r="I26" i="4"/>
  <c r="C20" i="4"/>
  <c r="C22" i="4"/>
  <c r="I17" i="4"/>
  <c r="H6" i="4"/>
  <c r="G6" i="4"/>
  <c r="F6" i="4"/>
  <c r="E6" i="4"/>
  <c r="D6" i="4"/>
  <c r="C6" i="4"/>
  <c r="I5" i="4"/>
  <c r="H154" i="3"/>
  <c r="G154" i="3"/>
  <c r="F154" i="3"/>
  <c r="E154" i="3"/>
  <c r="D154" i="3"/>
  <c r="C154" i="3"/>
  <c r="H149" i="3"/>
  <c r="G149" i="3"/>
  <c r="F149" i="3"/>
  <c r="E149" i="3"/>
  <c r="D149" i="3"/>
  <c r="C149" i="3"/>
  <c r="E107" i="6"/>
  <c r="E20" i="6"/>
  <c r="E34" i="6"/>
  <c r="C146" i="6"/>
  <c r="C160" i="6"/>
  <c r="C154" i="6"/>
  <c r="C162" i="6"/>
  <c r="E157" i="6"/>
  <c r="D101" i="6"/>
  <c r="D124" i="6"/>
  <c r="D157" i="6"/>
  <c r="D125" i="6"/>
  <c r="D133" i="6"/>
  <c r="D141" i="6"/>
  <c r="C137" i="6"/>
  <c r="E179" i="6"/>
  <c r="E175" i="6"/>
  <c r="D112" i="6"/>
  <c r="D156" i="6"/>
  <c r="D159" i="6"/>
  <c r="D32" i="6"/>
  <c r="C169" i="6"/>
  <c r="E21" i="4"/>
  <c r="F107" i="6"/>
  <c r="F109" i="6"/>
  <c r="D77" i="6"/>
  <c r="D21" i="4"/>
  <c r="H15" i="6"/>
  <c r="H100" i="6"/>
  <c r="G14" i="6"/>
  <c r="E22" i="6"/>
  <c r="E24" i="6"/>
  <c r="E25" i="6"/>
  <c r="G106" i="6"/>
  <c r="G115" i="6"/>
  <c r="G116" i="6"/>
  <c r="F188" i="3"/>
  <c r="E181" i="3"/>
  <c r="E185" i="3"/>
  <c r="E188" i="3"/>
  <c r="H188" i="3"/>
  <c r="D188" i="3"/>
  <c r="D180" i="3"/>
  <c r="G188" i="3"/>
  <c r="G185" i="3"/>
  <c r="G180" i="3"/>
  <c r="F180" i="3"/>
  <c r="H180" i="3"/>
  <c r="C180" i="3"/>
  <c r="F40" i="4"/>
  <c r="I184" i="3"/>
  <c r="I6" i="4"/>
  <c r="C167" i="3"/>
  <c r="E160" i="3"/>
  <c r="F160" i="3"/>
  <c r="G160" i="3"/>
  <c r="H160" i="3"/>
  <c r="D160" i="3"/>
  <c r="C160" i="3"/>
  <c r="C119" i="3"/>
  <c r="C130" i="3"/>
  <c r="I188" i="3"/>
  <c r="G12" i="6"/>
  <c r="G20" i="6"/>
  <c r="G103" i="6"/>
  <c r="G104" i="6"/>
  <c r="G126" i="6"/>
  <c r="F179" i="6"/>
  <c r="F175" i="6"/>
  <c r="D158" i="6"/>
  <c r="D127" i="6"/>
  <c r="D129" i="6"/>
  <c r="E159" i="6"/>
  <c r="F21" i="4"/>
  <c r="E77" i="6"/>
  <c r="I57" i="6"/>
  <c r="J57" i="6"/>
  <c r="D168" i="6"/>
  <c r="C164" i="6"/>
  <c r="C181" i="6"/>
  <c r="G122" i="6"/>
  <c r="G107" i="6"/>
  <c r="G108" i="6"/>
  <c r="G109" i="6"/>
  <c r="H106" i="6"/>
  <c r="H115" i="6"/>
  <c r="H116" i="6"/>
  <c r="I9" i="6"/>
  <c r="G16" i="6"/>
  <c r="G94" i="6"/>
  <c r="G95" i="6"/>
  <c r="G134" i="6"/>
  <c r="G142" i="6"/>
  <c r="H14" i="6"/>
  <c r="I15" i="6"/>
  <c r="E35" i="6"/>
  <c r="C89" i="4"/>
  <c r="C98" i="4"/>
  <c r="C107" i="4"/>
  <c r="I181" i="3"/>
  <c r="E180" i="3"/>
  <c r="I180" i="3"/>
  <c r="I182" i="3"/>
  <c r="E187" i="3"/>
  <c r="H187" i="3"/>
  <c r="G187" i="3"/>
  <c r="D187" i="3"/>
  <c r="C168" i="3"/>
  <c r="C187" i="3"/>
  <c r="F187" i="3"/>
  <c r="D53" i="3"/>
  <c r="E53" i="3"/>
  <c r="F53" i="3"/>
  <c r="G53" i="3"/>
  <c r="H53" i="3"/>
  <c r="C53" i="3"/>
  <c r="E130" i="3"/>
  <c r="E156" i="6"/>
  <c r="D135" i="6"/>
  <c r="I10" i="6"/>
  <c r="D25" i="6"/>
  <c r="D212" i="6"/>
  <c r="D214" i="6"/>
  <c r="D130" i="6"/>
  <c r="D139" i="6"/>
  <c r="D143" i="6"/>
  <c r="D144" i="6"/>
  <c r="F157" i="6"/>
  <c r="G157" i="6"/>
  <c r="G125" i="6"/>
  <c r="H12" i="6"/>
  <c r="I12" i="6"/>
  <c r="H103" i="6"/>
  <c r="H104" i="6"/>
  <c r="H126" i="6"/>
  <c r="G22" i="6"/>
  <c r="G24" i="6"/>
  <c r="G25" i="6"/>
  <c r="G179" i="6"/>
  <c r="G175" i="6"/>
  <c r="G128" i="6"/>
  <c r="E158" i="6"/>
  <c r="H122" i="6"/>
  <c r="H109" i="6"/>
  <c r="H108" i="6"/>
  <c r="H107" i="6"/>
  <c r="F77" i="6"/>
  <c r="G111" i="6"/>
  <c r="G110" i="6"/>
  <c r="I46" i="6"/>
  <c r="I14" i="6"/>
  <c r="F34" i="6"/>
  <c r="G34" i="6"/>
  <c r="C121" i="3"/>
  <c r="E132" i="3"/>
  <c r="C132" i="3"/>
  <c r="G101" i="6"/>
  <c r="G124" i="6"/>
  <c r="G21" i="4"/>
  <c r="E130" i="6"/>
  <c r="E139" i="6"/>
  <c r="I27" i="6"/>
  <c r="H134" i="6"/>
  <c r="H142" i="6"/>
  <c r="H16" i="6"/>
  <c r="I16" i="6"/>
  <c r="H20" i="6"/>
  <c r="I20" i="6"/>
  <c r="G112" i="6"/>
  <c r="G158" i="6"/>
  <c r="H179" i="6"/>
  <c r="H175" i="6"/>
  <c r="H128" i="6"/>
  <c r="F158" i="6"/>
  <c r="F156" i="6"/>
  <c r="F159" i="6"/>
  <c r="H110" i="6"/>
  <c r="H111" i="6"/>
  <c r="G156" i="6"/>
  <c r="G159" i="6"/>
  <c r="G77" i="6"/>
  <c r="F35" i="6"/>
  <c r="F25" i="6"/>
  <c r="F212" i="6"/>
  <c r="F214" i="6"/>
  <c r="G35" i="6"/>
  <c r="E119" i="3"/>
  <c r="E121" i="3"/>
  <c r="F119" i="3"/>
  <c r="F121" i="3"/>
  <c r="G119" i="3"/>
  <c r="G121" i="3"/>
  <c r="H119" i="3"/>
  <c r="H121" i="3"/>
  <c r="D119" i="3"/>
  <c r="D121" i="3"/>
  <c r="D112" i="3"/>
  <c r="E112" i="3"/>
  <c r="F112" i="3"/>
  <c r="G112" i="3"/>
  <c r="H112" i="3"/>
  <c r="H79" i="3"/>
  <c r="G79" i="3"/>
  <c r="F79" i="3"/>
  <c r="E79" i="3"/>
  <c r="D79" i="3"/>
  <c r="C79" i="3"/>
  <c r="H77" i="3"/>
  <c r="G77" i="3"/>
  <c r="F77" i="3"/>
  <c r="E77" i="3"/>
  <c r="D77" i="3"/>
  <c r="C77" i="3"/>
  <c r="H75" i="3"/>
  <c r="G75" i="3"/>
  <c r="F75" i="3"/>
  <c r="E75" i="3"/>
  <c r="D75" i="3"/>
  <c r="C75" i="3"/>
  <c r="H73" i="3"/>
  <c r="G73" i="3"/>
  <c r="F73" i="3"/>
  <c r="E73" i="3"/>
  <c r="C73" i="3"/>
  <c r="H47" i="3"/>
  <c r="H46" i="3"/>
  <c r="G46" i="3"/>
  <c r="F46" i="3"/>
  <c r="E46" i="3"/>
  <c r="D46" i="3"/>
  <c r="C46" i="3"/>
  <c r="C41" i="3"/>
  <c r="C24" i="3"/>
  <c r="C63" i="3"/>
  <c r="C23" i="3"/>
  <c r="I23" i="3"/>
  <c r="I20" i="3"/>
  <c r="I16" i="3"/>
  <c r="I15" i="3"/>
  <c r="E63" i="3"/>
  <c r="H94" i="6"/>
  <c r="H95" i="6"/>
  <c r="H157" i="6"/>
  <c r="H34" i="6"/>
  <c r="I34" i="6"/>
  <c r="H112" i="6"/>
  <c r="H158" i="6"/>
  <c r="G127" i="6"/>
  <c r="I83" i="6"/>
  <c r="F169" i="6"/>
  <c r="G32" i="6"/>
  <c r="G131" i="3"/>
  <c r="G120" i="3"/>
  <c r="D131" i="3"/>
  <c r="D120" i="3"/>
  <c r="E120" i="3"/>
  <c r="E47" i="3"/>
  <c r="C64" i="3"/>
  <c r="C47" i="3"/>
  <c r="I13" i="3"/>
  <c r="D47" i="3"/>
  <c r="I6" i="3"/>
  <c r="I5" i="3"/>
  <c r="C25" i="3"/>
  <c r="C61" i="3"/>
  <c r="E14" i="3"/>
  <c r="C27" i="3"/>
  <c r="D23" i="3"/>
  <c r="F47" i="3"/>
  <c r="C39" i="3"/>
  <c r="G47" i="3"/>
  <c r="H125" i="6"/>
  <c r="G129" i="6"/>
  <c r="G130" i="6"/>
  <c r="G139" i="6"/>
  <c r="H127" i="6"/>
  <c r="I54" i="6"/>
  <c r="H21" i="4"/>
  <c r="I21" i="6"/>
  <c r="H22" i="6"/>
  <c r="H24" i="6"/>
  <c r="H28" i="6"/>
  <c r="C120" i="3"/>
  <c r="H131" i="3"/>
  <c r="H120" i="3"/>
  <c r="F131" i="3"/>
  <c r="F120" i="3"/>
  <c r="I8" i="3"/>
  <c r="I11" i="3"/>
  <c r="C22" i="3"/>
  <c r="C36" i="3"/>
  <c r="H77" i="6"/>
  <c r="H101" i="6"/>
  <c r="H124" i="6"/>
  <c r="I22" i="6"/>
  <c r="H35" i="6"/>
  <c r="I35" i="6"/>
  <c r="C118" i="3"/>
  <c r="C123" i="3"/>
  <c r="C143" i="3"/>
  <c r="C52" i="3"/>
  <c r="C45" i="3"/>
  <c r="C159" i="3"/>
  <c r="C76" i="3"/>
  <c r="C65" i="3"/>
  <c r="C78" i="3"/>
  <c r="C80" i="3"/>
  <c r="C74" i="3"/>
  <c r="C62" i="3"/>
  <c r="C37" i="3"/>
  <c r="H129" i="6"/>
  <c r="H130" i="6"/>
  <c r="H139" i="6"/>
  <c r="H156" i="6"/>
  <c r="H159" i="6"/>
  <c r="C122" i="3"/>
  <c r="C166" i="3"/>
  <c r="C162" i="3"/>
  <c r="C98" i="3"/>
  <c r="C106" i="3"/>
  <c r="C48" i="3"/>
  <c r="C54" i="3"/>
  <c r="C148" i="3"/>
  <c r="C153" i="3"/>
  <c r="C90" i="3"/>
  <c r="C91" i="3"/>
  <c r="C96" i="3"/>
  <c r="C105" i="3"/>
  <c r="C161" i="3"/>
  <c r="E15" i="4"/>
  <c r="F15" i="4"/>
  <c r="G15" i="4"/>
  <c r="H15" i="4"/>
  <c r="I15" i="4"/>
  <c r="E98" i="9"/>
  <c r="E99" i="9"/>
  <c r="E249" i="9"/>
  <c r="F249" i="9" s="1"/>
  <c r="G249" i="9"/>
  <c r="H249" i="9" s="1"/>
  <c r="H218" i="9"/>
  <c r="G212" i="6"/>
  <c r="G214" i="6"/>
  <c r="H32" i="6"/>
  <c r="G36" i="6"/>
  <c r="G169" i="6"/>
  <c r="G209" i="6"/>
  <c r="E212" i="6"/>
  <c r="E214" i="6"/>
  <c r="E209" i="6"/>
  <c r="F32" i="6"/>
  <c r="E169" i="6"/>
  <c r="H135" i="6"/>
  <c r="H143" i="6"/>
  <c r="H144" i="6"/>
  <c r="H197" i="6"/>
  <c r="H29" i="6"/>
  <c r="H136" i="6"/>
  <c r="F202" i="6"/>
  <c r="F203" i="6"/>
  <c r="G28" i="6"/>
  <c r="I24" i="6"/>
  <c r="H25" i="6"/>
  <c r="F29" i="6"/>
  <c r="F136" i="6"/>
  <c r="E28" i="6"/>
  <c r="F209" i="6"/>
  <c r="F36" i="6"/>
  <c r="E141" i="6"/>
  <c r="D145" i="6"/>
  <c r="D197" i="6"/>
  <c r="D136" i="6"/>
  <c r="D30" i="6"/>
  <c r="D31" i="6"/>
  <c r="I25" i="6"/>
  <c r="D169" i="6"/>
  <c r="D209" i="6"/>
  <c r="E32" i="6"/>
  <c r="E36" i="6"/>
  <c r="F166" i="9"/>
  <c r="D14" i="4"/>
  <c r="D12" i="4"/>
  <c r="H14" i="4"/>
  <c r="H12" i="3"/>
  <c r="H10" i="3"/>
  <c r="H14" i="3"/>
  <c r="G9" i="3"/>
  <c r="G24" i="3"/>
  <c r="G63" i="3"/>
  <c r="D24" i="3"/>
  <c r="E26" i="3"/>
  <c r="E31" i="3"/>
  <c r="E32" i="3"/>
  <c r="E61" i="3"/>
  <c r="G14" i="4"/>
  <c r="G12" i="4"/>
  <c r="G16" i="4"/>
  <c r="D12" i="3"/>
  <c r="D10" i="3"/>
  <c r="D14" i="3"/>
  <c r="D41" i="3"/>
  <c r="E41" i="3"/>
  <c r="F41" i="3"/>
  <c r="G41" i="3"/>
  <c r="H41" i="3"/>
  <c r="F12" i="3"/>
  <c r="F10" i="3"/>
  <c r="F14" i="3"/>
  <c r="I18" i="3"/>
  <c r="E22" i="3"/>
  <c r="I21" i="4"/>
  <c r="I7" i="4"/>
  <c r="F14" i="4"/>
  <c r="F12" i="4"/>
  <c r="F16" i="4"/>
  <c r="I7" i="3"/>
  <c r="C115" i="4"/>
  <c r="C85" i="4"/>
  <c r="C106" i="4"/>
  <c r="H13" i="4"/>
  <c r="I13" i="4"/>
  <c r="E14" i="4"/>
  <c r="E12" i="4"/>
  <c r="F27" i="4"/>
  <c r="I18" i="4"/>
  <c r="C203" i="6"/>
  <c r="C202" i="6"/>
  <c r="H9" i="4"/>
  <c r="H10" i="4"/>
  <c r="I10" i="4"/>
  <c r="I9" i="4"/>
  <c r="C24" i="4"/>
  <c r="C28" i="4"/>
  <c r="E135" i="6"/>
  <c r="E143" i="6"/>
  <c r="E144" i="6"/>
  <c r="E197" i="6"/>
  <c r="E29" i="6"/>
  <c r="G135" i="6"/>
  <c r="G143" i="6"/>
  <c r="G144" i="6"/>
  <c r="G197" i="6"/>
  <c r="G29" i="6"/>
  <c r="G136" i="6"/>
  <c r="H36" i="6"/>
  <c r="I36" i="6"/>
  <c r="E145" i="6"/>
  <c r="F141" i="6"/>
  <c r="F145" i="6"/>
  <c r="H203" i="6"/>
  <c r="H202" i="6"/>
  <c r="I28" i="6"/>
  <c r="H212" i="6"/>
  <c r="H214" i="6"/>
  <c r="I214" i="6"/>
  <c r="H169" i="6"/>
  <c r="H209" i="6"/>
  <c r="I209" i="6"/>
  <c r="I210" i="6"/>
  <c r="D137" i="6"/>
  <c r="E26" i="6"/>
  <c r="E160" i="6"/>
  <c r="E154" i="6"/>
  <c r="E162" i="6"/>
  <c r="I32" i="6"/>
  <c r="E167" i="6"/>
  <c r="D138" i="6"/>
  <c r="E31" i="6"/>
  <c r="D202" i="6"/>
  <c r="D203" i="6"/>
  <c r="D164" i="6"/>
  <c r="D181" i="6"/>
  <c r="E168" i="6"/>
  <c r="F168" i="6"/>
  <c r="G168" i="6"/>
  <c r="H168" i="6"/>
  <c r="D160" i="6"/>
  <c r="D154" i="6"/>
  <c r="D162" i="6"/>
  <c r="D146" i="6"/>
  <c r="G166" i="9"/>
  <c r="H166" i="9" s="1"/>
  <c r="E248" i="9"/>
  <c r="F248" i="9"/>
  <c r="G248" i="9" s="1"/>
  <c r="H248" i="9"/>
  <c r="G17" i="3"/>
  <c r="G19" i="3"/>
  <c r="G21" i="3"/>
  <c r="G25" i="3"/>
  <c r="I24" i="3"/>
  <c r="I10" i="3"/>
  <c r="F17" i="3"/>
  <c r="F19" i="3"/>
  <c r="F21" i="3"/>
  <c r="F22" i="3"/>
  <c r="I9" i="3"/>
  <c r="D17" i="3"/>
  <c r="D19" i="3"/>
  <c r="D21" i="3"/>
  <c r="D22" i="3"/>
  <c r="H17" i="3"/>
  <c r="H19" i="3"/>
  <c r="H21" i="3"/>
  <c r="H22" i="3"/>
  <c r="H12" i="4"/>
  <c r="H16" i="4"/>
  <c r="D63" i="3"/>
  <c r="D64" i="3"/>
  <c r="E64" i="3"/>
  <c r="F64" i="3"/>
  <c r="G64" i="3"/>
  <c r="H64" i="3"/>
  <c r="I64" i="3"/>
  <c r="I12" i="3"/>
  <c r="F20" i="4"/>
  <c r="F22" i="4"/>
  <c r="I14" i="3"/>
  <c r="I14" i="4"/>
  <c r="E45" i="3"/>
  <c r="E48" i="3"/>
  <c r="E159" i="3"/>
  <c r="E58" i="3"/>
  <c r="E86" i="3"/>
  <c r="E52" i="3"/>
  <c r="E54" i="3"/>
  <c r="E118" i="3"/>
  <c r="E40" i="3"/>
  <c r="G115" i="4"/>
  <c r="G85" i="4"/>
  <c r="C29" i="4"/>
  <c r="H27" i="4"/>
  <c r="I27" i="4"/>
  <c r="E16" i="4"/>
  <c r="E20" i="4"/>
  <c r="D115" i="4"/>
  <c r="D85" i="4"/>
  <c r="G20" i="4"/>
  <c r="C25" i="4"/>
  <c r="E115" i="4"/>
  <c r="E85" i="4"/>
  <c r="F115" i="4"/>
  <c r="F85" i="4"/>
  <c r="D16" i="4"/>
  <c r="D20" i="4"/>
  <c r="G203" i="6"/>
  <c r="G202" i="6"/>
  <c r="E136" i="6"/>
  <c r="I29" i="6"/>
  <c r="E146" i="6"/>
  <c r="F146" i="6"/>
  <c r="I199" i="6"/>
  <c r="E202" i="6"/>
  <c r="I202" i="6"/>
  <c r="I197" i="6"/>
  <c r="F31" i="6"/>
  <c r="E138" i="6"/>
  <c r="F160" i="6"/>
  <c r="F154" i="6"/>
  <c r="F162" i="6"/>
  <c r="G141" i="6"/>
  <c r="G145" i="6"/>
  <c r="E164" i="6"/>
  <c r="E181" i="6"/>
  <c r="F167" i="6"/>
  <c r="E30" i="6"/>
  <c r="E133" i="6"/>
  <c r="I63" i="3"/>
  <c r="F25" i="3"/>
  <c r="F61" i="3"/>
  <c r="I17" i="3"/>
  <c r="H25" i="3"/>
  <c r="H61" i="3"/>
  <c r="I12" i="4"/>
  <c r="H20" i="4"/>
  <c r="H34" i="4"/>
  <c r="I19" i="3"/>
  <c r="D25" i="3"/>
  <c r="D26" i="3"/>
  <c r="G22" i="3"/>
  <c r="I22" i="3"/>
  <c r="F34" i="4"/>
  <c r="E129" i="3"/>
  <c r="E88" i="3"/>
  <c r="E98" i="3"/>
  <c r="E106" i="3"/>
  <c r="E166" i="3"/>
  <c r="E162" i="3"/>
  <c r="E123" i="3"/>
  <c r="E143" i="3"/>
  <c r="E122" i="3"/>
  <c r="E97" i="3"/>
  <c r="E111" i="3"/>
  <c r="E113" i="3"/>
  <c r="G61" i="3"/>
  <c r="G26" i="3"/>
  <c r="E66" i="3"/>
  <c r="I21" i="3"/>
  <c r="G34" i="4"/>
  <c r="G22" i="4"/>
  <c r="H115" i="4"/>
  <c r="H85" i="4"/>
  <c r="I16" i="4"/>
  <c r="F88" i="4"/>
  <c r="F106" i="4"/>
  <c r="D106" i="4"/>
  <c r="D107" i="4"/>
  <c r="D88" i="4"/>
  <c r="D89" i="4"/>
  <c r="E22" i="4"/>
  <c r="F35" i="4"/>
  <c r="E34" i="4"/>
  <c r="C38" i="4"/>
  <c r="C74" i="4"/>
  <c r="C31" i="4"/>
  <c r="C30" i="4"/>
  <c r="D26" i="4"/>
  <c r="C63" i="4"/>
  <c r="F24" i="4"/>
  <c r="F28" i="4"/>
  <c r="F29" i="4"/>
  <c r="G88" i="4"/>
  <c r="G106" i="4"/>
  <c r="D22" i="4"/>
  <c r="E88" i="4"/>
  <c r="E106" i="4"/>
  <c r="G160" i="6"/>
  <c r="G154" i="6"/>
  <c r="G162" i="6"/>
  <c r="H141" i="6"/>
  <c r="H145" i="6"/>
  <c r="H160" i="6"/>
  <c r="H154" i="6"/>
  <c r="H162" i="6"/>
  <c r="F138" i="6"/>
  <c r="G31" i="6"/>
  <c r="E137" i="6"/>
  <c r="F26" i="6"/>
  <c r="F164" i="6"/>
  <c r="F181" i="6"/>
  <c r="G167" i="6"/>
  <c r="G146" i="6"/>
  <c r="H22" i="4"/>
  <c r="H35" i="4"/>
  <c r="F26" i="3"/>
  <c r="F31" i="3"/>
  <c r="F32" i="3"/>
  <c r="H26" i="3"/>
  <c r="H31" i="3"/>
  <c r="H32" i="3"/>
  <c r="H118" i="3"/>
  <c r="D61" i="3"/>
  <c r="I61" i="3"/>
  <c r="I25" i="3"/>
  <c r="I20" i="4"/>
  <c r="H86" i="3"/>
  <c r="H88" i="3"/>
  <c r="H98" i="3"/>
  <c r="H106" i="3"/>
  <c r="F25" i="4"/>
  <c r="F32" i="4"/>
  <c r="H45" i="3"/>
  <c r="H48" i="3"/>
  <c r="H111" i="3"/>
  <c r="H113" i="3"/>
  <c r="H159" i="3"/>
  <c r="H162" i="3"/>
  <c r="H40" i="3"/>
  <c r="H52" i="3"/>
  <c r="H54" i="3"/>
  <c r="G31" i="3"/>
  <c r="G32" i="3"/>
  <c r="H123" i="3"/>
  <c r="H143" i="3"/>
  <c r="H122" i="3"/>
  <c r="H129" i="3"/>
  <c r="D28" i="3"/>
  <c r="D31" i="3"/>
  <c r="D27" i="3"/>
  <c r="E23" i="3"/>
  <c r="E27" i="3"/>
  <c r="F23" i="3"/>
  <c r="E133" i="3"/>
  <c r="E134" i="3"/>
  <c r="E148" i="3"/>
  <c r="E153" i="3"/>
  <c r="C66" i="4"/>
  <c r="C87" i="4"/>
  <c r="C43" i="4"/>
  <c r="C78" i="4"/>
  <c r="C77" i="4"/>
  <c r="E89" i="4"/>
  <c r="D98" i="4"/>
  <c r="H88" i="4"/>
  <c r="H106" i="4"/>
  <c r="H108" i="4"/>
  <c r="G108" i="4"/>
  <c r="F108" i="4"/>
  <c r="E108" i="4"/>
  <c r="D108" i="4"/>
  <c r="D24" i="4"/>
  <c r="D25" i="4"/>
  <c r="C41" i="4"/>
  <c r="C114" i="4"/>
  <c r="E107" i="4"/>
  <c r="F107" i="4"/>
  <c r="G107" i="4"/>
  <c r="H107" i="4"/>
  <c r="I115" i="4"/>
  <c r="B117" i="4"/>
  <c r="E24" i="4"/>
  <c r="E28" i="4"/>
  <c r="E29" i="4"/>
  <c r="E35" i="4"/>
  <c r="F38" i="4"/>
  <c r="F63" i="4"/>
  <c r="F74" i="4"/>
  <c r="I34" i="4"/>
  <c r="G24" i="4"/>
  <c r="G28" i="4"/>
  <c r="G29" i="4"/>
  <c r="G35" i="4"/>
  <c r="H146" i="6"/>
  <c r="H167" i="6"/>
  <c r="H164" i="6"/>
  <c r="H181" i="6"/>
  <c r="G164" i="6"/>
  <c r="G181" i="6"/>
  <c r="G138" i="6"/>
  <c r="H31" i="6"/>
  <c r="F133" i="6"/>
  <c r="F30" i="6"/>
  <c r="F27" i="3"/>
  <c r="G23" i="3"/>
  <c r="G27" i="3"/>
  <c r="H23" i="3"/>
  <c r="H27" i="3"/>
  <c r="I27" i="3"/>
  <c r="H24" i="4"/>
  <c r="H28" i="4"/>
  <c r="H29" i="4"/>
  <c r="H38" i="4"/>
  <c r="D62" i="3"/>
  <c r="E62" i="3"/>
  <c r="F62" i="3"/>
  <c r="G62" i="3"/>
  <c r="H62" i="3"/>
  <c r="I62" i="3"/>
  <c r="H58" i="3"/>
  <c r="H66" i="3"/>
  <c r="I26" i="3"/>
  <c r="I22" i="4"/>
  <c r="H97" i="3"/>
  <c r="H166" i="3"/>
  <c r="E25" i="4"/>
  <c r="E32" i="4"/>
  <c r="G45" i="3"/>
  <c r="G48" i="3"/>
  <c r="G58" i="3"/>
  <c r="G52" i="3"/>
  <c r="G54" i="3"/>
  <c r="G159" i="3"/>
  <c r="G86" i="3"/>
  <c r="G40" i="3"/>
  <c r="G118" i="3"/>
  <c r="H25" i="4"/>
  <c r="H32" i="4"/>
  <c r="H148" i="3"/>
  <c r="H153" i="3"/>
  <c r="H133" i="3"/>
  <c r="H134" i="3"/>
  <c r="D32" i="3"/>
  <c r="I31" i="3"/>
  <c r="D36" i="3"/>
  <c r="D39" i="3"/>
  <c r="E28" i="3"/>
  <c r="F58" i="3"/>
  <c r="F86" i="3"/>
  <c r="F159" i="3"/>
  <c r="F40" i="3"/>
  <c r="F45" i="3"/>
  <c r="F48" i="3"/>
  <c r="F118" i="3"/>
  <c r="F52" i="3"/>
  <c r="F54" i="3"/>
  <c r="G63" i="4"/>
  <c r="G38" i="4"/>
  <c r="G74" i="4"/>
  <c r="F87" i="4"/>
  <c r="E74" i="4"/>
  <c r="E38" i="4"/>
  <c r="E63" i="4"/>
  <c r="D28" i="4"/>
  <c r="C96" i="4"/>
  <c r="C90" i="4"/>
  <c r="F114" i="4"/>
  <c r="F41" i="4"/>
  <c r="B196" i="6"/>
  <c r="B203" i="6"/>
  <c r="B64" i="4"/>
  <c r="B85" i="4"/>
  <c r="B106" i="4"/>
  <c r="B98" i="4"/>
  <c r="D32" i="4"/>
  <c r="F89" i="4"/>
  <c r="E98" i="4"/>
  <c r="G25" i="4"/>
  <c r="F78" i="4"/>
  <c r="F77" i="4"/>
  <c r="I35" i="4"/>
  <c r="F120" i="4"/>
  <c r="C120" i="4"/>
  <c r="C121" i="4"/>
  <c r="H120" i="4"/>
  <c r="E120" i="4"/>
  <c r="G120" i="4"/>
  <c r="D120" i="4"/>
  <c r="C44" i="4"/>
  <c r="C71" i="4"/>
  <c r="I31" i="6"/>
  <c r="H138" i="6"/>
  <c r="F137" i="6"/>
  <c r="G26" i="6"/>
  <c r="E64" i="4"/>
  <c r="E65" i="4"/>
  <c r="H63" i="4"/>
  <c r="H87" i="4"/>
  <c r="I24" i="4"/>
  <c r="H74" i="4"/>
  <c r="H77" i="4"/>
  <c r="F36" i="4"/>
  <c r="E36" i="4"/>
  <c r="I25" i="4"/>
  <c r="F122" i="3"/>
  <c r="F123" i="3"/>
  <c r="F143" i="3"/>
  <c r="F28" i="3"/>
  <c r="E39" i="3"/>
  <c r="E36" i="3"/>
  <c r="D118" i="3"/>
  <c r="D45" i="3"/>
  <c r="D74" i="3"/>
  <c r="E74" i="3"/>
  <c r="F74" i="3"/>
  <c r="G74" i="3"/>
  <c r="H74" i="3"/>
  <c r="D76" i="3"/>
  <c r="E76" i="3"/>
  <c r="F76" i="3"/>
  <c r="G76" i="3"/>
  <c r="H76" i="3"/>
  <c r="D78" i="3"/>
  <c r="E78" i="3"/>
  <c r="F78" i="3"/>
  <c r="G78" i="3"/>
  <c r="H78" i="3"/>
  <c r="D80" i="3"/>
  <c r="E80" i="3"/>
  <c r="F80" i="3"/>
  <c r="G80" i="3"/>
  <c r="H80" i="3"/>
  <c r="D40" i="3"/>
  <c r="I71" i="3"/>
  <c r="I32" i="3"/>
  <c r="D159" i="3"/>
  <c r="D86" i="3"/>
  <c r="I67" i="3"/>
  <c r="D52" i="3"/>
  <c r="D58" i="3"/>
  <c r="H36" i="4"/>
  <c r="F162" i="3"/>
  <c r="F166" i="3"/>
  <c r="G88" i="3"/>
  <c r="G98" i="3"/>
  <c r="G106" i="3"/>
  <c r="G129" i="3"/>
  <c r="F97" i="3"/>
  <c r="F111" i="3"/>
  <c r="F113" i="3"/>
  <c r="F129" i="3"/>
  <c r="F88" i="3"/>
  <c r="F98" i="3"/>
  <c r="F106" i="3"/>
  <c r="E37" i="3"/>
  <c r="D37" i="3"/>
  <c r="G66" i="3"/>
  <c r="F66" i="3"/>
  <c r="G122" i="3"/>
  <c r="G123" i="3"/>
  <c r="G143" i="3"/>
  <c r="G162" i="3"/>
  <c r="G166" i="3"/>
  <c r="G97" i="3"/>
  <c r="G111" i="3"/>
  <c r="G113" i="3"/>
  <c r="I206" i="6"/>
  <c r="B204" i="6"/>
  <c r="I204" i="6"/>
  <c r="E114" i="4"/>
  <c r="E121" i="4"/>
  <c r="E41" i="4"/>
  <c r="F90" i="4"/>
  <c r="F96" i="4"/>
  <c r="G87" i="4"/>
  <c r="F98" i="4"/>
  <c r="G89" i="4"/>
  <c r="C70" i="4"/>
  <c r="H64" i="4"/>
  <c r="H65" i="4"/>
  <c r="B76" i="4"/>
  <c r="F64" i="4"/>
  <c r="F65" i="4"/>
  <c r="G64" i="4"/>
  <c r="G65" i="4"/>
  <c r="D64" i="4"/>
  <c r="D65" i="4"/>
  <c r="C104" i="4"/>
  <c r="C99" i="4"/>
  <c r="C109" i="4"/>
  <c r="C100" i="4"/>
  <c r="H114" i="4"/>
  <c r="H121" i="4"/>
  <c r="H41" i="4"/>
  <c r="I46" i="4"/>
  <c r="E66" i="4"/>
  <c r="E87" i="4"/>
  <c r="G41" i="4"/>
  <c r="G114" i="4"/>
  <c r="G121" i="4"/>
  <c r="F121" i="4"/>
  <c r="G32" i="4"/>
  <c r="I32" i="4"/>
  <c r="G36" i="4"/>
  <c r="C93" i="4"/>
  <c r="H78" i="4"/>
  <c r="D29" i="4"/>
  <c r="I28" i="4"/>
  <c r="E77" i="4"/>
  <c r="G78" i="4"/>
  <c r="G77" i="4"/>
  <c r="G30" i="6"/>
  <c r="G133" i="6"/>
  <c r="I36" i="4"/>
  <c r="F134" i="3"/>
  <c r="F148" i="3"/>
  <c r="F153" i="3"/>
  <c r="F133" i="3"/>
  <c r="D129" i="3"/>
  <c r="D88" i="3"/>
  <c r="I82" i="4"/>
  <c r="D65" i="3"/>
  <c r="E65" i="3"/>
  <c r="F65" i="3"/>
  <c r="G65" i="3"/>
  <c r="H65" i="3"/>
  <c r="I65" i="3"/>
  <c r="D66" i="3"/>
  <c r="I66" i="3"/>
  <c r="I58" i="3"/>
  <c r="D166" i="3"/>
  <c r="I166" i="3"/>
  <c r="I159" i="3"/>
  <c r="D162" i="3"/>
  <c r="I162" i="3"/>
  <c r="I45" i="3"/>
  <c r="D48" i="3"/>
  <c r="F36" i="3"/>
  <c r="G28" i="3"/>
  <c r="F39" i="3"/>
  <c r="D54" i="3"/>
  <c r="I54" i="3"/>
  <c r="I52" i="3"/>
  <c r="I118" i="3"/>
  <c r="D123" i="3"/>
  <c r="D122" i="3"/>
  <c r="I122" i="3"/>
  <c r="I124" i="3"/>
  <c r="G134" i="3"/>
  <c r="G148" i="3"/>
  <c r="G153" i="3"/>
  <c r="G133" i="3"/>
  <c r="G198" i="6"/>
  <c r="G76" i="4"/>
  <c r="H76" i="4"/>
  <c r="H198" i="6"/>
  <c r="G98" i="4"/>
  <c r="H89" i="4"/>
  <c r="H98" i="4"/>
  <c r="G90" i="4"/>
  <c r="G96" i="4"/>
  <c r="E90" i="4"/>
  <c r="E96" i="4"/>
  <c r="C110" i="4"/>
  <c r="F76" i="4"/>
  <c r="F198" i="6"/>
  <c r="F66" i="4"/>
  <c r="F109" i="4"/>
  <c r="F99" i="4"/>
  <c r="F104" i="4"/>
  <c r="F110" i="4"/>
  <c r="F100" i="4"/>
  <c r="H66" i="4"/>
  <c r="D74" i="4"/>
  <c r="D30" i="4"/>
  <c r="E26" i="4"/>
  <c r="E30" i="4"/>
  <c r="F26" i="4"/>
  <c r="F30" i="4"/>
  <c r="G26" i="4"/>
  <c r="G30" i="4"/>
  <c r="H26" i="4"/>
  <c r="H30" i="4"/>
  <c r="I30" i="4"/>
  <c r="D63" i="4"/>
  <c r="D38" i="4"/>
  <c r="I29" i="4"/>
  <c r="I68" i="4"/>
  <c r="D31" i="4"/>
  <c r="C92" i="4"/>
  <c r="E198" i="6"/>
  <c r="E76" i="4"/>
  <c r="H90" i="4"/>
  <c r="H96" i="4"/>
  <c r="I116" i="4"/>
  <c r="I49" i="4"/>
  <c r="D198" i="6"/>
  <c r="D76" i="4"/>
  <c r="C72" i="4"/>
  <c r="G66" i="4"/>
  <c r="G137" i="6"/>
  <c r="H26" i="6"/>
  <c r="J199" i="6"/>
  <c r="J199" i="9"/>
  <c r="J206" i="6"/>
  <c r="J206" i="9"/>
  <c r="F37" i="3"/>
  <c r="D97" i="3"/>
  <c r="I97" i="3"/>
  <c r="D111" i="3"/>
  <c r="D143" i="3"/>
  <c r="I143" i="3"/>
  <c r="I123" i="3"/>
  <c r="I125" i="3"/>
  <c r="I142" i="3"/>
  <c r="I88" i="3"/>
  <c r="D89" i="3"/>
  <c r="D98" i="3"/>
  <c r="G39" i="3"/>
  <c r="H28" i="3"/>
  <c r="G36" i="3"/>
  <c r="D133" i="3"/>
  <c r="I133" i="3"/>
  <c r="I137" i="3"/>
  <c r="I129" i="3"/>
  <c r="D148" i="3"/>
  <c r="I136" i="3"/>
  <c r="D134" i="3"/>
  <c r="I134" i="3"/>
  <c r="E109" i="4"/>
  <c r="E99" i="4"/>
  <c r="E100" i="4"/>
  <c r="E104" i="4"/>
  <c r="E110" i="4"/>
  <c r="D43" i="4"/>
  <c r="E31" i="4"/>
  <c r="D87" i="4"/>
  <c r="D66" i="4"/>
  <c r="I63" i="4"/>
  <c r="I198" i="6"/>
  <c r="D200" i="6"/>
  <c r="E200" i="6"/>
  <c r="F200" i="6"/>
  <c r="G200" i="6"/>
  <c r="H104" i="4"/>
  <c r="H110" i="4"/>
  <c r="H109" i="4"/>
  <c r="H100" i="4"/>
  <c r="H99" i="4"/>
  <c r="C94" i="4"/>
  <c r="D78" i="4"/>
  <c r="D77" i="4"/>
  <c r="I77" i="4"/>
  <c r="I79" i="4"/>
  <c r="I74" i="4"/>
  <c r="E203" i="6"/>
  <c r="I203" i="6"/>
  <c r="I205" i="6"/>
  <c r="E78" i="4"/>
  <c r="D114" i="4"/>
  <c r="D41" i="4"/>
  <c r="I41" i="4"/>
  <c r="I38" i="4"/>
  <c r="G104" i="4"/>
  <c r="G110" i="4"/>
  <c r="G109" i="4"/>
  <c r="G99" i="4"/>
  <c r="G100" i="4"/>
  <c r="H133" i="6"/>
  <c r="H30" i="6"/>
  <c r="J197" i="6"/>
  <c r="J197" i="9"/>
  <c r="I144" i="3"/>
  <c r="I135" i="3"/>
  <c r="I98" i="3"/>
  <c r="D106" i="3"/>
  <c r="I106" i="3"/>
  <c r="I148" i="3"/>
  <c r="D153" i="3"/>
  <c r="I150" i="3"/>
  <c r="E89" i="3"/>
  <c r="D96" i="3"/>
  <c r="D105" i="3"/>
  <c r="D161" i="3"/>
  <c r="D90" i="3"/>
  <c r="D113" i="3"/>
  <c r="I113" i="3"/>
  <c r="I111" i="3"/>
  <c r="H39" i="3"/>
  <c r="I28" i="3"/>
  <c r="H36" i="3"/>
  <c r="H37" i="3"/>
  <c r="G37" i="3"/>
  <c r="I114" i="4"/>
  <c r="D121" i="4"/>
  <c r="I121" i="4"/>
  <c r="I122" i="4"/>
  <c r="D90" i="4"/>
  <c r="D96" i="4"/>
  <c r="I87" i="4"/>
  <c r="E43" i="4"/>
  <c r="F31" i="4"/>
  <c r="D44" i="4"/>
  <c r="I78" i="4"/>
  <c r="I80" i="4"/>
  <c r="H200" i="6"/>
  <c r="G201" i="6"/>
  <c r="I66" i="4"/>
  <c r="D71" i="4"/>
  <c r="I201" i="6"/>
  <c r="I30" i="6"/>
  <c r="H137" i="6"/>
  <c r="J198" i="6"/>
  <c r="J198" i="9"/>
  <c r="J205" i="6"/>
  <c r="J205" i="9"/>
  <c r="I36" i="3"/>
  <c r="I38" i="3"/>
  <c r="I156" i="3"/>
  <c r="I153" i="3"/>
  <c r="F89" i="3"/>
  <c r="E90" i="3"/>
  <c r="E96" i="3"/>
  <c r="E105" i="3"/>
  <c r="E161" i="3"/>
  <c r="I114" i="3"/>
  <c r="I39" i="3"/>
  <c r="E91" i="3"/>
  <c r="D91" i="3"/>
  <c r="E71" i="4"/>
  <c r="D70" i="4"/>
  <c r="D104" i="4"/>
  <c r="D99" i="4"/>
  <c r="I99" i="4"/>
  <c r="I101" i="4"/>
  <c r="D109" i="4"/>
  <c r="I109" i="4"/>
  <c r="D100" i="4"/>
  <c r="I100" i="4"/>
  <c r="I96" i="4"/>
  <c r="F43" i="4"/>
  <c r="G31" i="4"/>
  <c r="I90" i="4"/>
  <c r="D93" i="4"/>
  <c r="F44" i="4"/>
  <c r="E44" i="4"/>
  <c r="G89" i="3"/>
  <c r="F90" i="3"/>
  <c r="F96" i="3"/>
  <c r="F105" i="3"/>
  <c r="F161" i="3"/>
  <c r="I102" i="4"/>
  <c r="F71" i="4"/>
  <c r="E70" i="4"/>
  <c r="E72" i="4"/>
  <c r="E93" i="4"/>
  <c r="D92" i="4"/>
  <c r="D110" i="4"/>
  <c r="I110" i="4"/>
  <c r="I111" i="4"/>
  <c r="I104" i="4"/>
  <c r="D72" i="4"/>
  <c r="G43" i="4"/>
  <c r="G44" i="4"/>
  <c r="H31" i="4"/>
  <c r="G90" i="3"/>
  <c r="G96" i="3"/>
  <c r="G105" i="3"/>
  <c r="G161" i="3"/>
  <c r="H89" i="3"/>
  <c r="F91" i="3"/>
  <c r="I31" i="4"/>
  <c r="H43" i="4"/>
  <c r="F93" i="4"/>
  <c r="E92" i="4"/>
  <c r="G71" i="4"/>
  <c r="F70" i="4"/>
  <c r="F72" i="4"/>
  <c r="D94" i="4"/>
  <c r="H96" i="3"/>
  <c r="H90" i="3"/>
  <c r="H91" i="3"/>
  <c r="G91" i="3"/>
  <c r="H71" i="4"/>
  <c r="H70" i="4"/>
  <c r="G70" i="4"/>
  <c r="F92" i="4"/>
  <c r="F94" i="4"/>
  <c r="G93" i="4"/>
  <c r="E94" i="4"/>
  <c r="H44" i="4"/>
  <c r="I43" i="4"/>
  <c r="I90" i="3"/>
  <c r="H105" i="3"/>
  <c r="I96" i="3"/>
  <c r="H93" i="4"/>
  <c r="H92" i="4"/>
  <c r="G92" i="4"/>
  <c r="G94" i="4"/>
  <c r="H72" i="4"/>
  <c r="G72" i="4"/>
  <c r="I70" i="4"/>
  <c r="I99" i="3"/>
  <c r="I100" i="3"/>
  <c r="H161" i="3"/>
  <c r="I169" i="3"/>
  <c r="I105" i="3"/>
  <c r="I107" i="3"/>
  <c r="H94" i="4"/>
  <c r="I92" i="4"/>
  <c r="J201" i="6"/>
  <c r="J201" i="9"/>
  <c r="I172" i="3"/>
  <c r="I170" i="3"/>
  <c r="G170" i="3"/>
  <c r="G171" i="3"/>
  <c r="E170" i="3"/>
  <c r="E171" i="3"/>
  <c r="D170" i="3"/>
  <c r="D171" i="3"/>
  <c r="F170" i="3"/>
  <c r="F171" i="3"/>
  <c r="H170" i="3"/>
  <c r="H171" i="3"/>
  <c r="I171" i="3"/>
  <c r="I6" i="9" l="1"/>
  <c r="I18" i="9"/>
  <c r="D213" i="9"/>
  <c r="B203" i="9"/>
  <c r="B228" i="9"/>
  <c r="F57" i="9"/>
  <c r="F87" i="9"/>
  <c r="F46" i="9"/>
  <c r="E85" i="9"/>
  <c r="E106" i="9"/>
  <c r="E27" i="9"/>
  <c r="E134" i="9" s="1"/>
  <c r="E142" i="9" s="1"/>
  <c r="C157" i="9"/>
  <c r="C39" i="9"/>
  <c r="B44" i="9"/>
  <c r="E54" i="9"/>
  <c r="E86" i="9" s="1"/>
  <c r="C101" i="9"/>
  <c r="C31" i="9"/>
  <c r="C30" i="9"/>
  <c r="C136" i="9"/>
  <c r="D20" i="9"/>
  <c r="D106" i="9"/>
  <c r="D27" i="9"/>
  <c r="C28" i="9"/>
  <c r="C25" i="9"/>
  <c r="F9" i="9"/>
  <c r="D16" i="9"/>
  <c r="D85" i="9"/>
  <c r="D83" i="9" s="1"/>
  <c r="D21" i="9" s="1"/>
  <c r="E82" i="9"/>
  <c r="G19" i="9"/>
  <c r="F23" i="9"/>
  <c r="F213" i="9" s="1"/>
  <c r="C110" i="9"/>
  <c r="C111" i="9"/>
  <c r="C112" i="9" s="1"/>
  <c r="D97" i="9"/>
  <c r="D80" i="9"/>
  <c r="D101" i="9"/>
  <c r="C115" i="9"/>
  <c r="C116" i="9" s="1"/>
  <c r="C122" i="9" s="1"/>
  <c r="F7" i="9"/>
  <c r="F11" i="9"/>
  <c r="E15" i="9"/>
  <c r="C225" i="9" l="1"/>
  <c r="C179" i="9"/>
  <c r="C175" i="9" s="1"/>
  <c r="C128" i="9"/>
  <c r="C224" i="9"/>
  <c r="C158" i="9"/>
  <c r="C127" i="9"/>
  <c r="G9" i="9"/>
  <c r="F10" i="9"/>
  <c r="C135" i="9"/>
  <c r="C143" i="9" s="1"/>
  <c r="C144" i="9" s="1"/>
  <c r="D22" i="9"/>
  <c r="D26" i="9"/>
  <c r="D133" i="9" s="1"/>
  <c r="D141" i="9" s="1"/>
  <c r="C137" i="9"/>
  <c r="E83" i="9"/>
  <c r="E21" i="9" s="1"/>
  <c r="F91" i="9"/>
  <c r="F74" i="9"/>
  <c r="F75" i="9" s="1"/>
  <c r="G7" i="9"/>
  <c r="F73" i="9"/>
  <c r="E48" i="9"/>
  <c r="H19" i="9"/>
  <c r="H23" i="9" s="1"/>
  <c r="H213" i="9" s="1"/>
  <c r="G23" i="9"/>
  <c r="G213" i="9" s="1"/>
  <c r="D94" i="9"/>
  <c r="D95" i="9" s="1"/>
  <c r="C138" i="9"/>
  <c r="G46" i="9"/>
  <c r="F85" i="9"/>
  <c r="B204" i="9"/>
  <c r="E14" i="9"/>
  <c r="E100" i="9"/>
  <c r="E101" i="9" s="1"/>
  <c r="F15" i="9"/>
  <c r="D134" i="9"/>
  <c r="D142" i="9" s="1"/>
  <c r="C124" i="9"/>
  <c r="C156" i="9"/>
  <c r="C79" i="9"/>
  <c r="D39" i="9"/>
  <c r="E109" i="9"/>
  <c r="E108" i="9"/>
  <c r="E107" i="9"/>
  <c r="E115" i="9"/>
  <c r="E116" i="9" s="1"/>
  <c r="E122" i="9" s="1"/>
  <c r="F13" i="9"/>
  <c r="G11" i="9"/>
  <c r="H11" i="9" s="1"/>
  <c r="D156" i="9"/>
  <c r="D124" i="9"/>
  <c r="C169" i="9"/>
  <c r="D32" i="9"/>
  <c r="C209" i="9"/>
  <c r="D115" i="9"/>
  <c r="D116" i="9" s="1"/>
  <c r="D122" i="9" s="1"/>
  <c r="D109" i="9"/>
  <c r="D107" i="9"/>
  <c r="D108" i="9"/>
  <c r="F81" i="9"/>
  <c r="F152" i="9" s="1"/>
  <c r="G57" i="9"/>
  <c r="F88" i="9" l="1"/>
  <c r="F67" i="9"/>
  <c r="C226" i="9"/>
  <c r="C227" i="9" s="1"/>
  <c r="C197" i="9"/>
  <c r="C145" i="9"/>
  <c r="E225" i="9"/>
  <c r="E128" i="9"/>
  <c r="E179" i="9"/>
  <c r="E175" i="9" s="1"/>
  <c r="F100" i="9"/>
  <c r="G15" i="9"/>
  <c r="F14" i="9"/>
  <c r="F103" i="9" s="1"/>
  <c r="F104" i="9" s="1"/>
  <c r="C151" i="9"/>
  <c r="C149" i="9" s="1"/>
  <c r="C208" i="9" s="1"/>
  <c r="C77" i="9"/>
  <c r="H7" i="9"/>
  <c r="G73" i="9"/>
  <c r="G74" i="9"/>
  <c r="G75" i="9" s="1"/>
  <c r="G88" i="9" s="1"/>
  <c r="G91" i="9"/>
  <c r="I7" i="9"/>
  <c r="D24" i="9"/>
  <c r="G10" i="9"/>
  <c r="H9" i="9"/>
  <c r="H57" i="9"/>
  <c r="G81" i="9"/>
  <c r="G152" i="9" s="1"/>
  <c r="D168" i="9"/>
  <c r="C164" i="9"/>
  <c r="C181" i="9" s="1"/>
  <c r="E111" i="9"/>
  <c r="E110" i="9"/>
  <c r="E124" i="9"/>
  <c r="E156" i="9"/>
  <c r="D225" i="9"/>
  <c r="D240" i="9" s="1"/>
  <c r="D128" i="9"/>
  <c r="D179" i="9"/>
  <c r="D175" i="9" s="1"/>
  <c r="F119" i="9"/>
  <c r="F121" i="9" s="1"/>
  <c r="F12" i="9"/>
  <c r="F20" i="9" s="1"/>
  <c r="F118" i="9"/>
  <c r="F120" i="9" s="1"/>
  <c r="G13" i="9"/>
  <c r="C129" i="9"/>
  <c r="E103" i="9"/>
  <c r="E104" i="9" s="1"/>
  <c r="E12" i="9"/>
  <c r="G85" i="9"/>
  <c r="H46" i="9"/>
  <c r="E80" i="9"/>
  <c r="F54" i="9"/>
  <c r="F86" i="9" s="1"/>
  <c r="F83" i="9" s="1"/>
  <c r="F92" i="9"/>
  <c r="F97" i="9"/>
  <c r="D111" i="9"/>
  <c r="D110" i="9"/>
  <c r="E39" i="9"/>
  <c r="D79" i="9"/>
  <c r="D157" i="9"/>
  <c r="D125" i="9"/>
  <c r="I23" i="9"/>
  <c r="F106" i="9"/>
  <c r="F27" i="9"/>
  <c r="F21" i="9" l="1"/>
  <c r="F34" i="9"/>
  <c r="F22" i="9"/>
  <c r="F122" i="9"/>
  <c r="G92" i="9"/>
  <c r="G97" i="9"/>
  <c r="F101" i="9"/>
  <c r="F82" i="9"/>
  <c r="G67" i="9"/>
  <c r="F134" i="9"/>
  <c r="F142" i="9" s="1"/>
  <c r="I91" i="9"/>
  <c r="F48" i="9"/>
  <c r="E16" i="9"/>
  <c r="E20" i="9"/>
  <c r="F108" i="9"/>
  <c r="F109" i="9"/>
  <c r="F107" i="9"/>
  <c r="F115" i="9"/>
  <c r="F116" i="9" s="1"/>
  <c r="D77" i="9"/>
  <c r="D151" i="9"/>
  <c r="D149" i="9" s="1"/>
  <c r="D208" i="9" s="1"/>
  <c r="D112" i="9"/>
  <c r="F98" i="9"/>
  <c r="F99" i="9" s="1"/>
  <c r="F93" i="9"/>
  <c r="H85" i="9"/>
  <c r="I46" i="9"/>
  <c r="E159" i="9"/>
  <c r="E126" i="9"/>
  <c r="H10" i="9"/>
  <c r="I9" i="9"/>
  <c r="F126" i="9"/>
  <c r="F159" i="9"/>
  <c r="C198" i="9"/>
  <c r="C203" i="9"/>
  <c r="C202" i="9"/>
  <c r="E79" i="9"/>
  <c r="F39" i="9"/>
  <c r="F16" i="9"/>
  <c r="F94" i="9" s="1"/>
  <c r="F95" i="9" s="1"/>
  <c r="G106" i="9"/>
  <c r="G27" i="9"/>
  <c r="G134" i="9" s="1"/>
  <c r="G142" i="9" s="1"/>
  <c r="H73" i="9"/>
  <c r="H74" i="9"/>
  <c r="H91" i="9"/>
  <c r="G100" i="9"/>
  <c r="H15" i="9"/>
  <c r="I15" i="9" s="1"/>
  <c r="G14" i="9"/>
  <c r="G118" i="9"/>
  <c r="G120" i="9" s="1"/>
  <c r="G119" i="9"/>
  <c r="G121" i="9" s="1"/>
  <c r="G12" i="9"/>
  <c r="G20" i="9" s="1"/>
  <c r="H13" i="9"/>
  <c r="D28" i="9"/>
  <c r="E112" i="9"/>
  <c r="H81" i="9"/>
  <c r="H152" i="9" s="1"/>
  <c r="I57" i="9"/>
  <c r="J57" i="9" s="1"/>
  <c r="D25" i="9"/>
  <c r="C160" i="9"/>
  <c r="C154" i="9" s="1"/>
  <c r="C146" i="9"/>
  <c r="G34" i="9" l="1"/>
  <c r="E151" i="9"/>
  <c r="E149" i="9" s="1"/>
  <c r="E208" i="9" s="1"/>
  <c r="E77" i="9"/>
  <c r="F111" i="9"/>
  <c r="F110" i="9"/>
  <c r="E94" i="9"/>
  <c r="E95" i="9" s="1"/>
  <c r="C249" i="9"/>
  <c r="D135" i="9"/>
  <c r="D29" i="9"/>
  <c r="H14" i="9"/>
  <c r="H103" i="9" s="1"/>
  <c r="H104" i="9" s="1"/>
  <c r="H100" i="9"/>
  <c r="I74" i="9"/>
  <c r="I75" i="9" s="1"/>
  <c r="I67" i="9" s="1"/>
  <c r="H75" i="9"/>
  <c r="H88" i="9" s="1"/>
  <c r="G115" i="9"/>
  <c r="G116" i="9" s="1"/>
  <c r="G122" i="9" s="1"/>
  <c r="G108" i="9"/>
  <c r="G107" i="9"/>
  <c r="G109" i="9"/>
  <c r="C200" i="9"/>
  <c r="H27" i="9"/>
  <c r="H106" i="9"/>
  <c r="I10" i="9"/>
  <c r="D127" i="9"/>
  <c r="D129" i="9" s="1"/>
  <c r="D130" i="9" s="1"/>
  <c r="D139" i="9" s="1"/>
  <c r="D224" i="9"/>
  <c r="D158" i="9"/>
  <c r="F225" i="9"/>
  <c r="F179" i="9"/>
  <c r="F175" i="9" s="1"/>
  <c r="F128" i="9"/>
  <c r="C257" i="9"/>
  <c r="C162" i="9"/>
  <c r="E127" i="9"/>
  <c r="E224" i="9"/>
  <c r="E158" i="9"/>
  <c r="G101" i="9"/>
  <c r="F79" i="9"/>
  <c r="G39" i="9"/>
  <c r="F124" i="9"/>
  <c r="F156" i="9"/>
  <c r="D209" i="9"/>
  <c r="D169" i="9"/>
  <c r="D212" i="9"/>
  <c r="D214" i="9" s="1"/>
  <c r="E32" i="9"/>
  <c r="H12" i="9"/>
  <c r="H20" i="9" s="1"/>
  <c r="H119" i="9"/>
  <c r="H121" i="9" s="1"/>
  <c r="H118" i="9"/>
  <c r="H120" i="9" s="1"/>
  <c r="I13" i="9"/>
  <c r="G16" i="9"/>
  <c r="G94" i="9" s="1"/>
  <c r="G95" i="9" s="1"/>
  <c r="G103" i="9"/>
  <c r="G104" i="9" s="1"/>
  <c r="I14" i="9"/>
  <c r="H97" i="9"/>
  <c r="I97" i="9" s="1"/>
  <c r="H92" i="9"/>
  <c r="F125" i="9"/>
  <c r="F157" i="9"/>
  <c r="E22" i="9"/>
  <c r="E34" i="9"/>
  <c r="F80" i="9"/>
  <c r="G54" i="9"/>
  <c r="G86" i="9" s="1"/>
  <c r="G83" i="9" s="1"/>
  <c r="G82" i="9"/>
  <c r="H67" i="9"/>
  <c r="H82" i="9" s="1"/>
  <c r="G93" i="9"/>
  <c r="G98" i="9"/>
  <c r="G99" i="9" s="1"/>
  <c r="F24" i="9"/>
  <c r="F28" i="9" s="1"/>
  <c r="F35" i="9"/>
  <c r="H34" i="9" l="1"/>
  <c r="I20" i="9"/>
  <c r="G179" i="9"/>
  <c r="G175" i="9" s="1"/>
  <c r="G128" i="9"/>
  <c r="G225" i="9"/>
  <c r="E168" i="9"/>
  <c r="D164" i="9"/>
  <c r="D181" i="9" s="1"/>
  <c r="G124" i="9"/>
  <c r="G156" i="9"/>
  <c r="G21" i="9"/>
  <c r="E167" i="9"/>
  <c r="H159" i="9"/>
  <c r="H126" i="9"/>
  <c r="D143" i="9"/>
  <c r="D144" i="9" s="1"/>
  <c r="F112" i="9"/>
  <c r="F29" i="9"/>
  <c r="F135" i="9"/>
  <c r="H93" i="9"/>
  <c r="H98" i="9"/>
  <c r="H99" i="9" s="1"/>
  <c r="H101" i="9" s="1"/>
  <c r="G125" i="9"/>
  <c r="G157" i="9"/>
  <c r="F151" i="9"/>
  <c r="F149" i="9" s="1"/>
  <c r="F208" i="9" s="1"/>
  <c r="F77" i="9"/>
  <c r="H134" i="9"/>
  <c r="H142" i="9" s="1"/>
  <c r="I27" i="9"/>
  <c r="E157" i="9"/>
  <c r="E125" i="9"/>
  <c r="E129" i="9" s="1"/>
  <c r="E130" i="9" s="1"/>
  <c r="E139" i="9" s="1"/>
  <c r="F25" i="9"/>
  <c r="H16" i="9"/>
  <c r="H94" i="9" s="1"/>
  <c r="H95" i="9" s="1"/>
  <c r="I12" i="9"/>
  <c r="G111" i="9"/>
  <c r="G110" i="9"/>
  <c r="D136" i="9"/>
  <c r="D30" i="9"/>
  <c r="D31" i="9"/>
  <c r="I34" i="9"/>
  <c r="G48" i="9"/>
  <c r="E35" i="9"/>
  <c r="E24" i="9"/>
  <c r="G126" i="9"/>
  <c r="G159" i="9"/>
  <c r="H39" i="9"/>
  <c r="H79" i="9" s="1"/>
  <c r="G79" i="9"/>
  <c r="H115" i="9"/>
  <c r="H116" i="9" s="1"/>
  <c r="H122" i="9" s="1"/>
  <c r="H107" i="9"/>
  <c r="H109" i="9"/>
  <c r="H108" i="9"/>
  <c r="I16" i="9"/>
  <c r="H128" i="9" l="1"/>
  <c r="H225" i="9"/>
  <c r="H179" i="9"/>
  <c r="H175" i="9" s="1"/>
  <c r="H124" i="9"/>
  <c r="H156" i="9"/>
  <c r="E28" i="9"/>
  <c r="F158" i="9"/>
  <c r="F224" i="9"/>
  <c r="F127" i="9"/>
  <c r="F129" i="9" s="1"/>
  <c r="F130" i="9" s="1"/>
  <c r="F139" i="9" s="1"/>
  <c r="H110" i="9"/>
  <c r="H111" i="9"/>
  <c r="G77" i="9"/>
  <c r="G151" i="9"/>
  <c r="G149" i="9" s="1"/>
  <c r="G208" i="9" s="1"/>
  <c r="D138" i="9"/>
  <c r="H157" i="9"/>
  <c r="H125" i="9"/>
  <c r="D197" i="9"/>
  <c r="D226" i="9"/>
  <c r="D227" i="9" s="1"/>
  <c r="E141" i="9"/>
  <c r="D145" i="9"/>
  <c r="E25" i="9"/>
  <c r="G112" i="9"/>
  <c r="F169" i="9"/>
  <c r="F209" i="9"/>
  <c r="G32" i="9"/>
  <c r="F212" i="9"/>
  <c r="F214" i="9" s="1"/>
  <c r="F143" i="9"/>
  <c r="F144" i="9" s="1"/>
  <c r="H54" i="9"/>
  <c r="H86" i="9" s="1"/>
  <c r="H83" i="9" s="1"/>
  <c r="G80" i="9"/>
  <c r="E26" i="9"/>
  <c r="E133" i="9" s="1"/>
  <c r="D137" i="9"/>
  <c r="F136" i="9"/>
  <c r="G22" i="9"/>
  <c r="H21" i="9" l="1"/>
  <c r="I83" i="9"/>
  <c r="D160" i="9"/>
  <c r="D154" i="9" s="1"/>
  <c r="D162" i="9" s="1"/>
  <c r="D146" i="9"/>
  <c r="G35" i="9"/>
  <c r="G24" i="9"/>
  <c r="G127" i="9"/>
  <c r="G129" i="9" s="1"/>
  <c r="G130" i="9" s="1"/>
  <c r="G139" i="9" s="1"/>
  <c r="G158" i="9"/>
  <c r="G224" i="9"/>
  <c r="H48" i="9"/>
  <c r="F197" i="9"/>
  <c r="F226" i="9"/>
  <c r="F227" i="9" s="1"/>
  <c r="E209" i="9"/>
  <c r="E212" i="9"/>
  <c r="E214" i="9" s="1"/>
  <c r="E169" i="9"/>
  <c r="F32" i="9"/>
  <c r="E36" i="9"/>
  <c r="E135" i="9"/>
  <c r="E143" i="9" s="1"/>
  <c r="E144" i="9" s="1"/>
  <c r="E29" i="9"/>
  <c r="F36" i="9"/>
  <c r="D198" i="9"/>
  <c r="D202" i="9"/>
  <c r="D203" i="9"/>
  <c r="H112" i="9"/>
  <c r="E164" i="9" l="1"/>
  <c r="E181" i="9" s="1"/>
  <c r="F168" i="9"/>
  <c r="G168" i="9" s="1"/>
  <c r="F203" i="9"/>
  <c r="F198" i="9"/>
  <c r="F202" i="9"/>
  <c r="G28" i="9"/>
  <c r="H22" i="9"/>
  <c r="I21" i="9"/>
  <c r="H158" i="9"/>
  <c r="H224" i="9"/>
  <c r="H127" i="9"/>
  <c r="H129" i="9" s="1"/>
  <c r="H130" i="9" s="1"/>
  <c r="H139" i="9" s="1"/>
  <c r="I54" i="9"/>
  <c r="H80" i="9"/>
  <c r="G25" i="9"/>
  <c r="E146" i="9"/>
  <c r="E30" i="9"/>
  <c r="E136" i="9"/>
  <c r="E31" i="9"/>
  <c r="D200" i="9"/>
  <c r="E226" i="9"/>
  <c r="E227" i="9" s="1"/>
  <c r="E197" i="9"/>
  <c r="F167" i="9"/>
  <c r="E145" i="9"/>
  <c r="F164" i="9" l="1"/>
  <c r="F181" i="9" s="1"/>
  <c r="G167" i="9"/>
  <c r="F26" i="9"/>
  <c r="E137" i="9"/>
  <c r="F31" i="9"/>
  <c r="E138" i="9"/>
  <c r="H151" i="9"/>
  <c r="H149" i="9" s="1"/>
  <c r="H208" i="9" s="1"/>
  <c r="I208" i="9" s="1"/>
  <c r="H77" i="9"/>
  <c r="H24" i="9"/>
  <c r="H35" i="9"/>
  <c r="I35" i="9" s="1"/>
  <c r="I22" i="9"/>
  <c r="E198" i="9"/>
  <c r="E202" i="9"/>
  <c r="E203" i="9"/>
  <c r="F146" i="9"/>
  <c r="E160" i="9"/>
  <c r="E154" i="9" s="1"/>
  <c r="E162" i="9" s="1"/>
  <c r="F141" i="9"/>
  <c r="F145" i="9" s="1"/>
  <c r="G36" i="9"/>
  <c r="G169" i="9"/>
  <c r="G212" i="9"/>
  <c r="G214" i="9" s="1"/>
  <c r="G209" i="9"/>
  <c r="H32" i="9"/>
  <c r="I32" i="9" s="1"/>
  <c r="G135" i="9"/>
  <c r="G143" i="9" s="1"/>
  <c r="G144" i="9" s="1"/>
  <c r="G29" i="9"/>
  <c r="G136" i="9" l="1"/>
  <c r="G226" i="9"/>
  <c r="G227" i="9" s="1"/>
  <c r="G197" i="9"/>
  <c r="H28" i="9"/>
  <c r="I24" i="9"/>
  <c r="H168" i="9"/>
  <c r="F160" i="9"/>
  <c r="F154" i="9" s="1"/>
  <c r="F162" i="9" s="1"/>
  <c r="G141" i="9"/>
  <c r="G145" i="9" s="1"/>
  <c r="H25" i="9"/>
  <c r="F138" i="9"/>
  <c r="G31" i="9"/>
  <c r="E200" i="9"/>
  <c r="H167" i="9"/>
  <c r="G164" i="9"/>
  <c r="G181" i="9" s="1"/>
  <c r="G146" i="9"/>
  <c r="F133" i="9"/>
  <c r="F30" i="9"/>
  <c r="F200" i="9" l="1"/>
  <c r="G203" i="9"/>
  <c r="G202" i="9"/>
  <c r="G198" i="9"/>
  <c r="F137" i="9"/>
  <c r="G26" i="9"/>
  <c r="G138" i="9"/>
  <c r="H141" i="9"/>
  <c r="G160" i="9"/>
  <c r="G154" i="9" s="1"/>
  <c r="G162" i="9" s="1"/>
  <c r="H135" i="9"/>
  <c r="H143" i="9" s="1"/>
  <c r="H144" i="9" s="1"/>
  <c r="H29" i="9"/>
  <c r="I28" i="9"/>
  <c r="H169" i="9"/>
  <c r="H164" i="9" s="1"/>
  <c r="H181" i="9" s="1"/>
  <c r="H212" i="9"/>
  <c r="H214" i="9" s="1"/>
  <c r="I214" i="9" s="1"/>
  <c r="H209" i="9"/>
  <c r="I209" i="9" s="1"/>
  <c r="I210" i="9" s="1"/>
  <c r="H36" i="9"/>
  <c r="I36" i="9" s="1"/>
  <c r="I25" i="9"/>
  <c r="H136" i="9" l="1"/>
  <c r="I29" i="9"/>
  <c r="H226" i="9"/>
  <c r="H227" i="9" s="1"/>
  <c r="I227" i="9" s="1"/>
  <c r="H197" i="9"/>
  <c r="H31" i="9"/>
  <c r="G133" i="9"/>
  <c r="G30" i="9"/>
  <c r="H145" i="9"/>
  <c r="G200" i="9"/>
  <c r="H160" i="9" l="1"/>
  <c r="H154" i="9" s="1"/>
  <c r="H162" i="9" s="1"/>
  <c r="H146" i="9"/>
  <c r="H202" i="9"/>
  <c r="I202" i="9" s="1"/>
  <c r="I204" i="9" s="1"/>
  <c r="H203" i="9"/>
  <c r="I203" i="9" s="1"/>
  <c r="H198" i="9"/>
  <c r="I198" i="9" s="1"/>
  <c r="I197" i="9"/>
  <c r="I199" i="9"/>
  <c r="I206" i="9"/>
  <c r="G137" i="9"/>
  <c r="H26" i="9"/>
  <c r="G201" i="9"/>
  <c r="H138" i="9"/>
  <c r="I31" i="9"/>
  <c r="H200" i="9" l="1"/>
  <c r="I201" i="9" s="1"/>
  <c r="I205" i="9"/>
  <c r="H133" i="9"/>
  <c r="H30" i="9"/>
  <c r="H137" i="9" l="1"/>
  <c r="I30" i="9"/>
</calcChain>
</file>

<file path=xl/sharedStrings.xml><?xml version="1.0" encoding="utf-8"?>
<sst xmlns="http://schemas.openxmlformats.org/spreadsheetml/2006/main" count="1546" uniqueCount="480">
  <si>
    <t>Revenues</t>
  </si>
  <si>
    <t>Y1</t>
  </si>
  <si>
    <t>Y2</t>
  </si>
  <si>
    <t>Y3</t>
  </si>
  <si>
    <t>Y4</t>
  </si>
  <si>
    <t>Y5</t>
  </si>
  <si>
    <t>Y0</t>
  </si>
  <si>
    <t>Investment</t>
  </si>
  <si>
    <t>Total costs, incl.:</t>
  </si>
  <si>
    <t>Fixed costs</t>
  </si>
  <si>
    <t>Variable costs</t>
  </si>
  <si>
    <t>Total for the period</t>
  </si>
  <si>
    <t>Price of 1 unit</t>
  </si>
  <si>
    <t>Cost of 1 unit, variable</t>
  </si>
  <si>
    <t>Cost of 1 unit, variable + fixed</t>
  </si>
  <si>
    <t>Average price</t>
  </si>
  <si>
    <t>Average cost</t>
  </si>
  <si>
    <t>Cash, BoP (Beginning of period)</t>
  </si>
  <si>
    <t>Cash, EoP (End of period)</t>
  </si>
  <si>
    <t>Depreciation</t>
  </si>
  <si>
    <t>Loans obtained</t>
  </si>
  <si>
    <t>Loans repaid</t>
  </si>
  <si>
    <t>Interest paid</t>
  </si>
  <si>
    <t>Earnings before interest, tax and depreciation (EBITDA)</t>
  </si>
  <si>
    <t>Earnings before interest &amp; tax (EBIT)</t>
  </si>
  <si>
    <t>Tax paid</t>
  </si>
  <si>
    <t>Cash flow for the period</t>
  </si>
  <si>
    <t>NCF (Net Cash Flow) after tax</t>
  </si>
  <si>
    <t>NCF (Net Cash Flow) before tax</t>
  </si>
  <si>
    <t>Net profit for the period</t>
  </si>
  <si>
    <t>Cumulative cash flow</t>
  </si>
  <si>
    <r>
      <t xml:space="preserve">PP (Payback Period). </t>
    </r>
    <r>
      <rPr>
        <i/>
        <sz val="11"/>
        <color theme="1"/>
        <rFont val="Calibri"/>
        <family val="2"/>
        <charset val="204"/>
        <scheme val="minor"/>
      </rPr>
      <t>Revenues come evenly inside the year</t>
    </r>
  </si>
  <si>
    <t>Exact Payback date</t>
  </si>
  <si>
    <t>Number of periods reffered to project</t>
  </si>
  <si>
    <t>Hurdle rate</t>
  </si>
  <si>
    <t>Discounted cash outflow for the period</t>
  </si>
  <si>
    <t>Cumulative Discounted cash outflow</t>
  </si>
  <si>
    <t>Discounted cash inflow for the period</t>
  </si>
  <si>
    <t>Iterations:</t>
  </si>
  <si>
    <t>NPV</t>
  </si>
  <si>
    <r>
      <rPr>
        <b/>
        <i/>
        <sz val="11"/>
        <color theme="1"/>
        <rFont val="Calibri"/>
        <family val="2"/>
        <charset val="204"/>
        <scheme val="minor"/>
      </rPr>
      <t>Synonym:</t>
    </r>
    <r>
      <rPr>
        <b/>
        <sz val="14"/>
        <color theme="1"/>
        <rFont val="Calibri"/>
        <family val="2"/>
        <charset val="204"/>
        <scheme val="minor"/>
      </rPr>
      <t xml:space="preserve"> ERR</t>
    </r>
    <r>
      <rPr>
        <sz val="11"/>
        <color theme="1"/>
        <rFont val="Calibri"/>
        <family val="2"/>
        <charset val="204"/>
        <scheme val="minor"/>
      </rPr>
      <t xml:space="preserve"> - </t>
    </r>
    <r>
      <rPr>
        <b/>
        <sz val="14"/>
        <color theme="1"/>
        <rFont val="Calibri"/>
        <family val="2"/>
        <charset val="204"/>
        <scheme val="minor"/>
      </rPr>
      <t>Economic Rate of Return</t>
    </r>
  </si>
  <si>
    <t>PP in years</t>
  </si>
  <si>
    <t>NCF after tax per unit</t>
  </si>
  <si>
    <t>Cumulative production of units</t>
  </si>
  <si>
    <t>NCF, NV</t>
  </si>
  <si>
    <t>PP</t>
  </si>
  <si>
    <t>IRR</t>
  </si>
  <si>
    <t>DPP</t>
  </si>
  <si>
    <t>Discount factor</t>
  </si>
  <si>
    <r>
      <rPr>
        <b/>
        <sz val="14"/>
        <color theme="1"/>
        <rFont val="Calibri"/>
        <family val="2"/>
        <charset val="204"/>
        <scheme val="minor"/>
      </rPr>
      <t>DCF (Discounted Cash Flow)</t>
    </r>
    <r>
      <rPr>
        <sz val="12"/>
        <color theme="1"/>
        <rFont val="Calibri"/>
        <family val="2"/>
        <charset val="204"/>
        <scheme val="minor"/>
      </rPr>
      <t/>
    </r>
  </si>
  <si>
    <r>
      <t>Cumulative DCF</t>
    </r>
    <r>
      <rPr>
        <b/>
        <sz val="14"/>
        <color theme="1"/>
        <rFont val="Calibri"/>
        <family val="2"/>
        <charset val="204"/>
        <scheme val="minor"/>
      </rPr>
      <t xml:space="preserve"> = NPV</t>
    </r>
  </si>
  <si>
    <t>DPI</t>
  </si>
  <si>
    <r>
      <rPr>
        <b/>
        <i/>
        <sz val="11"/>
        <color theme="1"/>
        <rFont val="Calibri"/>
        <family val="2"/>
        <charset val="204"/>
        <scheme val="minor"/>
      </rPr>
      <t>Synonym:</t>
    </r>
    <r>
      <rPr>
        <b/>
        <sz val="14"/>
        <color theme="1"/>
        <rFont val="Calibri"/>
        <family val="2"/>
        <charset val="204"/>
        <scheme val="minor"/>
      </rPr>
      <t xml:space="preserve"> PVP - Present Value Payback</t>
    </r>
  </si>
  <si>
    <r>
      <t>Russian term: "</t>
    </r>
    <r>
      <rPr>
        <b/>
        <i/>
        <sz val="14"/>
        <color theme="1"/>
        <rFont val="Calibri"/>
        <family val="2"/>
        <charset val="204"/>
        <scheme val="minor"/>
      </rPr>
      <t>Дисконтированный срок окупаемости инвестиций/капиталовложений</t>
    </r>
    <r>
      <rPr>
        <sz val="14"/>
        <color theme="1"/>
        <rFont val="Calibri"/>
        <family val="2"/>
        <charset val="204"/>
        <scheme val="minor"/>
      </rPr>
      <t>"</t>
    </r>
  </si>
  <si>
    <r>
      <t>Russian term: "</t>
    </r>
    <r>
      <rPr>
        <b/>
        <i/>
        <sz val="14"/>
        <color theme="1"/>
        <rFont val="Calibri"/>
        <family val="2"/>
        <charset val="204"/>
        <scheme val="minor"/>
      </rPr>
      <t>Внутренняя норма доходности/прибыли; внутренний коэффициент окупаемости</t>
    </r>
    <r>
      <rPr>
        <sz val="14"/>
        <color theme="1"/>
        <rFont val="Calibri"/>
        <family val="2"/>
        <charset val="204"/>
        <scheme val="minor"/>
      </rPr>
      <t>"</t>
    </r>
  </si>
  <si>
    <r>
      <t>Russian term: "</t>
    </r>
    <r>
      <rPr>
        <b/>
        <i/>
        <sz val="14"/>
        <color theme="1"/>
        <rFont val="Calibri"/>
        <family val="2"/>
        <charset val="204"/>
        <scheme val="minor"/>
      </rPr>
      <t>Период/срок/точка окупаемости инвестиций/капиталовложений</t>
    </r>
    <r>
      <rPr>
        <sz val="14"/>
        <color theme="1"/>
        <rFont val="Calibri"/>
        <family val="2"/>
        <charset val="204"/>
        <scheme val="minor"/>
      </rPr>
      <t>"</t>
    </r>
  </si>
  <si>
    <r>
      <t>Russian term: "</t>
    </r>
    <r>
      <rPr>
        <b/>
        <i/>
        <sz val="14"/>
        <color theme="1"/>
        <rFont val="Calibri"/>
        <family val="2"/>
        <charset val="204"/>
        <scheme val="minor"/>
      </rPr>
      <t>Текущая стоимость</t>
    </r>
    <r>
      <rPr>
        <sz val="14"/>
        <color theme="1"/>
        <rFont val="Calibri"/>
        <family val="2"/>
        <charset val="204"/>
        <scheme val="minor"/>
      </rPr>
      <t>"</t>
    </r>
  </si>
  <si>
    <t>Cumulative Discounted cash inflow</t>
  </si>
  <si>
    <r>
      <t>Russian term: "(</t>
    </r>
    <r>
      <rPr>
        <b/>
        <i/>
        <sz val="14"/>
        <color theme="1"/>
        <rFont val="Calibri"/>
        <family val="2"/>
        <charset val="204"/>
        <scheme val="minor"/>
      </rPr>
      <t>Дисконтированный) индекс доходности/рентабельности</t>
    </r>
    <r>
      <rPr>
        <sz val="14"/>
        <color theme="1"/>
        <rFont val="Calibri"/>
        <family val="2"/>
        <charset val="204"/>
        <scheme val="minor"/>
      </rPr>
      <t>"</t>
    </r>
  </si>
  <si>
    <t>OR:</t>
  </si>
  <si>
    <t>Cash inflow</t>
  </si>
  <si>
    <t>Cash outflow</t>
  </si>
  <si>
    <t>PV</t>
  </si>
  <si>
    <r>
      <t xml:space="preserve">There's </t>
    </r>
    <r>
      <rPr>
        <b/>
        <i/>
        <sz val="14"/>
        <color theme="1"/>
        <rFont val="Calibri"/>
        <family val="2"/>
        <charset val="204"/>
        <scheme val="minor"/>
      </rPr>
      <t>NO</t>
    </r>
    <r>
      <rPr>
        <i/>
        <sz val="14"/>
        <color theme="1"/>
        <rFont val="Calibri"/>
        <family val="2"/>
        <charset val="204"/>
        <scheme val="minor"/>
      </rPr>
      <t xml:space="preserve"> special direct function in </t>
    </r>
    <r>
      <rPr>
        <b/>
        <i/>
        <sz val="14"/>
        <color theme="1"/>
        <rFont val="Calibri"/>
        <family val="2"/>
        <charset val="204"/>
        <scheme val="minor"/>
      </rPr>
      <t>Excel</t>
    </r>
  </si>
  <si>
    <t>http://www.calkoo.com/?lang=3&amp;page=99</t>
  </si>
  <si>
    <t>http://zarapov.ru/soft/multilingual-excel-functions/</t>
  </si>
  <si>
    <t>Financial calculator</t>
  </si>
  <si>
    <t>Excel functions English/Russian</t>
  </si>
  <si>
    <r>
      <rPr>
        <b/>
        <i/>
        <sz val="11"/>
        <color theme="1"/>
        <rFont val="Calibri"/>
        <family val="2"/>
        <charset val="204"/>
        <scheme val="minor"/>
      </rPr>
      <t>Synonyms:</t>
    </r>
    <r>
      <rPr>
        <b/>
        <sz val="14"/>
        <color theme="1"/>
        <rFont val="Calibri"/>
        <family val="2"/>
        <charset val="204"/>
        <scheme val="minor"/>
      </rPr>
      <t xml:space="preserve"> PVI (Present Value Index, PV-index), Benefit to Cost Ratio (BCR), Profit-Investment Ratio (PIR)</t>
    </r>
  </si>
  <si>
    <r>
      <rPr>
        <b/>
        <i/>
        <sz val="11"/>
        <color theme="1"/>
        <rFont val="Calibri"/>
        <family val="2"/>
        <charset val="204"/>
        <scheme val="minor"/>
      </rPr>
      <t>Synonyms:</t>
    </r>
    <r>
      <rPr>
        <b/>
        <sz val="14"/>
        <color theme="1"/>
        <rFont val="Calibri"/>
        <family val="2"/>
        <charset val="204"/>
        <scheme val="minor"/>
      </rPr>
      <t xml:space="preserve"> NV - Net Value; CFAT - Cash Flow After Tax</t>
    </r>
  </si>
  <si>
    <t>No inflation, no exchange rate growth, no loans</t>
  </si>
  <si>
    <r>
      <t>Russian term: "</t>
    </r>
    <r>
      <rPr>
        <b/>
        <i/>
        <sz val="14"/>
        <color theme="1"/>
        <rFont val="Calibri"/>
        <family val="2"/>
        <charset val="204"/>
        <scheme val="minor"/>
      </rPr>
      <t>Чистая приведенная стоимость (ЧПС); Чистая текущая стоимость; Чистый приведенный эффект; Чистый дисконтированный доход (ЧДД)</t>
    </r>
    <r>
      <rPr>
        <sz val="14"/>
        <color theme="1"/>
        <rFont val="Calibri"/>
        <family val="2"/>
        <charset val="204"/>
        <scheme val="minor"/>
      </rPr>
      <t>"</t>
    </r>
  </si>
  <si>
    <t>Initial Investment Discounted</t>
  </si>
  <si>
    <t>NRR</t>
  </si>
  <si>
    <t>D (Duration)</t>
  </si>
  <si>
    <t>Rate</t>
  </si>
  <si>
    <t>Period Number</t>
  </si>
  <si>
    <t>PP in produced units</t>
  </si>
  <si>
    <r>
      <t xml:space="preserve">If initial investment is done within the period </t>
    </r>
    <r>
      <rPr>
        <b/>
        <sz val="12"/>
        <color theme="1"/>
        <rFont val="Calibri"/>
        <family val="2"/>
        <charset val="204"/>
        <scheme val="minor"/>
      </rPr>
      <t>Y0</t>
    </r>
    <r>
      <rPr>
        <sz val="12"/>
        <color theme="1"/>
        <rFont val="Calibri"/>
        <family val="2"/>
        <charset val="204"/>
        <scheme val="minor"/>
      </rPr>
      <t xml:space="preserve"> we input cash flow entries </t>
    </r>
    <r>
      <rPr>
        <b/>
        <sz val="12"/>
        <color theme="1"/>
        <rFont val="Calibri"/>
        <family val="2"/>
        <charset val="204"/>
        <scheme val="minor"/>
      </rPr>
      <t xml:space="preserve">Y1-Y5 </t>
    </r>
    <r>
      <rPr>
        <sz val="12"/>
        <color theme="1"/>
        <rFont val="Calibri"/>
        <family val="2"/>
        <charset val="204"/>
        <scheme val="minor"/>
      </rPr>
      <t xml:space="preserve">into the formula and then </t>
    </r>
    <r>
      <rPr>
        <b/>
        <i/>
        <sz val="12"/>
        <color theme="1"/>
        <rFont val="Calibri"/>
        <family val="2"/>
        <charset val="204"/>
        <scheme val="minor"/>
      </rPr>
      <t>ADD Investment Amount</t>
    </r>
    <r>
      <rPr>
        <sz val="12"/>
        <color theme="1"/>
        <rFont val="Calibri"/>
        <family val="2"/>
        <charset val="204"/>
        <scheme val="minor"/>
      </rPr>
      <t xml:space="preserve"> with "minus"</t>
    </r>
  </si>
  <si>
    <t>Units produced within the period</t>
  </si>
  <si>
    <t>Enterprise development</t>
  </si>
  <si>
    <r>
      <t xml:space="preserve">PV (Present Value) after tax - </t>
    </r>
    <r>
      <rPr>
        <sz val="10"/>
        <color theme="1"/>
        <rFont val="Calibri"/>
        <family val="2"/>
        <charset val="204"/>
        <scheme val="minor"/>
      </rPr>
      <t>discounted cash flow for periods since Y1</t>
    </r>
  </si>
  <si>
    <r>
      <t xml:space="preserve">Initial Investment Discounted - </t>
    </r>
    <r>
      <rPr>
        <sz val="10"/>
        <color theme="1"/>
        <rFont val="Calibri"/>
        <family val="2"/>
        <charset val="204"/>
        <scheme val="minor"/>
      </rPr>
      <t xml:space="preserve">discounted </t>
    </r>
    <r>
      <rPr>
        <b/>
        <sz val="12"/>
        <color theme="1"/>
        <rFont val="Calibri"/>
        <family val="2"/>
        <charset val="204"/>
        <scheme val="minor"/>
      </rPr>
      <t>NEGATIVE</t>
    </r>
    <r>
      <rPr>
        <sz val="10"/>
        <color theme="1"/>
        <rFont val="Calibri"/>
        <family val="2"/>
        <charset val="204"/>
        <scheme val="minor"/>
      </rPr>
      <t xml:space="preserve"> cash flow for periods since Y0 (including)</t>
    </r>
  </si>
  <si>
    <t>Mistake for this case:</t>
  </si>
  <si>
    <t>But true if there's just 1 negative cash flow in period Y0 !!!</t>
  </si>
  <si>
    <r>
      <t>Calculated as 1 + NPV / | Initial Investment</t>
    </r>
    <r>
      <rPr>
        <b/>
        <sz val="14"/>
        <color rgb="FFFF0000"/>
        <rFont val="Calibri"/>
        <family val="2"/>
        <charset val="204"/>
        <scheme val="minor"/>
      </rPr>
      <t>S</t>
    </r>
    <r>
      <rPr>
        <b/>
        <sz val="12"/>
        <color theme="1"/>
        <rFont val="Calibri"/>
        <family val="2"/>
        <charset val="204"/>
        <scheme val="minor"/>
      </rPr>
      <t xml:space="preserve"> Discounted | = 1 + NPV / Discounted Negative Cash Flows</t>
    </r>
  </si>
  <si>
    <r>
      <t>Calculated as 1 + NPV / | Initial Investment (</t>
    </r>
    <r>
      <rPr>
        <b/>
        <sz val="14"/>
        <color rgb="FFFF0000"/>
        <rFont val="Calibri"/>
        <family val="2"/>
        <charset val="204"/>
        <scheme val="minor"/>
      </rPr>
      <t>Y0</t>
    </r>
    <r>
      <rPr>
        <b/>
        <sz val="12"/>
        <color theme="1"/>
        <rFont val="Calibri"/>
        <family val="2"/>
        <charset val="204"/>
        <scheme val="minor"/>
      </rPr>
      <t>) Non-Discounted |</t>
    </r>
  </si>
  <si>
    <t>MNPV</t>
  </si>
  <si>
    <t>PV (Present Value) after tax</t>
  </si>
  <si>
    <r>
      <t>Russian term: "</t>
    </r>
    <r>
      <rPr>
        <b/>
        <sz val="14"/>
        <color theme="1"/>
        <rFont val="Calibri"/>
        <family val="2"/>
        <charset val="204"/>
        <scheme val="minor"/>
      </rPr>
      <t xml:space="preserve">Чистая/маржинальная норма </t>
    </r>
    <r>
      <rPr>
        <b/>
        <i/>
        <sz val="14"/>
        <color theme="1"/>
        <rFont val="Calibri"/>
        <family val="2"/>
        <charset val="204"/>
        <scheme val="minor"/>
      </rPr>
      <t>доходности</t>
    </r>
    <r>
      <rPr>
        <sz val="14"/>
        <color theme="1"/>
        <rFont val="Calibri"/>
        <family val="2"/>
        <charset val="204"/>
        <scheme val="minor"/>
      </rPr>
      <t>"</t>
    </r>
  </si>
  <si>
    <r>
      <t>Russian term: "</t>
    </r>
    <r>
      <rPr>
        <b/>
        <sz val="14"/>
        <color theme="1"/>
        <rFont val="Calibri"/>
        <family val="2"/>
        <charset val="204"/>
        <scheme val="minor"/>
      </rPr>
      <t>Средневзвешенный срок погашения</t>
    </r>
    <r>
      <rPr>
        <sz val="14"/>
        <color theme="1"/>
        <rFont val="Calibri"/>
        <family val="2"/>
        <charset val="204"/>
        <scheme val="minor"/>
      </rPr>
      <t>"</t>
    </r>
  </si>
  <si>
    <t>English Term</t>
  </si>
  <si>
    <t>Russian Term</t>
  </si>
  <si>
    <t>Текущая стоимость</t>
  </si>
  <si>
    <t>English Definition</t>
  </si>
  <si>
    <t>Russian Definition</t>
  </si>
  <si>
    <t>Total balance of all cash inflows and outflows.</t>
  </si>
  <si>
    <r>
      <t>Russian term: "</t>
    </r>
    <r>
      <rPr>
        <b/>
        <i/>
        <sz val="14"/>
        <color theme="1"/>
        <rFont val="Calibri"/>
        <family val="2"/>
        <charset val="204"/>
        <scheme val="minor"/>
      </rPr>
      <t>Дисконтированная/приведенная стоимость</t>
    </r>
    <r>
      <rPr>
        <sz val="14"/>
        <color theme="1"/>
        <rFont val="Calibri"/>
        <family val="2"/>
        <charset val="204"/>
        <scheme val="minor"/>
      </rPr>
      <t>"</t>
    </r>
  </si>
  <si>
    <t>Дисконтированная/приведенная стоимость</t>
  </si>
  <si>
    <t>Сумма будущих денежных потоков от проекта, приведенная (исходя из временной стоимости денег) к настоящему моменту.</t>
  </si>
  <si>
    <t>Период/срок/точка окупаемости инвестиций/капиталовложений</t>
  </si>
  <si>
    <t>Сумма всех спрогнозированных денежных потоков от проекта в будущем.</t>
  </si>
  <si>
    <t>Чистая приведенная стоимость (ЧПС); Чистая текущая стоимость; Чистый приведенный эффект; Чистый дисконтированный доход (ЧДД)</t>
  </si>
  <si>
    <t>Recalculated total amount of future cash flows (in accordance with Time value of Money Idea).</t>
  </si>
  <si>
    <t>The sum of the present values of all regular future cash flows generated by the Project.</t>
  </si>
  <si>
    <t>Сумма текущих стоимостей всех спрогнозированных, с учетом барьерной ставки (ставки дисконтирования), будущих денежных потоков от проекта.</t>
  </si>
  <si>
    <t>Время, которое требуется, чтобы инвестиция обеспечила достаточные поступления денег для возмещения инвестиционных расходов, при этом учитывается временная стоимость денег.</t>
  </si>
  <si>
    <t>Время, которое требуется, чтобы проект обеспечил поступление денег в абсолютной сумме, равной сумме инвестиционных расходов.</t>
  </si>
  <si>
    <t>Time period for the Project's cumulative cash flow (absolute numbers) to reach the amount equal to the Initial investment.</t>
  </si>
  <si>
    <t>Time period for the Project's cumulative cash flow (discounted numbers) to reach the amount equal to the Initial investment.</t>
  </si>
  <si>
    <t>Дисконтированный срок окупаемости инвестиций/капиталовложений</t>
  </si>
  <si>
    <t>Это дисконт-фактор, при котором чистая текущая стоимость инвестиции равна нулю.</t>
  </si>
  <si>
    <t>Внутренняя норма доходности/прибыли; внутренний коэффициент окупаемости</t>
  </si>
  <si>
    <t>The Discount rate when the Project's NPV is equal to zero.</t>
  </si>
  <si>
    <t>(Дисконтированный) индекс доходности/рентабельности</t>
  </si>
  <si>
    <t>Отношение суммы всех дисконтированных денежных потоков (доходов от инвестиций), к дисконтированному инвестиционному расходу.</t>
  </si>
  <si>
    <t xml:space="preserve">The quotient of summarized discounted cash inflows to summarized discounted cash outflows. </t>
  </si>
  <si>
    <t>NRR (Net Rate of Return)</t>
  </si>
  <si>
    <t>Чистая/маржинальная норма доходности</t>
  </si>
  <si>
    <t>Норма доходности исходя из отношения чистой текущей стоимости (NPV) денежных потоков и суммы денежных оттоков.</t>
  </si>
  <si>
    <t>Average rate of return used for the investment with variation of positive and negative cash flows.</t>
  </si>
  <si>
    <t>Средневзвешенный срок погашения</t>
  </si>
  <si>
    <t>Duration is used for comparison of the projects with same NPV but different amounts of cash flows in each period. The shorter is Duration the more attractive is Project.</t>
  </si>
  <si>
    <t>1. The time value of money is ignored
2. The project will last the estimated life and 
this is often not true
3. Equal weight is given all income for all 
years and that is not always true. The 
averaging of profits permits laxity in 
forecasting
4. It does not consider timing of cash flows
5. It does not consider capital recovery</t>
  </si>
  <si>
    <t>Comments</t>
  </si>
  <si>
    <t>Project Profitability Ratios</t>
  </si>
  <si>
    <t>MIRR (Modified Internal Rate of Return)</t>
  </si>
  <si>
    <t>Needed to avoid the situation when more than 1 IRR is found. As well IRR gives unduly optimistic view of project value.</t>
  </si>
  <si>
    <t>Скорректированная с учетом барьерной ставки и нормы реинвестиции внутренняя норма доходности.</t>
  </si>
  <si>
    <t>Модифицированная внутренняя норма доходности/рентабельности, Модифицированная внутренняя норма доходности с реинвестицией по цене барьерной ставки</t>
  </si>
  <si>
    <t>MIRR</t>
  </si>
  <si>
    <r>
      <t>Russian term: "</t>
    </r>
    <r>
      <rPr>
        <b/>
        <i/>
        <sz val="14"/>
        <color theme="1"/>
        <rFont val="Calibri"/>
        <family val="2"/>
        <charset val="204"/>
        <scheme val="minor"/>
      </rPr>
      <t>Модифицированная внутренняя норма доходности/рентабельности</t>
    </r>
    <r>
      <rPr>
        <sz val="14"/>
        <color theme="1"/>
        <rFont val="Calibri"/>
        <family val="2"/>
        <charset val="204"/>
        <scheme val="minor"/>
      </rPr>
      <t>"</t>
    </r>
  </si>
  <si>
    <r>
      <rPr>
        <b/>
        <i/>
        <sz val="11"/>
        <color theme="1"/>
        <rFont val="Calibri"/>
        <family val="2"/>
        <charset val="204"/>
        <scheme val="minor"/>
      </rPr>
      <t>Synonyms:</t>
    </r>
    <r>
      <rPr>
        <b/>
        <sz val="14"/>
        <color theme="1"/>
        <rFont val="Calibri"/>
        <family val="2"/>
        <charset val="204"/>
        <scheme val="minor"/>
      </rPr>
      <t xml:space="preserve"> RIRR (Reinvestment-rate adjusted Internal Rate of Return)</t>
    </r>
  </si>
  <si>
    <t>Reinvested Positive Cash</t>
  </si>
  <si>
    <t>FV</t>
  </si>
  <si>
    <t>Compound factor</t>
  </si>
  <si>
    <r>
      <t>Russian term: "</t>
    </r>
    <r>
      <rPr>
        <b/>
        <i/>
        <sz val="14"/>
        <color theme="1"/>
        <rFont val="Calibri"/>
        <family val="2"/>
        <charset val="204"/>
        <scheme val="minor"/>
      </rPr>
      <t>Будущая</t>
    </r>
    <r>
      <rPr>
        <sz val="14"/>
        <color theme="1"/>
        <rFont val="Calibri"/>
        <family val="2"/>
        <charset val="204"/>
        <scheme val="minor"/>
      </rPr>
      <t xml:space="preserve"> </t>
    </r>
    <r>
      <rPr>
        <b/>
        <i/>
        <sz val="14"/>
        <color theme="1"/>
        <rFont val="Calibri"/>
        <family val="2"/>
        <charset val="204"/>
        <scheme val="minor"/>
      </rPr>
      <t>стоимость</t>
    </r>
    <r>
      <rPr>
        <sz val="14"/>
        <color theme="1"/>
        <rFont val="Calibri"/>
        <family val="2"/>
        <charset val="204"/>
        <scheme val="minor"/>
      </rPr>
      <t>"</t>
    </r>
  </si>
  <si>
    <r>
      <t xml:space="preserve">FV (Future Value) of cash flows after tax, </t>
    </r>
    <r>
      <rPr>
        <b/>
        <sz val="11"/>
        <color theme="1"/>
        <rFont val="Calibri"/>
        <family val="2"/>
        <charset val="204"/>
        <scheme val="minor"/>
      </rPr>
      <t xml:space="preserve">since period Y1 reinvested yearly at Rate </t>
    </r>
  </si>
  <si>
    <t>Reinvestment rate (Compound factor)</t>
  </si>
  <si>
    <t>XNPV</t>
  </si>
  <si>
    <t>Recalculated Internal Rate of Return which contains the reinvestment of positive cash inflow and discounting of negative cash outflow.</t>
  </si>
  <si>
    <t>Dates of transactions</t>
  </si>
  <si>
    <r>
      <t xml:space="preserve">MIRR </t>
    </r>
    <r>
      <rPr>
        <b/>
        <sz val="11"/>
        <color rgb="FF00B050"/>
        <rFont val="Calibri"/>
        <family val="2"/>
        <charset val="204"/>
        <scheme val="minor"/>
      </rPr>
      <t>Hurdle Rate</t>
    </r>
    <r>
      <rPr>
        <b/>
        <sz val="11"/>
        <color theme="1"/>
        <rFont val="Calibri"/>
        <family val="2"/>
        <charset val="204"/>
        <scheme val="minor"/>
      </rPr>
      <t xml:space="preserve"> </t>
    </r>
    <r>
      <rPr>
        <b/>
        <sz val="14"/>
        <color theme="1"/>
        <rFont val="Calibri"/>
        <family val="2"/>
        <charset val="204"/>
        <scheme val="minor"/>
      </rPr>
      <t>(Modified Internal Rate of Return</t>
    </r>
    <r>
      <rPr>
        <b/>
        <sz val="11"/>
        <color theme="1"/>
        <rFont val="Calibri"/>
        <family val="2"/>
        <charset val="204"/>
        <scheme val="minor"/>
      </rPr>
      <t xml:space="preserve"> with reinvestment at Hurdle Rate</t>
    </r>
    <r>
      <rPr>
        <b/>
        <sz val="14"/>
        <color theme="1"/>
        <rFont val="Calibri"/>
        <family val="2"/>
        <charset val="204"/>
        <scheme val="minor"/>
      </rPr>
      <t>)</t>
    </r>
  </si>
  <si>
    <r>
      <t xml:space="preserve">Discounted Investment </t>
    </r>
    <r>
      <rPr>
        <b/>
        <sz val="11"/>
        <color theme="1"/>
        <rFont val="Calibri"/>
        <family val="2"/>
        <charset val="204"/>
        <scheme val="minor"/>
      </rPr>
      <t>(all negative cash flows)</t>
    </r>
  </si>
  <si>
    <t>Discounted Positive Reinvested Cash</t>
  </si>
  <si>
    <r>
      <rPr>
        <b/>
        <sz val="12"/>
        <color theme="1"/>
        <rFont val="Calibri"/>
        <family val="2"/>
        <charset val="204"/>
        <scheme val="minor"/>
      </rPr>
      <t>Модифицированная:</t>
    </r>
    <r>
      <rPr>
        <sz val="11"/>
        <color theme="1"/>
        <rFont val="Calibri"/>
        <family val="2"/>
        <charset val="204"/>
        <scheme val="minor"/>
      </rPr>
      <t xml:space="preserve"> Чистая приведенная стоимость (ЧПС); Чистая текущая стоимость; Чистый приведенный эффект; Чистый дисконтированный доход (ЧДД)</t>
    </r>
  </si>
  <si>
    <t>Сумма текущих стоимостей всех спрогнозированных, с учетом барьерной ставки и уровня реинвестиций, денежных потоков.</t>
  </si>
  <si>
    <t>The sum of the present values of all regular future cash flows generated by the Project with intermediary reinvestment of positive inflows.</t>
  </si>
  <si>
    <r>
      <rPr>
        <b/>
        <sz val="14"/>
        <color theme="1"/>
        <rFont val="Calibri"/>
        <family val="2"/>
        <charset val="204"/>
        <scheme val="minor"/>
      </rPr>
      <t>NCF</t>
    </r>
    <r>
      <rPr>
        <sz val="11"/>
        <color theme="1"/>
        <rFont val="Calibri"/>
        <family val="2"/>
        <charset val="204"/>
        <scheme val="minor"/>
      </rPr>
      <t xml:space="preserve"> (Net Cash Flow), NV (Net Value), CFAT (Cash Flow After Tax)</t>
    </r>
  </si>
  <si>
    <r>
      <rPr>
        <b/>
        <sz val="14"/>
        <color theme="1"/>
        <rFont val="Calibri"/>
        <family val="2"/>
        <charset val="204"/>
        <scheme val="minor"/>
      </rPr>
      <t>PV</t>
    </r>
    <r>
      <rPr>
        <sz val="11"/>
        <color theme="1"/>
        <rFont val="Calibri"/>
        <family val="2"/>
        <charset val="204"/>
        <scheme val="minor"/>
      </rPr>
      <t xml:space="preserve"> (Present Value)</t>
    </r>
  </si>
  <si>
    <r>
      <rPr>
        <b/>
        <sz val="14"/>
        <color theme="1"/>
        <rFont val="Calibri"/>
        <family val="2"/>
        <charset val="204"/>
        <scheme val="minor"/>
      </rPr>
      <t>PP</t>
    </r>
    <r>
      <rPr>
        <sz val="11"/>
        <color theme="1"/>
        <rFont val="Calibri"/>
        <family val="2"/>
        <charset val="204"/>
        <scheme val="minor"/>
      </rPr>
      <t xml:space="preserve"> (Payback period), POT (Pay-out time)</t>
    </r>
  </si>
  <si>
    <r>
      <rPr>
        <b/>
        <sz val="14"/>
        <color theme="1"/>
        <rFont val="Calibri"/>
        <family val="2"/>
        <charset val="204"/>
        <scheme val="minor"/>
      </rPr>
      <t>NPV</t>
    </r>
    <r>
      <rPr>
        <sz val="11"/>
        <color theme="1"/>
        <rFont val="Calibri"/>
        <family val="2"/>
        <charset val="204"/>
        <scheme val="minor"/>
      </rPr>
      <t xml:space="preserve"> (Net Present Value), NPW (Net Present Worth)</t>
    </r>
  </si>
  <si>
    <r>
      <rPr>
        <b/>
        <sz val="14"/>
        <color theme="1"/>
        <rFont val="Calibri"/>
        <family val="2"/>
        <charset val="204"/>
        <scheme val="minor"/>
      </rPr>
      <t>DPP</t>
    </r>
    <r>
      <rPr>
        <sz val="11"/>
        <color theme="1"/>
        <rFont val="Calibri"/>
        <family val="2"/>
        <charset val="204"/>
        <scheme val="minor"/>
      </rPr>
      <t xml:space="preserve"> (Discounted Payback Period), PVP (Present Value Payback)</t>
    </r>
  </si>
  <si>
    <r>
      <rPr>
        <b/>
        <sz val="14"/>
        <color theme="1"/>
        <rFont val="Calibri"/>
        <family val="2"/>
        <charset val="204"/>
        <scheme val="minor"/>
      </rPr>
      <t>IRR</t>
    </r>
    <r>
      <rPr>
        <sz val="11"/>
        <color theme="1"/>
        <rFont val="Calibri"/>
        <family val="2"/>
        <charset val="204"/>
        <scheme val="minor"/>
      </rPr>
      <t xml:space="preserve"> (Internal Rate of Return), ERR (Economic Rate of Return)</t>
    </r>
  </si>
  <si>
    <r>
      <rPr>
        <b/>
        <sz val="14"/>
        <color theme="1"/>
        <rFont val="Calibri"/>
        <family val="2"/>
        <charset val="204"/>
        <scheme val="minor"/>
      </rPr>
      <t>DPI</t>
    </r>
    <r>
      <rPr>
        <sz val="11"/>
        <color theme="1"/>
        <rFont val="Calibri"/>
        <family val="2"/>
        <charset val="204"/>
        <scheme val="minor"/>
      </rPr>
      <t xml:space="preserve"> (Discounted Profitability Index), PVI (Present Value Index, PV-index), Benefit to Cost Ratio (BCR), Profit-Investment Ratio (PIR), NPWI (Net Present Worth Index)</t>
    </r>
  </si>
  <si>
    <r>
      <rPr>
        <b/>
        <sz val="14"/>
        <color theme="1"/>
        <rFont val="Calibri"/>
        <family val="2"/>
        <charset val="204"/>
        <scheme val="minor"/>
      </rPr>
      <t>NRR</t>
    </r>
    <r>
      <rPr>
        <sz val="11"/>
        <color theme="1"/>
        <rFont val="Calibri"/>
        <family val="2"/>
        <charset val="204"/>
        <scheme val="minor"/>
      </rPr>
      <t xml:space="preserve"> (Net Rate of Return)</t>
    </r>
  </si>
  <si>
    <r>
      <rPr>
        <b/>
        <sz val="14"/>
        <color theme="1"/>
        <rFont val="Calibri"/>
        <family val="2"/>
        <charset val="204"/>
        <scheme val="minor"/>
      </rPr>
      <t>D</t>
    </r>
    <r>
      <rPr>
        <sz val="11"/>
        <color theme="1"/>
        <rFont val="Calibri"/>
        <family val="2"/>
        <charset val="204"/>
        <scheme val="minor"/>
      </rPr>
      <t xml:space="preserve"> (Duration)</t>
    </r>
  </si>
  <si>
    <r>
      <rPr>
        <b/>
        <sz val="14"/>
        <color theme="1"/>
        <rFont val="Calibri"/>
        <family val="2"/>
        <charset val="204"/>
        <scheme val="minor"/>
      </rPr>
      <t>ROI</t>
    </r>
    <r>
      <rPr>
        <sz val="11"/>
        <color theme="1"/>
        <rFont val="Calibri"/>
        <family val="2"/>
        <charset val="204"/>
        <scheme val="minor"/>
      </rPr>
      <t xml:space="preserve"> (Return on Investment), ROR (Rate of Return)</t>
    </r>
  </si>
  <si>
    <r>
      <rPr>
        <b/>
        <sz val="14"/>
        <color theme="1"/>
        <rFont val="Calibri"/>
        <family val="2"/>
        <charset val="204"/>
        <scheme val="minor"/>
      </rPr>
      <t>MIRR</t>
    </r>
    <r>
      <rPr>
        <sz val="11"/>
        <color theme="1"/>
        <rFont val="Calibri"/>
        <family val="2"/>
        <charset val="204"/>
        <scheme val="minor"/>
      </rPr>
      <t xml:space="preserve"> (Modified Internal Rate of Return), RIRR (Reinvestment-rate adjusted Internal Rate of Return)</t>
    </r>
  </si>
  <si>
    <r>
      <rPr>
        <b/>
        <sz val="14"/>
        <color theme="1"/>
        <rFont val="Calibri"/>
        <family val="2"/>
        <charset val="204"/>
        <scheme val="minor"/>
      </rPr>
      <t>MNPV</t>
    </r>
    <r>
      <rPr>
        <sz val="11"/>
        <color theme="1"/>
        <rFont val="Calibri"/>
        <family val="2"/>
        <charset val="204"/>
        <scheme val="minor"/>
      </rPr>
      <t xml:space="preserve"> (Modified Net Present Value), MNPW (Modified Net Present Worth)</t>
    </r>
  </si>
  <si>
    <r>
      <t>Russian term: "</t>
    </r>
    <r>
      <rPr>
        <b/>
        <sz val="14"/>
        <color theme="1"/>
        <rFont val="Calibri"/>
        <family val="2"/>
        <charset val="204"/>
        <scheme val="minor"/>
      </rPr>
      <t>Модифицированная чистая текущая стоимость, модифицированный чистый дисконтированный доход/приведенный эффект</t>
    </r>
    <r>
      <rPr>
        <sz val="14"/>
        <color theme="1"/>
        <rFont val="Calibri"/>
        <family val="2"/>
        <charset val="204"/>
        <scheme val="minor"/>
      </rPr>
      <t>"</t>
    </r>
  </si>
  <si>
    <t>Норма доходности исходя из отношения модифицированной чистой текущей стоимости (MNPV) денежных потоков и суммы денежных оттоков.</t>
  </si>
  <si>
    <r>
      <rPr>
        <b/>
        <sz val="14"/>
        <color theme="1"/>
        <rFont val="Calibri"/>
        <family val="2"/>
        <charset val="204"/>
        <scheme val="minor"/>
      </rPr>
      <t>MNRR</t>
    </r>
    <r>
      <rPr>
        <sz val="11"/>
        <color theme="1"/>
        <rFont val="Calibri"/>
        <family val="2"/>
        <charset val="204"/>
        <scheme val="minor"/>
      </rPr>
      <t xml:space="preserve"> (Modified Net Rate of Return)</t>
    </r>
  </si>
  <si>
    <r>
      <rPr>
        <b/>
        <sz val="12"/>
        <color theme="1"/>
        <rFont val="Calibri"/>
        <family val="2"/>
        <charset val="204"/>
        <scheme val="minor"/>
      </rPr>
      <t xml:space="preserve">Модифицированная: </t>
    </r>
    <r>
      <rPr>
        <sz val="11"/>
        <color theme="1"/>
        <rFont val="Calibri"/>
        <family val="2"/>
        <charset val="204"/>
        <scheme val="minor"/>
      </rPr>
      <t>Чистая/маржинальная норма доходности</t>
    </r>
  </si>
  <si>
    <t>Average rate of return used for the investment with variation of positive and negative cash flows with reinvestment of inflows.</t>
  </si>
  <si>
    <t>MNRR</t>
  </si>
  <si>
    <r>
      <t xml:space="preserve">NPV (Net Present Value) </t>
    </r>
    <r>
      <rPr>
        <i/>
        <sz val="11"/>
        <color theme="1"/>
        <rFont val="Calibri"/>
        <family val="2"/>
        <charset val="204"/>
        <scheme val="minor"/>
      </rPr>
      <t>as discounting of both: incomes and costs</t>
    </r>
  </si>
  <si>
    <r>
      <t xml:space="preserve">NPV (Net Present Value) </t>
    </r>
    <r>
      <rPr>
        <i/>
        <sz val="11"/>
        <color theme="1"/>
        <rFont val="Calibri"/>
        <family val="2"/>
        <charset val="204"/>
        <scheme val="minor"/>
      </rPr>
      <t>as discounting of aggregate cash flow</t>
    </r>
  </si>
  <si>
    <r>
      <t xml:space="preserve">NPV (Net Present Value) </t>
    </r>
    <r>
      <rPr>
        <i/>
        <sz val="11"/>
        <color theme="1"/>
        <rFont val="Calibri"/>
        <family val="2"/>
        <charset val="204"/>
        <scheme val="minor"/>
      </rPr>
      <t>calculated with Excel</t>
    </r>
  </si>
  <si>
    <r>
      <t>IRR (Internal Rate of Return)</t>
    </r>
    <r>
      <rPr>
        <i/>
        <sz val="12"/>
        <color theme="1"/>
        <rFont val="Calibri"/>
        <family val="2"/>
        <charset val="204"/>
        <scheme val="minor"/>
      </rPr>
      <t xml:space="preserve"> calculated with Excel</t>
    </r>
  </si>
  <si>
    <t>DPP (Discounted Payback Period)</t>
  </si>
  <si>
    <t>DPI (Discounted Profitability Index)</t>
  </si>
  <si>
    <t>MNPV (Modified Net Present Value)</t>
  </si>
  <si>
    <t>MNRR (Modified Net Rate of Return)</t>
  </si>
  <si>
    <t>XIRR (Excel function for calculation of IRR for non-periodic cash flows)</t>
  </si>
  <si>
    <t>XNPV (Excel function for calculation of NPV for non-periodic cash flows)</t>
  </si>
  <si>
    <t>WACC</t>
  </si>
  <si>
    <t>NFV</t>
  </si>
  <si>
    <t>NFV (Net Future Value)</t>
  </si>
  <si>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"ЧПС".</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</si>
  <si>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"ВСД".</t>
    </r>
  </si>
  <si>
    <t>Not recommended when the cash flows are alternate</t>
  </si>
  <si>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"МВСД".</t>
    </r>
  </si>
  <si>
    <r>
      <t>Russian term: "</t>
    </r>
    <r>
      <rPr>
        <b/>
        <i/>
        <sz val="14"/>
        <color theme="1"/>
        <rFont val="Calibri"/>
        <family val="2"/>
        <charset val="204"/>
        <scheme val="minor"/>
      </rPr>
      <t>Модифицированная чистая норма доходности/рентабельности</t>
    </r>
    <r>
      <rPr>
        <sz val="14"/>
        <color theme="1"/>
        <rFont val="Calibri"/>
        <family val="2"/>
        <charset val="204"/>
        <scheme val="minor"/>
      </rPr>
      <t>"</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</si>
  <si>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"ЧИСТВНДОХ".</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</si>
  <si>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"ЧИСТНЗ".</t>
    </r>
  </si>
  <si>
    <r>
      <t>Russian term: "</t>
    </r>
    <r>
      <rPr>
        <b/>
        <i/>
        <sz val="14"/>
        <color theme="1"/>
        <rFont val="Calibri"/>
        <family val="2"/>
        <charset val="204"/>
        <scheme val="minor"/>
      </rPr>
      <t>Чистая будущая стоимость</t>
    </r>
    <r>
      <rPr>
        <sz val="14"/>
        <color theme="1"/>
        <rFont val="Calibri"/>
        <family val="2"/>
        <charset val="204"/>
        <scheme val="minor"/>
      </rPr>
      <t>"</t>
    </r>
  </si>
  <si>
    <r>
      <rPr>
        <b/>
        <sz val="14"/>
        <color theme="1"/>
        <rFont val="Calibri"/>
        <family val="2"/>
        <charset val="204"/>
        <scheme val="minor"/>
      </rPr>
      <t>NFV</t>
    </r>
    <r>
      <rPr>
        <sz val="11"/>
        <color theme="1"/>
        <rFont val="Calibri"/>
        <family val="2"/>
        <charset val="204"/>
        <scheme val="minor"/>
      </rPr>
      <t xml:space="preserve"> (Net Future Value)</t>
    </r>
  </si>
  <si>
    <t>Чистая будущая стоимость</t>
  </si>
  <si>
    <t>Money-based profitability ratios</t>
  </si>
  <si>
    <t>Interest rate based profitability ratios</t>
  </si>
  <si>
    <t>Time-based profitability ratios</t>
  </si>
  <si>
    <t>Эквивалентная ежегодная рента, эквивалентный аннуитет</t>
  </si>
  <si>
    <t>Пересчет чистой текущей стоимости в эквивалент аннуитета</t>
  </si>
  <si>
    <t>Recalculation of NPV to equal annual cash flows</t>
  </si>
  <si>
    <t>ANPV</t>
  </si>
  <si>
    <r>
      <t>Russian term: "Э</t>
    </r>
    <r>
      <rPr>
        <b/>
        <i/>
        <sz val="14"/>
        <color theme="1"/>
        <rFont val="Calibri"/>
        <family val="2"/>
        <charset val="204"/>
        <scheme val="minor"/>
      </rPr>
      <t>квивалентная ежегодная рента</t>
    </r>
    <r>
      <rPr>
        <sz val="14"/>
        <color theme="1"/>
        <rFont val="Calibri"/>
        <family val="2"/>
        <charset val="204"/>
        <scheme val="minor"/>
      </rPr>
      <t>"</t>
    </r>
  </si>
  <si>
    <t>ANPV (Annualized Net Present Value)</t>
  </si>
  <si>
    <t>The same idea as NPV gives. If NPV &gt; 0, DPI &gt; 1.</t>
  </si>
  <si>
    <r>
      <rPr>
        <b/>
        <i/>
        <sz val="11"/>
        <color theme="1"/>
        <rFont val="Calibri"/>
        <family val="2"/>
        <charset val="204"/>
        <scheme val="minor"/>
      </rPr>
      <t>Synonyms:</t>
    </r>
    <r>
      <rPr>
        <b/>
        <sz val="14"/>
        <color theme="1"/>
        <rFont val="Calibri"/>
        <family val="2"/>
        <charset val="204"/>
        <scheme val="minor"/>
      </rPr>
      <t xml:space="preserve"> NUS (Net Uniform Sries), EAC (Equivalent annual cost), EAA (Equivalent Annual Annuity)</t>
    </r>
  </si>
  <si>
    <r>
      <rPr>
        <b/>
        <sz val="14"/>
        <color theme="1"/>
        <rFont val="Calibri"/>
        <family val="2"/>
        <charset val="204"/>
        <scheme val="minor"/>
      </rPr>
      <t>ANPV</t>
    </r>
    <r>
      <rPr>
        <sz val="11"/>
        <color theme="1"/>
        <rFont val="Calibri"/>
        <family val="2"/>
        <charset val="204"/>
        <scheme val="minor"/>
      </rPr>
      <t xml:space="preserve"> (Annualized Net Present Value), NUS (Net Uniform Sries), EAC (Equivalent annual cost), EAA (Equivalent Annual Annuity)</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</si>
  <si>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"БС".</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</si>
  <si>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"БС". </t>
    </r>
    <r>
      <rPr>
        <sz val="14"/>
        <color theme="1"/>
        <rFont val="Calibri"/>
        <family val="2"/>
        <charset val="204"/>
        <scheme val="minor"/>
      </rPr>
      <t>Special scheme of calcuation.</t>
    </r>
  </si>
  <si>
    <t>Inflation on selling price of produced units, % p.a.</t>
  </si>
  <si>
    <t>Inflation on all expenses of produced units, % p.a.</t>
  </si>
  <si>
    <t>Interest rate on loans, % p.a.</t>
  </si>
  <si>
    <t>Inflation, changing exchange rates, loans, dividends paid</t>
  </si>
  <si>
    <r>
      <t>Loans obtained (</t>
    </r>
    <r>
      <rPr>
        <b/>
        <sz val="11"/>
        <color theme="1"/>
        <rFont val="Calibri"/>
        <family val="2"/>
        <charset val="204"/>
        <scheme val="minor"/>
      </rPr>
      <t>intra-year, totally repaid at 31/12, term of using 360 days</t>
    </r>
    <r>
      <rPr>
        <sz val="11"/>
        <color theme="1"/>
        <rFont val="Calibri"/>
        <family val="2"/>
        <charset val="204"/>
        <scheme val="minor"/>
      </rPr>
      <t>)</t>
    </r>
  </si>
  <si>
    <r>
      <t>Interest paid (</t>
    </r>
    <r>
      <rPr>
        <b/>
        <sz val="11"/>
        <color theme="1"/>
        <rFont val="Calibri"/>
        <family val="2"/>
        <charset val="204"/>
        <scheme val="minor"/>
      </rPr>
      <t>day count convention - 30/360</t>
    </r>
    <r>
      <rPr>
        <sz val="11"/>
        <color theme="1"/>
        <rFont val="Calibri"/>
        <family val="2"/>
        <charset val="204"/>
        <scheme val="minor"/>
      </rPr>
      <t>)</t>
    </r>
  </si>
  <si>
    <t>Dividends accrued but not repaid (25% of net profit)</t>
  </si>
  <si>
    <t>The sum of the future values of all cash flows generated by the Project if reinvested immediately after receiving.</t>
  </si>
  <si>
    <t>Сумма будущих стоимостей всех спрогнозированных денежных потоков при мгновенной реинвестиции под барьерную ставку.</t>
  </si>
  <si>
    <t>Special calculations of Duration and NFV when cash flows are positive</t>
  </si>
  <si>
    <t>Not correct due to alternate cash flows</t>
  </si>
  <si>
    <t>Hurdle rate and Compound factor</t>
  </si>
  <si>
    <t>NFV (Net Future Value) as function of NPV</t>
  </si>
  <si>
    <r>
      <t xml:space="preserve">NPV </t>
    </r>
    <r>
      <rPr>
        <b/>
        <sz val="12"/>
        <color theme="1"/>
        <rFont val="Calibri"/>
        <family val="2"/>
        <charset val="204"/>
        <scheme val="minor"/>
      </rPr>
      <t>(only positive cash flows)</t>
    </r>
  </si>
  <si>
    <t>Средневзвешенный срок жизненного цикла инвестиционного проекта, как мера чувствительности к изменению барьерной ставки.</t>
  </si>
  <si>
    <t>Average weighted term of the Project life cycle linked to changes of the hurdle rate.</t>
  </si>
  <si>
    <r>
      <t>DCF multiplied to Period Number (</t>
    </r>
    <r>
      <rPr>
        <b/>
        <sz val="14"/>
        <color theme="1"/>
        <rFont val="Calibri"/>
        <family val="2"/>
        <charset val="204"/>
        <scheme val="minor"/>
      </rPr>
      <t>Y1</t>
    </r>
    <r>
      <rPr>
        <sz val="12"/>
        <color theme="1"/>
        <rFont val="Calibri"/>
        <family val="2"/>
        <charset val="204"/>
        <scheme val="minor"/>
      </rPr>
      <t xml:space="preserve"> is period No 1)</t>
    </r>
  </si>
  <si>
    <r>
      <t>DCF</t>
    </r>
    <r>
      <rPr>
        <b/>
        <sz val="14"/>
        <color theme="1"/>
        <rFont val="Calibri"/>
        <family val="2"/>
        <charset val="204"/>
        <scheme val="minor"/>
      </rPr>
      <t xml:space="preserve"> since period Y1</t>
    </r>
  </si>
  <si>
    <t>NTV</t>
  </si>
  <si>
    <t>CF (Cash Flow) within last period of projection</t>
  </si>
  <si>
    <t>Growth rate</t>
  </si>
  <si>
    <t>Net Terminal Value (NTV)</t>
  </si>
  <si>
    <t>NPV (Net Present Value)</t>
  </si>
  <si>
    <t>Estimated growth rate (entire economy)</t>
  </si>
  <si>
    <t>EBITDA growth y-o-y</t>
  </si>
  <si>
    <t>EBIT growth y-o-y</t>
  </si>
  <si>
    <t>Net profit growth y-o-y</t>
  </si>
  <si>
    <t>Equity</t>
  </si>
  <si>
    <r>
      <t xml:space="preserve">Straight debt </t>
    </r>
    <r>
      <rPr>
        <b/>
        <sz val="11"/>
        <color theme="1"/>
        <rFont val="Calibri"/>
        <family val="2"/>
        <charset val="204"/>
        <scheme val="minor"/>
      </rPr>
      <t>(average for the year)</t>
    </r>
  </si>
  <si>
    <t>Share of net profit paid as dividends</t>
  </si>
  <si>
    <t>Interest on debt</t>
  </si>
  <si>
    <t>WACC (Weighted Average Cost of Capital)</t>
  </si>
  <si>
    <t>Corporate tax rate</t>
  </si>
  <si>
    <t>Total Capital</t>
  </si>
  <si>
    <t>Average for the period</t>
  </si>
  <si>
    <r>
      <t>Russian term: "</t>
    </r>
    <r>
      <rPr>
        <b/>
        <i/>
        <sz val="14"/>
        <color theme="1"/>
        <rFont val="Calibri"/>
        <family val="2"/>
        <charset val="204"/>
        <scheme val="minor"/>
      </rPr>
      <t>Средневзвешенная стоимость капитала</t>
    </r>
    <r>
      <rPr>
        <sz val="14"/>
        <color theme="1"/>
        <rFont val="Calibri"/>
        <family val="2"/>
        <charset val="204"/>
        <scheme val="minor"/>
      </rPr>
      <t>"</t>
    </r>
  </si>
  <si>
    <r>
      <t>Russian term: "</t>
    </r>
    <r>
      <rPr>
        <b/>
        <i/>
        <sz val="14"/>
        <color theme="1"/>
        <rFont val="Calibri"/>
        <family val="2"/>
        <charset val="204"/>
        <scheme val="minor"/>
      </rPr>
      <t>Чистая терминальная стоимость</t>
    </r>
    <r>
      <rPr>
        <sz val="14"/>
        <color theme="1"/>
        <rFont val="Calibri"/>
        <family val="2"/>
        <charset val="204"/>
        <scheme val="minor"/>
      </rPr>
      <t>"</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</si>
  <si>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"ПС".</t>
    </r>
  </si>
  <si>
    <r>
      <t xml:space="preserve">Key Profitability Ratios </t>
    </r>
    <r>
      <rPr>
        <b/>
        <sz val="14"/>
        <color rgb="FFFFFF00"/>
        <rFont val="Calibri"/>
        <family val="2"/>
        <charset val="204"/>
        <scheme val="minor"/>
      </rPr>
      <t>recalculated with costant WACC as a hurdle rate</t>
    </r>
  </si>
  <si>
    <r>
      <t xml:space="preserve">Key Profitability Ratios </t>
    </r>
    <r>
      <rPr>
        <b/>
        <sz val="14"/>
        <color rgb="FFFFFF00"/>
        <rFont val="Calibri"/>
        <family val="2"/>
        <charset val="204"/>
        <scheme val="minor"/>
      </rPr>
      <t>recalculated with variating WACC as a hurdle rate (multiple hurdle rates)</t>
    </r>
  </si>
  <si>
    <t>Discount rate = Reinvestment rate</t>
  </si>
  <si>
    <t>Number of period</t>
  </si>
  <si>
    <r>
      <t>Project Profitability Ratios</t>
    </r>
    <r>
      <rPr>
        <b/>
        <sz val="18"/>
        <color theme="1"/>
        <rFont val="Calibri"/>
        <family val="2"/>
        <charset val="204"/>
        <scheme val="minor"/>
      </rPr>
      <t xml:space="preserve"> (fixed rates)</t>
    </r>
  </si>
  <si>
    <r>
      <t>Project Profitability Ratios</t>
    </r>
    <r>
      <rPr>
        <b/>
        <sz val="18"/>
        <color theme="1"/>
        <rFont val="Calibri"/>
        <family val="2"/>
        <charset val="204"/>
        <scheme val="minor"/>
      </rPr>
      <t xml:space="preserve"> (variating rates)</t>
    </r>
  </si>
  <si>
    <t>Formula</t>
  </si>
  <si>
    <t>Различные коэффициенты окупаемости инвестиций, применяемые к бухгалтерской отчетности и не применяющие методы дисконтирования будущих потоков. В оценке проектов используются в качестве коэффициентов, применямых к прогнозным балансам и отчетам о прибылях и убытках.</t>
  </si>
  <si>
    <t>Various ratios of company profitability based on the analysis of accounts which don't apply discounting methods. In projecting ROI is used for valuation of future balance sheet and P&amp;L of the entity.</t>
  </si>
  <si>
    <r>
      <t xml:space="preserve">Company Valuation </t>
    </r>
    <r>
      <rPr>
        <b/>
        <sz val="18"/>
        <color theme="0"/>
        <rFont val="Calibri"/>
        <family val="2"/>
        <charset val="204"/>
        <scheme val="minor"/>
      </rPr>
      <t>based on WACC discount rate</t>
    </r>
  </si>
  <si>
    <t>NTV (Net Terminal Value)</t>
  </si>
  <si>
    <t>Company Value</t>
  </si>
  <si>
    <t>CF (Cash Flow)</t>
  </si>
  <si>
    <t>Discount factor (special rate)</t>
  </si>
  <si>
    <r>
      <t>Discounted Cash Flow</t>
    </r>
    <r>
      <rPr>
        <b/>
        <sz val="11"/>
        <color theme="1"/>
        <rFont val="Calibri"/>
        <family val="2"/>
        <charset val="204"/>
        <scheme val="minor"/>
      </rPr>
      <t xml:space="preserve"> (special rate)</t>
    </r>
  </si>
  <si>
    <r>
      <t xml:space="preserve">The period </t>
    </r>
    <r>
      <rPr>
        <b/>
        <sz val="12"/>
        <color theme="1"/>
        <rFont val="Calibri"/>
        <family val="2"/>
        <charset val="204"/>
        <scheme val="minor"/>
      </rPr>
      <t>Y0</t>
    </r>
    <r>
      <rPr>
        <sz val="12"/>
        <color theme="1"/>
        <rFont val="Calibri"/>
        <family val="2"/>
        <charset val="204"/>
        <scheme val="minor"/>
      </rPr>
      <t xml:space="preserve"> when the initial investment is done is considered as a first year of the project. Computing of the project payback period can start since </t>
    </r>
    <r>
      <rPr>
        <b/>
        <sz val="12"/>
        <color theme="1"/>
        <rFont val="Calibri"/>
        <family val="2"/>
        <charset val="204"/>
        <scheme val="minor"/>
      </rPr>
      <t>Y1</t>
    </r>
    <r>
      <rPr>
        <sz val="12"/>
        <color theme="1"/>
        <rFont val="Calibri"/>
        <family val="2"/>
        <charset val="204"/>
        <scheme val="minor"/>
      </rPr>
      <t>, then we should subtract 1 from the final number</t>
    </r>
  </si>
  <si>
    <t>ROI = (Gains from Investment – Cost of Investment) / Cost of Investment</t>
  </si>
  <si>
    <t>Excel Formula</t>
  </si>
  <si>
    <t>Коэффициент окупаемости инвестиций</t>
  </si>
  <si>
    <t>No direct function</t>
  </si>
  <si>
    <r>
      <rPr>
        <b/>
        <sz val="14"/>
        <color theme="1"/>
        <rFont val="Calibri"/>
        <family val="2"/>
        <charset val="204"/>
        <scheme val="minor"/>
      </rPr>
      <t>NTV</t>
    </r>
    <r>
      <rPr>
        <sz val="11"/>
        <color theme="1"/>
        <rFont val="Calibri"/>
        <family val="2"/>
        <charset val="204"/>
        <scheme val="minor"/>
      </rPr>
      <t xml:space="preserve"> (Net Terminal Value)</t>
    </r>
  </si>
  <si>
    <r>
      <rPr>
        <b/>
        <sz val="14"/>
        <color theme="1"/>
        <rFont val="Calibri"/>
        <family val="2"/>
        <charset val="204"/>
        <scheme val="minor"/>
      </rPr>
      <t>WACC</t>
    </r>
    <r>
      <rPr>
        <sz val="11"/>
        <color theme="1"/>
        <rFont val="Calibri"/>
        <family val="2"/>
        <charset val="204"/>
        <scheme val="minor"/>
      </rPr>
      <t xml:space="preserve"> (Weighted Average Cost of Capital)</t>
    </r>
  </si>
  <si>
    <t>Средневзвешенная стоимость капитала</t>
  </si>
  <si>
    <t>Чистая терминальная стоимость</t>
  </si>
  <si>
    <r>
      <rPr>
        <b/>
        <sz val="12"/>
        <color theme="1"/>
        <rFont val="Calibri"/>
        <family val="2"/>
        <charset val="204"/>
        <scheme val="minor"/>
      </rPr>
      <t>NPV</t>
    </r>
    <r>
      <rPr>
        <sz val="11"/>
        <color theme="1"/>
        <rFont val="Calibri"/>
        <family val="2"/>
        <charset val="204"/>
        <scheme val="minor"/>
      </rPr>
      <t xml:space="preserve"> with variating hurdle rates</t>
    </r>
  </si>
  <si>
    <t>Special formulas:</t>
  </si>
  <si>
    <r>
      <rPr>
        <b/>
        <sz val="12"/>
        <color theme="1"/>
        <rFont val="Calibri"/>
        <family val="2"/>
        <charset val="204"/>
        <scheme val="minor"/>
      </rPr>
      <t>MNPV</t>
    </r>
    <r>
      <rPr>
        <sz val="11"/>
        <color theme="1"/>
        <rFont val="Calibri"/>
        <family val="2"/>
        <charset val="204"/>
        <scheme val="minor"/>
      </rPr>
      <t xml:space="preserve"> with variating hurdle rates</t>
    </r>
  </si>
  <si>
    <r>
      <rPr>
        <b/>
        <sz val="12"/>
        <color theme="1"/>
        <rFont val="Calibri"/>
        <family val="2"/>
        <charset val="204"/>
        <scheme val="minor"/>
      </rPr>
      <t>MIRR</t>
    </r>
    <r>
      <rPr>
        <sz val="11"/>
        <color theme="1"/>
        <rFont val="Calibri"/>
        <family val="2"/>
        <charset val="204"/>
        <scheme val="minor"/>
      </rPr>
      <t xml:space="preserve"> with variating discount and reinvestment rates</t>
    </r>
  </si>
  <si>
    <r>
      <rPr>
        <b/>
        <sz val="12"/>
        <color theme="1"/>
        <rFont val="Calibri"/>
        <family val="2"/>
        <charset val="204"/>
        <scheme val="minor"/>
      </rPr>
      <t>DPP</t>
    </r>
    <r>
      <rPr>
        <sz val="11"/>
        <color theme="1"/>
        <rFont val="Calibri"/>
        <family val="2"/>
        <charset val="204"/>
        <scheme val="minor"/>
      </rPr>
      <t xml:space="preserve"> with variating hurdle rates</t>
    </r>
  </si>
  <si>
    <r>
      <rPr>
        <b/>
        <sz val="12"/>
        <color theme="1"/>
        <rFont val="Calibri"/>
        <family val="2"/>
        <charset val="204"/>
        <scheme val="minor"/>
      </rPr>
      <t>DPI</t>
    </r>
    <r>
      <rPr>
        <sz val="11"/>
        <color theme="1"/>
        <rFont val="Calibri"/>
        <family val="2"/>
        <charset val="204"/>
        <scheme val="minor"/>
      </rPr>
      <t xml:space="preserve"> with variating hurdle rates</t>
    </r>
  </si>
  <si>
    <r>
      <rPr>
        <b/>
        <sz val="12"/>
        <color theme="1"/>
        <rFont val="Calibri"/>
        <family val="2"/>
        <charset val="204"/>
        <scheme val="minor"/>
      </rPr>
      <t>Duration</t>
    </r>
    <r>
      <rPr>
        <sz val="11"/>
        <color theme="1"/>
        <rFont val="Calibri"/>
        <family val="2"/>
        <charset val="204"/>
        <scheme val="minor"/>
      </rPr>
      <t xml:space="preserve"> with variating hurdle rates</t>
    </r>
  </si>
  <si>
    <r>
      <rPr>
        <b/>
        <sz val="12"/>
        <color theme="1"/>
        <rFont val="Calibri"/>
        <family val="2"/>
        <charset val="204"/>
        <scheme val="minor"/>
      </rPr>
      <t>MIRR</t>
    </r>
    <r>
      <rPr>
        <sz val="11"/>
        <color theme="1"/>
        <rFont val="Calibri"/>
        <family val="2"/>
        <charset val="204"/>
        <scheme val="minor"/>
      </rPr>
      <t xml:space="preserve"> Hurdle Rate (with reinvestment at constant Hurdle Rate)</t>
    </r>
  </si>
  <si>
    <r>
      <rPr>
        <b/>
        <sz val="12"/>
        <color theme="1"/>
        <rFont val="Calibri"/>
        <family val="2"/>
        <charset val="204"/>
        <scheme val="minor"/>
      </rPr>
      <t>MIRR</t>
    </r>
    <r>
      <rPr>
        <sz val="11"/>
        <color theme="1"/>
        <rFont val="Calibri"/>
        <family val="2"/>
        <charset val="204"/>
        <scheme val="minor"/>
      </rPr>
      <t xml:space="preserve"> Hurdle Rate (with reinvestment at variating Hurdle Rate)</t>
    </r>
  </si>
  <si>
    <t>ASSETS</t>
  </si>
  <si>
    <t>Property, plant, equipment</t>
  </si>
  <si>
    <t>Other non-current assets</t>
  </si>
  <si>
    <t>Current assets</t>
  </si>
  <si>
    <t xml:space="preserve">   including:</t>
  </si>
  <si>
    <t>Non-current assets</t>
  </si>
  <si>
    <t>Inventories</t>
  </si>
  <si>
    <t>Goods for resale</t>
  </si>
  <si>
    <t>Accounts receivable</t>
  </si>
  <si>
    <t>Advances paid</t>
  </si>
  <si>
    <t>Cash &amp; cash equivalents</t>
  </si>
  <si>
    <t>Other current assets</t>
  </si>
  <si>
    <t>TOTAL ASSETS</t>
  </si>
  <si>
    <t xml:space="preserve"> EQUITY AND LIABILITIES</t>
  </si>
  <si>
    <t>Shareholders' equity</t>
  </si>
  <si>
    <t>Paid-up equity</t>
  </si>
  <si>
    <t>Reserves</t>
  </si>
  <si>
    <t>Reatined earnings of previous years</t>
  </si>
  <si>
    <t>Reatined earnings of current year</t>
  </si>
  <si>
    <t>Long-term loans</t>
  </si>
  <si>
    <t>Long-term leasing</t>
  </si>
  <si>
    <t>Other long-term liabilities</t>
  </si>
  <si>
    <t>Short-term liabilities</t>
  </si>
  <si>
    <t>Long-term liabilities</t>
  </si>
  <si>
    <t>Short-term loans</t>
  </si>
  <si>
    <t>Short-term leasing</t>
  </si>
  <si>
    <t>Accounts payable</t>
  </si>
  <si>
    <t>Other short-term liabilities</t>
  </si>
  <si>
    <t>TOTAL EQUITY AND LIABILITIES</t>
  </si>
  <si>
    <t>Fixed assets</t>
  </si>
  <si>
    <t>Group 1. Biuldings</t>
  </si>
  <si>
    <t>Depreciation method</t>
  </si>
  <si>
    <t>Amount (USD, thous)</t>
  </si>
  <si>
    <t>Salvage (Residual) Value, (USD, thous.)</t>
  </si>
  <si>
    <t>Group 3. Software (Intangible assets)</t>
  </si>
  <si>
    <t>Year of going into operations</t>
  </si>
  <si>
    <t>Estimated useful life (years)</t>
  </si>
  <si>
    <t>Straight-line</t>
  </si>
  <si>
    <t>Declining balance</t>
  </si>
  <si>
    <t>Group 2. Equipment 1</t>
  </si>
  <si>
    <t>Sum-of-year-digits</t>
  </si>
  <si>
    <t>Group 4. Equipment 2</t>
  </si>
  <si>
    <t>Units-of-production</t>
  </si>
  <si>
    <t>Yearly depreciation expense (USD, thous)</t>
  </si>
  <si>
    <t>Yearly depreciation rate (%)</t>
  </si>
  <si>
    <t>Year of going into operations (beginning of year)</t>
  </si>
  <si>
    <t>Nominal Yearly depreciation rate (% of FA value of previous year)</t>
  </si>
  <si>
    <t>Last year balance of depreciation expense to reach a salvage value</t>
  </si>
  <si>
    <t>Last year re-calculated annual rate</t>
  </si>
  <si>
    <t>Yearly depreciation equivalent of annual rate (%)</t>
  </si>
  <si>
    <t>Depreciable Cost (USD, thous.)</t>
  </si>
  <si>
    <t>Amortizable Cost (USD, thous.)</t>
  </si>
  <si>
    <t>Amortization method</t>
  </si>
  <si>
    <t>Amortization rate for the period</t>
  </si>
  <si>
    <t>i</t>
  </si>
  <si>
    <t>Ri</t>
  </si>
  <si>
    <t>Ri =  (n-i+1)/((n^2+n)/2))</t>
  </si>
  <si>
    <t>Yearly amortization expense (USD, thous)</t>
  </si>
  <si>
    <t>Estimated useful life  (total number of produced units)</t>
  </si>
  <si>
    <t>More aggressive method than Straight-line Depreciation/Amortization</t>
  </si>
  <si>
    <t>Less aggressive method than Declining-Balance Derpeciation/Amortization</t>
  </si>
  <si>
    <t>Actually Produced Units (units)</t>
  </si>
  <si>
    <t>Total Depreciation/Amortization</t>
  </si>
  <si>
    <t>Depreciated Value of Fixed Assets</t>
  </si>
  <si>
    <t>The agressiveness of the method lays in defining of Estimated Total Production number</t>
  </si>
  <si>
    <t>The most neutral and conservative method</t>
  </si>
  <si>
    <t>including:</t>
  </si>
  <si>
    <t>Depreciation Expense</t>
  </si>
  <si>
    <t>To re-calculate Declining-Balance Depreciation Scheme to Straight-line Depreciation:</t>
  </si>
  <si>
    <r>
      <t xml:space="preserve">Annual Declining-Balance Depreciation Expense = </t>
    </r>
    <r>
      <rPr>
        <b/>
        <i/>
        <sz val="11"/>
        <color theme="1"/>
        <rFont val="Calibri"/>
        <family val="2"/>
        <charset val="204"/>
        <scheme val="minor"/>
      </rPr>
      <t>Double Straight-line rate</t>
    </r>
    <r>
      <rPr>
        <sz val="11"/>
        <color theme="1"/>
        <rFont val="Calibri"/>
        <family val="2"/>
        <charset val="204"/>
        <scheme val="minor"/>
      </rPr>
      <t xml:space="preserve"> applied to </t>
    </r>
    <r>
      <rPr>
        <b/>
        <i/>
        <sz val="11"/>
        <color theme="1"/>
        <rFont val="Calibri"/>
        <family val="2"/>
        <charset val="204"/>
        <scheme val="minor"/>
      </rPr>
      <t>remaining value of FA</t>
    </r>
    <r>
      <rPr>
        <sz val="11"/>
        <color theme="1"/>
        <rFont val="Calibri"/>
        <family val="2"/>
        <charset val="204"/>
        <scheme val="minor"/>
      </rPr>
      <t xml:space="preserve"> + </t>
    </r>
    <r>
      <rPr>
        <b/>
        <i/>
        <sz val="11"/>
        <color theme="1"/>
        <rFont val="Calibri"/>
        <family val="2"/>
        <charset val="204"/>
        <scheme val="minor"/>
      </rPr>
      <t xml:space="preserve">last year expense </t>
    </r>
    <r>
      <rPr>
        <sz val="11"/>
        <color theme="1"/>
        <rFont val="Calibri"/>
        <family val="2"/>
        <charset val="204"/>
        <scheme val="minor"/>
      </rPr>
      <t>as a difference between the last year depreciated value and salvage value.</t>
    </r>
  </si>
  <si>
    <t>Produced Units</t>
  </si>
  <si>
    <t>Average production cycle, days/365</t>
  </si>
  <si>
    <t>Average monthly inventories in stock, USD thous.</t>
  </si>
  <si>
    <t>Goods for Resale</t>
  </si>
  <si>
    <t>Average monthly consumption of raw materials proportionally to produced units quantity, units</t>
  </si>
  <si>
    <t>Assumptions</t>
  </si>
  <si>
    <t>Variable costs of production are fully attributed to raw materials.</t>
  </si>
  <si>
    <t>The permanent stock of raw materials is sufficient to monthly production of units.</t>
  </si>
  <si>
    <r>
      <t>Average cost of production (</t>
    </r>
    <r>
      <rPr>
        <b/>
        <i/>
        <sz val="12"/>
        <color theme="1"/>
        <rFont val="Calibri"/>
        <family val="2"/>
        <charset val="204"/>
        <scheme val="minor"/>
      </rPr>
      <t>fixed + variables</t>
    </r>
    <r>
      <rPr>
        <sz val="12"/>
        <color theme="1"/>
        <rFont val="Calibri"/>
        <family val="2"/>
        <charset val="204"/>
        <scheme val="minor"/>
      </rPr>
      <t>), USD thous./unit</t>
    </r>
  </si>
  <si>
    <r>
      <t>Average cost of production (</t>
    </r>
    <r>
      <rPr>
        <b/>
        <i/>
        <sz val="12"/>
        <color theme="1"/>
        <rFont val="Calibri"/>
        <family val="2"/>
        <charset val="204"/>
        <scheme val="minor"/>
      </rPr>
      <t>variables</t>
    </r>
    <r>
      <rPr>
        <sz val="12"/>
        <color theme="1"/>
        <rFont val="Calibri"/>
        <family val="2"/>
        <charset val="204"/>
        <scheme val="minor"/>
      </rPr>
      <t>), USD thous./unit</t>
    </r>
  </si>
  <si>
    <t>Salaries and wages represent 70% of total fixed costs.</t>
  </si>
  <si>
    <t>Average monthly units in stock, units</t>
  </si>
  <si>
    <t>Average monthly demand of raw materials, USD thous.</t>
  </si>
  <si>
    <t>Average prepayment of raw materials, USD thous.</t>
  </si>
  <si>
    <t>Credit (open account) sales represent 30% of sales. Delay of payment - 90 days.</t>
  </si>
  <si>
    <t>30% of sales are paid within 30 days after supply.</t>
  </si>
  <si>
    <t>Share of monthly sales on Cash-against-documents basis, USD thous.</t>
  </si>
  <si>
    <t>Share of monthly sales on regular 30-days basis, USD thous.</t>
  </si>
  <si>
    <t>20% of sales are made on Cash-against-documents basis.</t>
  </si>
  <si>
    <t>No receivables appear</t>
  </si>
  <si>
    <t>3-months turnover or 1/4 year turnover is in receivables</t>
  </si>
  <si>
    <t>1-month turnover or 1/12 year turnover is in receivables</t>
  </si>
  <si>
    <t>Total stable amount of trade receivables, USD thous.</t>
  </si>
  <si>
    <t>Cash inflow (no reflection of working capital dynamics)</t>
  </si>
  <si>
    <t>Cash outflow (no reflection of working capital dynamics)</t>
  </si>
  <si>
    <t>Total Yearly sales, USD thous.</t>
  </si>
  <si>
    <t>Accounts receivable on regular 30-days sales, USD thous.</t>
  </si>
  <si>
    <t>Intangible assets</t>
  </si>
  <si>
    <t>Share of yearly sales on 30-days prepayment basis, USD thous.</t>
  </si>
  <si>
    <t>Accounts payable (advances received), USD thous.</t>
  </si>
  <si>
    <t>30% of fixed costs are maintenance costs</t>
  </si>
  <si>
    <t>Advances paid represent 2 months demand of raw materials.</t>
  </si>
  <si>
    <t>20% of sales are prepaid by buyers for the period 30 days till supply.</t>
  </si>
  <si>
    <t>Salaries (70% of fixed costs), USD thous.</t>
  </si>
  <si>
    <t>Maintenance costs (30% of fixed costs), USD thous.</t>
  </si>
  <si>
    <t>Advances received from buyers</t>
  </si>
  <si>
    <t>The salaries are paid on 15th day of each month</t>
  </si>
  <si>
    <t>Accounts payable (salaries), USD thous.</t>
  </si>
  <si>
    <t>Maintenance costs are paid within 20 days after month's end</t>
  </si>
  <si>
    <t>Accounts payable (maintenance costs), USD thous.</t>
  </si>
  <si>
    <t>Total stable amount of payables, USD thous.</t>
  </si>
  <si>
    <t>Current Assets/Liabilities</t>
  </si>
  <si>
    <t>Working Capital</t>
  </si>
  <si>
    <t>Accounts payable, USD thous.</t>
  </si>
  <si>
    <t>Inventories, USD thous.</t>
  </si>
  <si>
    <t>Goods for resale, USD thous.</t>
  </si>
  <si>
    <t>Advances paid, USD thous.</t>
  </si>
  <si>
    <t>Accounts receivable, USD thous.</t>
  </si>
  <si>
    <t>Total Working Capital</t>
  </si>
  <si>
    <t>Changes in Working Capital, USD thous.</t>
  </si>
  <si>
    <t>Average monthly goods for resale in stock, USD thous.</t>
  </si>
  <si>
    <t>Cash Flow</t>
  </si>
  <si>
    <t>Share of monthly sales on 60-days Credit (Open account) basis, USD thous.</t>
  </si>
  <si>
    <t>Accounts receivable on 60-days Credit (Open account) sales, USD thous.</t>
  </si>
  <si>
    <t>1 month</t>
  </si>
  <si>
    <t>Adjusted Cash Flow</t>
  </si>
  <si>
    <t>Initially calculated Cash Flow</t>
  </si>
  <si>
    <r>
      <rPr>
        <b/>
        <sz val="20"/>
        <color theme="1"/>
        <rFont val="Calibri"/>
        <family val="2"/>
        <charset val="204"/>
        <scheme val="minor"/>
      </rPr>
      <t>Balance sheet</t>
    </r>
    <r>
      <rPr>
        <b/>
        <sz val="18"/>
        <color theme="1"/>
        <rFont val="Calibri"/>
        <family val="2"/>
        <charset val="204"/>
        <scheme val="minor"/>
      </rPr>
      <t xml:space="preserve"> </t>
    </r>
    <r>
      <rPr>
        <b/>
        <sz val="12"/>
        <color theme="1"/>
        <rFont val="Calibri"/>
        <family val="2"/>
        <charset val="204"/>
        <scheme val="minor"/>
      </rPr>
      <t>as it was on December 31, Y5</t>
    </r>
  </si>
  <si>
    <t>USD, thous.</t>
  </si>
  <si>
    <r>
      <t>Project Profitability Ratios</t>
    </r>
    <r>
      <rPr>
        <b/>
        <sz val="18"/>
        <color theme="1"/>
        <rFont val="Calibri"/>
        <family val="2"/>
        <charset val="204"/>
        <scheme val="minor"/>
      </rPr>
      <t xml:space="preserve"> (adjusted cash flow)</t>
    </r>
  </si>
  <si>
    <t xml:space="preserve">Same data as it was on </t>
  </si>
  <si>
    <t>Project Profitability Ratios (adjusted cash flow)</t>
  </si>
  <si>
    <t>recalculated with costant WACC as a hurdle rate; adjusted cash flow</t>
  </si>
  <si>
    <t>Previous ratios</t>
  </si>
  <si>
    <t>IRR (Internal Rate of Return)</t>
  </si>
  <si>
    <t>Cumulative DCF</t>
  </si>
  <si>
    <r>
      <t xml:space="preserve">DPP (Discounted Payback Period). </t>
    </r>
    <r>
      <rPr>
        <i/>
        <sz val="11"/>
        <color theme="1"/>
        <rFont val="Calibri"/>
        <family val="2"/>
        <charset val="204"/>
        <scheme val="minor"/>
      </rPr>
      <t>Revenues come evenly inside the year</t>
    </r>
  </si>
  <si>
    <t>Discounted Investment (all negative cash flows)</t>
  </si>
  <si>
    <t>Average Accounting Rate of Return</t>
  </si>
  <si>
    <t>Average net income</t>
  </si>
  <si>
    <t>Total value of purchased/constructed assets (depreciated &amp; amortized)</t>
  </si>
  <si>
    <t>Коэффициент эффективности инвестиций</t>
  </si>
  <si>
    <r>
      <rPr>
        <b/>
        <sz val="14"/>
        <color theme="1"/>
        <rFont val="Calibri"/>
        <family val="2"/>
        <charset val="204"/>
        <scheme val="minor"/>
      </rPr>
      <t>AAR</t>
    </r>
    <r>
      <rPr>
        <sz val="11"/>
        <color theme="1"/>
        <rFont val="Calibri"/>
        <family val="2"/>
        <charset val="204"/>
        <scheme val="minor"/>
      </rPr>
      <t xml:space="preserve"> (Accounting Average Rate of Return), SRR (Simple Rate of Return)</t>
    </r>
  </si>
  <si>
    <t>The ratio of average net profit to average book value of the investment</t>
  </si>
  <si>
    <t>Отношение чистой прибыли к средней бухгалтерской стоимости инвестиции (с учетом амортизации)</t>
  </si>
  <si>
    <t>ARR = Net profit for the period / Average Book value of the Investment</t>
  </si>
  <si>
    <t>Compounding rate</t>
  </si>
  <si>
    <t>Calculated Annuity discounted</t>
  </si>
  <si>
    <r>
      <t>Russian version "</t>
    </r>
    <r>
      <rPr>
        <b/>
        <sz val="12"/>
        <color theme="1"/>
        <rFont val="Calibri"/>
        <family val="2"/>
        <charset val="204"/>
        <scheme val="minor"/>
      </rPr>
      <t>ПЛТ</t>
    </r>
    <r>
      <rPr>
        <sz val="12"/>
        <color theme="1"/>
        <rFont val="Calibri"/>
        <family val="2"/>
        <charset val="204"/>
        <scheme val="minor"/>
      </rPr>
      <t>", English version "</t>
    </r>
    <r>
      <rPr>
        <b/>
        <sz val="12"/>
        <color theme="1"/>
        <rFont val="Calibri"/>
        <family val="2"/>
        <charset val="204"/>
        <scheme val="minor"/>
      </rPr>
      <t>PMT</t>
    </r>
    <r>
      <rPr>
        <sz val="12"/>
        <color theme="1"/>
        <rFont val="Calibri"/>
        <family val="2"/>
        <charset val="204"/>
        <scheme val="minor"/>
      </rPr>
      <t>"</t>
    </r>
  </si>
  <si>
    <r>
      <t>Russian version "</t>
    </r>
    <r>
      <rPr>
        <b/>
        <sz val="12"/>
        <color theme="1"/>
        <rFont val="Calibri"/>
        <family val="2"/>
        <charset val="204"/>
        <scheme val="minor"/>
      </rPr>
      <t>ВСД</t>
    </r>
    <r>
      <rPr>
        <sz val="12"/>
        <color theme="1"/>
        <rFont val="Calibri"/>
        <family val="2"/>
        <charset val="204"/>
        <scheme val="minor"/>
      </rPr>
      <t>", English version "</t>
    </r>
    <r>
      <rPr>
        <b/>
        <sz val="12"/>
        <color theme="1"/>
        <rFont val="Calibri"/>
        <family val="2"/>
        <charset val="204"/>
        <scheme val="minor"/>
      </rPr>
      <t>IRR</t>
    </r>
    <r>
      <rPr>
        <sz val="12"/>
        <color theme="1"/>
        <rFont val="Calibri"/>
        <family val="2"/>
        <charset val="204"/>
        <scheme val="minor"/>
      </rPr>
      <t>"</t>
    </r>
  </si>
  <si>
    <r>
      <t>Russian version "</t>
    </r>
    <r>
      <rPr>
        <b/>
        <sz val="12"/>
        <color theme="1"/>
        <rFont val="Calibri"/>
        <family val="2"/>
        <charset val="204"/>
        <scheme val="minor"/>
      </rPr>
      <t>МВСД</t>
    </r>
    <r>
      <rPr>
        <sz val="12"/>
        <color theme="1"/>
        <rFont val="Calibri"/>
        <family val="2"/>
        <charset val="204"/>
        <scheme val="minor"/>
      </rPr>
      <t>", English version "</t>
    </r>
    <r>
      <rPr>
        <b/>
        <sz val="12"/>
        <color theme="1"/>
        <rFont val="Calibri"/>
        <family val="2"/>
        <charset val="204"/>
        <scheme val="minor"/>
      </rPr>
      <t>MIRR</t>
    </r>
    <r>
      <rPr>
        <sz val="12"/>
        <color theme="1"/>
        <rFont val="Calibri"/>
        <family val="2"/>
        <charset val="204"/>
        <scheme val="minor"/>
      </rPr>
      <t>"</t>
    </r>
  </si>
  <si>
    <r>
      <t>Russian version "</t>
    </r>
    <r>
      <rPr>
        <b/>
        <sz val="12"/>
        <color theme="1"/>
        <rFont val="Calibri"/>
        <family val="2"/>
        <charset val="204"/>
        <scheme val="minor"/>
      </rPr>
      <t>ЧПС</t>
    </r>
    <r>
      <rPr>
        <sz val="12"/>
        <color theme="1"/>
        <rFont val="Calibri"/>
        <family val="2"/>
        <charset val="204"/>
        <scheme val="minor"/>
      </rPr>
      <t>", English version "</t>
    </r>
    <r>
      <rPr>
        <b/>
        <sz val="12"/>
        <color theme="1"/>
        <rFont val="Calibri"/>
        <family val="2"/>
        <charset val="204"/>
        <scheme val="minor"/>
      </rPr>
      <t>NPV</t>
    </r>
    <r>
      <rPr>
        <sz val="12"/>
        <color theme="1"/>
        <rFont val="Calibri"/>
        <family val="2"/>
        <charset val="204"/>
        <scheme val="minor"/>
      </rPr>
      <t>"</t>
    </r>
  </si>
  <si>
    <r>
      <t>Russian version "</t>
    </r>
    <r>
      <rPr>
        <b/>
        <sz val="12"/>
        <color theme="1"/>
        <rFont val="Calibri"/>
        <family val="2"/>
        <charset val="204"/>
        <scheme val="minor"/>
      </rPr>
      <t>ПС</t>
    </r>
    <r>
      <rPr>
        <sz val="12"/>
        <color theme="1"/>
        <rFont val="Calibri"/>
        <family val="2"/>
        <charset val="204"/>
        <scheme val="minor"/>
      </rPr>
      <t>", English version "</t>
    </r>
    <r>
      <rPr>
        <b/>
        <sz val="12"/>
        <color theme="1"/>
        <rFont val="Calibri"/>
        <family val="2"/>
        <charset val="204"/>
        <scheme val="minor"/>
      </rPr>
      <t>PV</t>
    </r>
    <r>
      <rPr>
        <sz val="12"/>
        <color theme="1"/>
        <rFont val="Calibri"/>
        <family val="2"/>
        <charset val="204"/>
        <scheme val="minor"/>
      </rPr>
      <t>"</t>
    </r>
  </si>
  <si>
    <r>
      <t>Calculated using "</t>
    </r>
    <r>
      <rPr>
        <b/>
        <sz val="12"/>
        <color theme="1"/>
        <rFont val="Calibri"/>
        <family val="2"/>
        <charset val="204"/>
        <scheme val="minor"/>
      </rPr>
      <t>ЧИСТВНДОХ"</t>
    </r>
    <r>
      <rPr>
        <sz val="11"/>
        <color theme="1"/>
        <rFont val="Calibri"/>
        <family val="2"/>
        <charset val="204"/>
        <scheme val="minor"/>
      </rPr>
      <t xml:space="preserve"> function, English version "</t>
    </r>
    <r>
      <rPr>
        <b/>
        <sz val="14"/>
        <color theme="1"/>
        <rFont val="Calibri"/>
        <family val="2"/>
        <charset val="204"/>
        <scheme val="minor"/>
      </rPr>
      <t>XIRR</t>
    </r>
    <r>
      <rPr>
        <sz val="11"/>
        <color theme="1"/>
        <rFont val="Calibri"/>
        <family val="2"/>
        <charset val="204"/>
        <scheme val="minor"/>
      </rPr>
      <t>"</t>
    </r>
  </si>
  <si>
    <r>
      <t>Calculated using "</t>
    </r>
    <r>
      <rPr>
        <b/>
        <sz val="12"/>
        <color theme="1"/>
        <rFont val="Calibri"/>
        <family val="2"/>
        <charset val="204"/>
        <scheme val="minor"/>
      </rPr>
      <t>ЧИСТНЗ"</t>
    </r>
    <r>
      <rPr>
        <sz val="11"/>
        <color theme="1"/>
        <rFont val="Calibri"/>
        <family val="2"/>
        <charset val="204"/>
        <scheme val="minor"/>
      </rPr>
      <t xml:space="preserve"> function, English version "</t>
    </r>
    <r>
      <rPr>
        <b/>
        <sz val="14"/>
        <color theme="1"/>
        <rFont val="Calibri"/>
        <family val="2"/>
        <charset val="204"/>
        <scheme val="minor"/>
      </rPr>
      <t>XNPV</t>
    </r>
    <r>
      <rPr>
        <sz val="11"/>
        <color theme="1"/>
        <rFont val="Calibri"/>
        <family val="2"/>
        <charset val="204"/>
        <scheme val="minor"/>
      </rPr>
      <t>"</t>
    </r>
  </si>
  <si>
    <r>
      <t>Calculated using "</t>
    </r>
    <r>
      <rPr>
        <b/>
        <sz val="12"/>
        <color theme="1"/>
        <rFont val="Calibri"/>
        <family val="2"/>
        <charset val="204"/>
        <scheme val="minor"/>
      </rPr>
      <t>ПЛТ"</t>
    </r>
    <r>
      <rPr>
        <sz val="11"/>
        <color theme="1"/>
        <rFont val="Calibri"/>
        <family val="2"/>
        <charset val="204"/>
        <scheme val="minor"/>
      </rPr>
      <t xml:space="preserve"> function, English version "</t>
    </r>
    <r>
      <rPr>
        <b/>
        <sz val="12"/>
        <color theme="1"/>
        <rFont val="Calibri"/>
        <family val="2"/>
        <charset val="204"/>
        <scheme val="minor"/>
      </rPr>
      <t>PMT</t>
    </r>
    <r>
      <rPr>
        <sz val="11"/>
        <color theme="1"/>
        <rFont val="Calibri"/>
        <family val="2"/>
        <charset val="204"/>
        <scheme val="minor"/>
      </rPr>
      <t>"</t>
    </r>
  </si>
  <si>
    <r>
      <t>Calculated using "</t>
    </r>
    <r>
      <rPr>
        <b/>
        <sz val="12"/>
        <color theme="1"/>
        <rFont val="Calibri"/>
        <family val="2"/>
        <charset val="204"/>
        <scheme val="minor"/>
      </rPr>
      <t>МВСД"</t>
    </r>
    <r>
      <rPr>
        <sz val="11"/>
        <color theme="1"/>
        <rFont val="Calibri"/>
        <family val="2"/>
        <charset val="204"/>
        <scheme val="minor"/>
      </rPr>
      <t xml:space="preserve"> function, English version "</t>
    </r>
    <r>
      <rPr>
        <b/>
        <sz val="12"/>
        <color theme="1"/>
        <rFont val="Calibri"/>
        <family val="2"/>
        <charset val="204"/>
        <scheme val="minor"/>
      </rPr>
      <t>MIRR</t>
    </r>
    <r>
      <rPr>
        <sz val="11"/>
        <color theme="1"/>
        <rFont val="Calibri"/>
        <family val="2"/>
        <charset val="204"/>
        <scheme val="minor"/>
      </rPr>
      <t>"</t>
    </r>
  </si>
  <si>
    <r>
      <t>Calculated using "</t>
    </r>
    <r>
      <rPr>
        <b/>
        <sz val="12"/>
        <color theme="1"/>
        <rFont val="Calibri"/>
        <family val="2"/>
        <charset val="204"/>
        <scheme val="minor"/>
      </rPr>
      <t>ВСД"</t>
    </r>
    <r>
      <rPr>
        <sz val="11"/>
        <color theme="1"/>
        <rFont val="Calibri"/>
        <family val="2"/>
        <charset val="204"/>
        <scheme val="minor"/>
      </rPr>
      <t xml:space="preserve"> function, English version "</t>
    </r>
    <r>
      <rPr>
        <b/>
        <sz val="12"/>
        <color theme="1"/>
        <rFont val="Calibri"/>
        <family val="2"/>
        <charset val="204"/>
        <scheme val="minor"/>
      </rPr>
      <t>IRR</t>
    </r>
    <r>
      <rPr>
        <sz val="11"/>
        <color theme="1"/>
        <rFont val="Calibri"/>
        <family val="2"/>
        <charset val="204"/>
        <scheme val="minor"/>
      </rPr>
      <t>"</t>
    </r>
  </si>
  <si>
    <r>
      <t>Calculated using "</t>
    </r>
    <r>
      <rPr>
        <b/>
        <sz val="12"/>
        <color theme="1"/>
        <rFont val="Calibri"/>
        <family val="2"/>
        <charset val="204"/>
        <scheme val="minor"/>
      </rPr>
      <t>ЧПС"</t>
    </r>
    <r>
      <rPr>
        <sz val="11"/>
        <color theme="1"/>
        <rFont val="Calibri"/>
        <family val="2"/>
        <charset val="204"/>
        <scheme val="minor"/>
      </rPr>
      <t xml:space="preserve"> function, English version "</t>
    </r>
    <r>
      <rPr>
        <b/>
        <sz val="12"/>
        <color theme="1"/>
        <rFont val="Calibri"/>
        <family val="2"/>
        <charset val="204"/>
        <scheme val="minor"/>
      </rPr>
      <t>NPV</t>
    </r>
    <r>
      <rPr>
        <sz val="11"/>
        <color theme="1"/>
        <rFont val="Calibri"/>
        <family val="2"/>
        <charset val="204"/>
        <scheme val="minor"/>
      </rPr>
      <t>"</t>
    </r>
  </si>
  <si>
    <r>
      <t>Calculated using "</t>
    </r>
    <r>
      <rPr>
        <b/>
        <sz val="12"/>
        <color theme="1"/>
        <rFont val="Calibri"/>
        <family val="2"/>
        <charset val="204"/>
        <scheme val="minor"/>
      </rPr>
      <t>ПС"</t>
    </r>
    <r>
      <rPr>
        <sz val="11"/>
        <color theme="1"/>
        <rFont val="Calibri"/>
        <family val="2"/>
        <charset val="204"/>
        <scheme val="minor"/>
      </rPr>
      <t xml:space="preserve"> function, English version "</t>
    </r>
    <r>
      <rPr>
        <b/>
        <sz val="12"/>
        <color theme="1"/>
        <rFont val="Calibri"/>
        <family val="2"/>
        <charset val="204"/>
        <scheme val="minor"/>
      </rPr>
      <t>PV</t>
    </r>
    <r>
      <rPr>
        <sz val="11"/>
        <color theme="1"/>
        <rFont val="Calibri"/>
        <family val="2"/>
        <charset val="204"/>
        <scheme val="minor"/>
      </rPr>
      <t>"</t>
    </r>
  </si>
  <si>
    <r>
      <t>Calculated using "</t>
    </r>
    <r>
      <rPr>
        <b/>
        <sz val="12"/>
        <color theme="1"/>
        <rFont val="Calibri"/>
        <family val="2"/>
        <charset val="204"/>
        <scheme val="minor"/>
      </rPr>
      <t>БС"</t>
    </r>
    <r>
      <rPr>
        <sz val="11"/>
        <color theme="1"/>
        <rFont val="Calibri"/>
        <family val="2"/>
        <charset val="204"/>
        <scheme val="minor"/>
      </rPr>
      <t xml:space="preserve"> function, English version "</t>
    </r>
    <r>
      <rPr>
        <b/>
        <sz val="12"/>
        <color theme="1"/>
        <rFont val="Calibri"/>
        <family val="2"/>
        <charset val="204"/>
        <scheme val="minor"/>
      </rPr>
      <t>FV</t>
    </r>
    <r>
      <rPr>
        <sz val="11"/>
        <color theme="1"/>
        <rFont val="Calibri"/>
        <family val="2"/>
        <charset val="204"/>
        <scheme val="minor"/>
      </rPr>
      <t>"</t>
    </r>
  </si>
  <si>
    <t>Only grey cells are summarized</t>
  </si>
  <si>
    <t>Discount factor is (1+Hurdle Rate)^(Total number of periods)</t>
  </si>
  <si>
    <t xml:space="preserve"> =(Reinvested positive cash/Discounted Outlay)^(1/Number of periods)-1</t>
  </si>
  <si>
    <t xml:space="preserve"> XIRR</t>
  </si>
  <si>
    <t xml:space="preserve"> =NPV*(1+Hurdle rate)^Number of periods</t>
  </si>
  <si>
    <t>The minimum level of return that a company has to earn in order to satisfy its creditors, owners, and other providers of capital, or they will invest elsewhere. </t>
  </si>
  <si>
    <t>Минимальный размер операционного дохода компании, который должен быть достаточен для покрытия стоимости капитала (WACC)</t>
  </si>
  <si>
    <t>Debt Service Coverage Ratio</t>
  </si>
  <si>
    <t>Average Accounting Rate of Return (ARR)</t>
  </si>
  <si>
    <t>Total Cash Accrued</t>
  </si>
  <si>
    <t>Total Debt Service Requirements</t>
  </si>
  <si>
    <t>Debt Coverage Ratio (DCR)</t>
  </si>
  <si>
    <t>Key parameters crucial for the Project:</t>
  </si>
  <si>
    <t>Units produced within the period, units</t>
  </si>
  <si>
    <t>Average/ Total for the period</t>
  </si>
  <si>
    <t>BASIC Scenario</t>
  </si>
  <si>
    <t>Sensitivity Analysis (OAT, OFAT, Stand-alone method)</t>
  </si>
  <si>
    <t>Adjusted Cash flow for the period</t>
  </si>
  <si>
    <t>Units produced CHANGED, units</t>
  </si>
  <si>
    <t>Base amount</t>
  </si>
  <si>
    <t>Low amount</t>
  </si>
  <si>
    <t>High amount</t>
  </si>
  <si>
    <t>Inflation on selling price CHANGED, % p.a.</t>
  </si>
  <si>
    <t>Inflation on all expenses CHANGED, % p.a.</t>
  </si>
  <si>
    <t>Range of estimate</t>
  </si>
  <si>
    <t>Interest rate on loans CHANGED, % p.a.</t>
  </si>
  <si>
    <t>Total trade receivables CHANGED, USD thous.</t>
  </si>
  <si>
    <t>Changes in receivables</t>
  </si>
  <si>
    <t>Changes in payables</t>
  </si>
  <si>
    <t>Total trade payables CHANGED, USD thous.</t>
  </si>
  <si>
    <t>Sensitivity Analysis (Scenarios)</t>
  </si>
  <si>
    <t>BASIC (Most Likely) Scenario</t>
  </si>
  <si>
    <t>PESSIMISTIC (Low) Scenario</t>
  </si>
  <si>
    <t>OPTIMISTIC (High) Scenario</t>
  </si>
  <si>
    <t>Sensitivity Analysis (Statistics Probabilities)</t>
  </si>
  <si>
    <t xml:space="preserve"> Dispersion with random fluctuations of key parameters</t>
  </si>
  <si>
    <t>Mean</t>
  </si>
  <si>
    <t>Variance</t>
  </si>
  <si>
    <t>Standard deviation</t>
  </si>
  <si>
    <t>Median</t>
  </si>
  <si>
    <r>
      <t xml:space="preserve">Median </t>
    </r>
    <r>
      <rPr>
        <b/>
        <sz val="9"/>
        <color theme="1"/>
        <rFont val="Calibri"/>
        <family val="2"/>
        <charset val="204"/>
        <scheme val="minor"/>
      </rPr>
      <t>(splits the massif)</t>
    </r>
  </si>
  <si>
    <t>The most probable range of NPV</t>
  </si>
  <si>
    <t>Lowest</t>
  </si>
  <si>
    <t>Highest</t>
  </si>
  <si>
    <t>Probability 68,27%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</si>
</sst>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_ ;[Red]\-#,##0.00\ "/>
    <numFmt numFmtId="165" formatCode="#,##0.0000"/>
    <numFmt numFmtId="166" formatCode="0.0000%"/>
    <numFmt numFmtId="167" formatCode="#,##0_ ;[Red]\-#,##0\ "/>
    <numFmt numFmtId="168" formatCode="#,##0.0000_р_.;[Red]\-#,##0.0000_р_."/>
    <numFmt numFmtId="169" formatCode="#,##0.000"/>
    <numFmt numFmtId="170" formatCode="#,##0.000_р_.;[Red]\-#,##0.000_р_."/>
    <numFmt numFmtId="171" formatCode="0.000%"/>
    <numFmt numFmtId="172" formatCode="#,##0.00000"/>
    <numFmt numFmtId="173" formatCode="#,##0.000000"/>
  </numFmts>
  <fonts count="41" x14ac:knownFonts="1">
    <font>
      <sz val="11"/>
      <color theme="1"/>
      <name val="Calibri"/>
      <family val="2"/>
      <charset val="204"/>
      <scheme val="minor"/>
    </font>
    <font>
      <b/>
      <sz val="12"/>
      <color theme="1"/>
      <name val="Calibri"/>
      <family val="2"/>
      <charset val="204"/>
      <scheme val="minor"/>
    </font>
    <font>
      <sz val="11"/>
      <color theme="1"/>
      <name val="Calibri"/>
      <family val="2"/>
      <charset val="204"/>
      <scheme val="minor"/>
    </font>
    <font>
      <b/>
      <sz val="11"/>
      <color theme="1"/>
      <name val="Calibri"/>
      <family val="2"/>
      <charset val="204"/>
      <scheme val="minor"/>
    </font>
    <font>
      <b/>
      <i/>
      <sz val="11"/>
      <color theme="1"/>
      <name val="Calibri"/>
      <family val="2"/>
      <charset val="204"/>
      <scheme val="minor"/>
    </font>
    <font>
      <i/>
      <sz val="11"/>
      <color theme="1"/>
      <name val="Calibri"/>
      <family val="2"/>
      <charset val="204"/>
      <scheme val="minor"/>
    </font>
    <font>
      <b/>
      <i/>
      <sz val="12"/>
      <color theme="1"/>
      <name val="Calibri"/>
      <family val="2"/>
      <charset val="204"/>
      <scheme val="minor"/>
    </font>
    <font>
      <b/>
      <sz val="14"/>
      <color theme="1"/>
      <name val="Calibri"/>
      <family val="2"/>
      <charset val="204"/>
      <scheme val="minor"/>
    </font>
    <font>
      <i/>
      <sz val="12"/>
      <color theme="1"/>
      <name val="Calibri"/>
      <family val="2"/>
      <charset val="204"/>
      <scheme val="minor"/>
    </font>
    <font>
      <b/>
      <sz val="14"/>
      <color theme="0"/>
      <name val="Calibri"/>
      <family val="2"/>
      <charset val="204"/>
      <scheme val="minor"/>
    </font>
    <font>
      <sz val="12"/>
      <color theme="1"/>
      <name val="Calibri"/>
      <family val="2"/>
      <charset val="204"/>
      <scheme val="minor"/>
    </font>
    <font>
      <sz val="14"/>
      <color theme="1"/>
      <name val="Calibri"/>
      <family val="2"/>
      <charset val="204"/>
      <scheme val="minor"/>
    </font>
    <font>
      <b/>
      <i/>
      <sz val="12"/>
      <color rgb="FF00B050"/>
      <name val="Calibri"/>
      <family val="2"/>
      <charset val="204"/>
      <scheme val="minor"/>
    </font>
    <font>
      <b/>
      <sz val="14"/>
      <color rgb="FF00B050"/>
      <name val="Calibri"/>
      <family val="2"/>
      <charset val="204"/>
      <scheme val="minor"/>
    </font>
    <font>
      <i/>
      <sz val="14"/>
      <color theme="1"/>
      <name val="Calibri"/>
      <family val="2"/>
      <charset val="204"/>
      <scheme val="minor"/>
    </font>
    <font>
      <b/>
      <sz val="20"/>
      <color theme="0"/>
      <name val="Calibri"/>
      <family val="2"/>
      <charset val="204"/>
      <scheme val="minor"/>
    </font>
    <font>
      <b/>
      <sz val="18"/>
      <color theme="1"/>
      <name val="Calibri"/>
      <family val="2"/>
      <charset val="204"/>
      <scheme val="minor"/>
    </font>
    <font>
      <b/>
      <sz val="24"/>
      <color theme="0"/>
      <name val="Calibri"/>
      <family val="2"/>
      <charset val="204"/>
      <scheme val="minor"/>
    </font>
    <font>
      <b/>
      <i/>
      <u/>
      <sz val="14"/>
      <color rgb="FF00B050"/>
      <name val="Calibri"/>
      <family val="2"/>
      <charset val="204"/>
      <scheme val="minor"/>
    </font>
    <font>
      <b/>
      <i/>
      <sz val="14"/>
      <color theme="1"/>
      <name val="Calibri"/>
      <family val="2"/>
      <charset val="204"/>
      <scheme val="minor"/>
    </font>
    <font>
      <u/>
      <sz val="11"/>
      <color theme="10"/>
      <name val="Calibri"/>
      <family val="2"/>
      <charset val="204"/>
      <scheme val="minor"/>
    </font>
    <font>
      <sz val="10"/>
      <color theme="1"/>
      <name val="Calibri"/>
      <family val="2"/>
      <charset val="204"/>
      <scheme val="minor"/>
    </font>
    <font>
      <b/>
      <sz val="14"/>
      <color rgb="FFFF0000"/>
      <name val="Calibri"/>
      <family val="2"/>
      <charset val="204"/>
      <scheme val="minor"/>
    </font>
    <font>
      <sz val="10"/>
      <color theme="1"/>
      <name val="Times New Roman"/>
      <family val="1"/>
      <charset val="204"/>
    </font>
    <font>
      <b/>
      <sz val="16"/>
      <color theme="1"/>
      <name val="Calibri"/>
      <family val="2"/>
      <charset val="204"/>
      <scheme val="minor"/>
    </font>
    <font>
      <b/>
      <i/>
      <sz val="16"/>
      <color theme="0"/>
      <name val="Calibri"/>
      <family val="2"/>
      <charset val="204"/>
      <scheme val="minor"/>
    </font>
    <font>
      <sz val="16"/>
      <color theme="1"/>
      <name val="Calibri"/>
      <family val="2"/>
      <charset val="204"/>
      <scheme val="minor"/>
    </font>
    <font>
      <b/>
      <sz val="11"/>
      <color rgb="FF00B050"/>
      <name val="Calibri"/>
      <family val="2"/>
      <charset val="204"/>
      <scheme val="minor"/>
    </font>
    <font>
      <b/>
      <sz val="24"/>
      <color rgb="FFFFFF00"/>
      <name val="Calibri"/>
      <family val="2"/>
      <charset val="204"/>
      <scheme val="minor"/>
    </font>
    <font>
      <b/>
      <sz val="20"/>
      <color rgb="FFFFFF00"/>
      <name val="Calibri"/>
      <family val="2"/>
      <charset val="204"/>
      <scheme val="minor"/>
    </font>
    <font>
      <b/>
      <sz val="14"/>
      <color rgb="FFFFFF00"/>
      <name val="Calibri"/>
      <family val="2"/>
      <charset val="204"/>
      <scheme val="minor"/>
    </font>
    <font>
      <b/>
      <sz val="14"/>
      <name val="Calibri"/>
      <family val="2"/>
      <charset val="204"/>
      <scheme val="minor"/>
    </font>
    <font>
      <b/>
      <sz val="20"/>
      <color theme="1"/>
      <name val="Calibri"/>
      <family val="2"/>
      <charset val="204"/>
      <scheme val="minor"/>
    </font>
    <font>
      <b/>
      <sz val="22"/>
      <color theme="1"/>
      <name val="Calibri"/>
      <family val="2"/>
      <charset val="204"/>
      <scheme val="minor"/>
    </font>
    <font>
      <b/>
      <sz val="18"/>
      <color theme="0"/>
      <name val="Calibri"/>
      <family val="2"/>
      <charset val="204"/>
      <scheme val="minor"/>
    </font>
    <font>
      <b/>
      <sz val="22"/>
      <color theme="0"/>
      <name val="Calibri"/>
      <family val="2"/>
      <charset val="204"/>
      <scheme val="minor"/>
    </font>
    <font>
      <b/>
      <sz val="16"/>
      <color theme="0"/>
      <name val="Calibri"/>
      <family val="2"/>
      <charset val="204"/>
      <scheme val="minor"/>
    </font>
    <font>
      <i/>
      <sz val="10"/>
      <color theme="1"/>
      <name val="Calibri"/>
      <family val="2"/>
      <charset val="204"/>
      <scheme val="minor"/>
    </font>
    <font>
      <b/>
      <i/>
      <sz val="10"/>
      <color theme="1"/>
      <name val="Calibri"/>
      <family val="2"/>
      <charset val="204"/>
      <scheme val="minor"/>
    </font>
    <font>
      <b/>
      <sz val="14"/>
      <color theme="1"/>
      <name val="Times New Roman"/>
      <family val="1"/>
      <charset val="204"/>
    </font>
    <font>
      <b/>
      <sz val="9"/>
      <color theme="1"/>
      <name val="Calibri"/>
      <family val="2"/>
      <charset val="204"/>
      <scheme val="minor"/>
    </font>
  </fonts>
  <fills count="14">
    <fill>
      <patternFill patternType="none"/>
    </fill>
    <fill>
      <patternFill patternType="gray125"/>
    </fill>
    <fill>
      <patternFill patternType="solid">
        <fgColor theme="4" tint="-0.249977111117893"/>
        <bgColor indexed="64"/>
      </patternFill>
    </fill>
    <fill>
      <patternFill patternType="solid">
        <fgColor rgb="FF00B0F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0066"/>
        <bgColor indexed="64"/>
      </patternFill>
    </fill>
    <fill>
      <patternFill patternType="solid">
        <fgColor theme="7" tint="0.59999389629810485"/>
        <bgColor indexed="64"/>
      </patternFill>
    </fill>
    <fill>
      <patternFill patternType="solid">
        <fgColor rgb="FF6DD9FF"/>
        <bgColor indexed="64"/>
      </patternFill>
    </fill>
    <fill>
      <patternFill patternType="solid">
        <fgColor rgb="FFFF75DB"/>
        <bgColor indexed="64"/>
      </patternFill>
    </fill>
    <fill>
      <patternFill patternType="solid">
        <fgColor theme="2"/>
        <bgColor indexed="64"/>
      </patternFill>
    </fill>
    <fill>
      <patternFill patternType="solid">
        <fgColor theme="4" tint="0.399975585192419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2" fillId="0" borderId="0" applyFont="0" applyFill="0" applyBorder="0" applyAlignment="0" applyProtection="0"/>
    <xf numFmtId="0" fontId="20" fillId="0" borderId="0" applyNumberFormat="0" applyFill="0" applyBorder="0" applyAlignment="0" applyProtection="0"/>
  </cellStyleXfs>
  <cellXfs count="293">
    <xf numFmtId="0" fontId="0" fillId="0" borderId="0" xfId="0"/>
    <xf numFmtId="3" fontId="0" fillId="0" borderId="0" xfId="0" applyNumberFormat="1" applyAlignment="1">
      <alignment vertical="center"/>
    </xf>
    <xf numFmtId="3" fontId="1" fillId="0" borderId="0" xfId="0" applyNumberFormat="1" applyFont="1" applyAlignment="1">
      <alignment horizontal="center" vertical="center"/>
    </xf>
    <xf numFmtId="3" fontId="1" fillId="0" borderId="0" xfId="0" applyNumberFormat="1" applyFont="1" applyAlignment="1">
      <alignment vertical="center"/>
    </xf>
    <xf numFmtId="3" fontId="4" fillId="0" borderId="0" xfId="0" applyNumberFormat="1" applyFont="1" applyAlignment="1">
      <alignment vertical="center"/>
    </xf>
    <xf numFmtId="3" fontId="0" fillId="0" borderId="0" xfId="0" applyNumberFormat="1" applyFont="1" applyAlignment="1">
      <alignment vertical="center"/>
    </xf>
    <xf numFmtId="3" fontId="5" fillId="0" borderId="0" xfId="0" applyNumberFormat="1" applyFont="1" applyAlignment="1">
      <alignment vertical="center"/>
    </xf>
    <xf numFmtId="38" fontId="0" fillId="0" borderId="0" xfId="0" applyNumberFormat="1" applyAlignment="1">
      <alignment vertical="center"/>
    </xf>
    <xf numFmtId="38" fontId="1" fillId="0" borderId="0" xfId="0" applyNumberFormat="1" applyFont="1" applyAlignment="1">
      <alignment vertical="center"/>
    </xf>
    <xf numFmtId="38" fontId="0" fillId="0" borderId="0" xfId="0" applyNumberFormat="1" applyFont="1" applyAlignment="1">
      <alignment vertical="center"/>
    </xf>
    <xf numFmtId="38" fontId="5" fillId="0" borderId="0" xfId="0" applyNumberFormat="1" applyFont="1" applyAlignment="1">
      <alignment vertical="center"/>
    </xf>
    <xf numFmtId="38" fontId="4" fillId="0" borderId="0" xfId="0" applyNumberFormat="1" applyFont="1" applyAlignment="1">
      <alignment vertical="center"/>
    </xf>
    <xf numFmtId="3" fontId="7" fillId="0" borderId="0" xfId="0" applyNumberFormat="1" applyFont="1" applyAlignment="1">
      <alignment horizontal="center" vertical="center"/>
    </xf>
    <xf numFmtId="3" fontId="1" fillId="0" borderId="0" xfId="0" applyNumberFormat="1" applyFont="1" applyAlignment="1">
      <alignment vertical="center" wrapText="1"/>
    </xf>
    <xf numFmtId="3" fontId="7" fillId="0" borderId="0" xfId="0" applyNumberFormat="1" applyFont="1" applyAlignment="1">
      <alignment vertical="center"/>
    </xf>
    <xf numFmtId="38" fontId="7" fillId="0" borderId="1" xfId="0" applyNumberFormat="1" applyFont="1" applyBorder="1" applyAlignment="1">
      <alignment vertical="center"/>
    </xf>
    <xf numFmtId="9" fontId="4" fillId="0" borderId="0" xfId="1" applyFont="1" applyAlignment="1">
      <alignment horizontal="center" vertical="center"/>
    </xf>
    <xf numFmtId="38" fontId="4" fillId="0" borderId="0" xfId="0" applyNumberFormat="1" applyFont="1" applyAlignment="1">
      <alignment horizontal="center" vertical="center"/>
    </xf>
    <xf numFmtId="3" fontId="7" fillId="0" borderId="0" xfId="0" applyNumberFormat="1" applyFont="1" applyAlignment="1">
      <alignment vertical="center" wrapText="1"/>
    </xf>
    <xf numFmtId="3" fontId="3" fillId="0" borderId="0" xfId="0" applyNumberFormat="1" applyFont="1" applyAlignment="1">
      <alignment vertical="center"/>
    </xf>
    <xf numFmtId="4" fontId="0" fillId="0" borderId="0" xfId="0" applyNumberFormat="1" applyAlignment="1">
      <alignment vertical="center"/>
    </xf>
    <xf numFmtId="40" fontId="7" fillId="0" borderId="1" xfId="0" applyNumberFormat="1" applyFont="1" applyBorder="1" applyAlignment="1">
      <alignment vertical="center"/>
    </xf>
    <xf numFmtId="3" fontId="0" fillId="0" borderId="0" xfId="0" applyNumberFormat="1" applyFont="1" applyAlignment="1">
      <alignment horizontal="left" vertical="center"/>
    </xf>
    <xf numFmtId="165" fontId="0" fillId="0" borderId="0" xfId="0" applyNumberFormat="1" applyAlignment="1">
      <alignment vertical="center"/>
    </xf>
    <xf numFmtId="164" fontId="1" fillId="0" borderId="0" xfId="0" applyNumberFormat="1" applyFont="1" applyAlignment="1">
      <alignment vertical="center"/>
    </xf>
    <xf numFmtId="3" fontId="8" fillId="0" borderId="0" xfId="0" applyNumberFormat="1" applyFont="1" applyAlignment="1">
      <alignment vertical="center"/>
    </xf>
    <xf numFmtId="164" fontId="5" fillId="0" borderId="0" xfId="0" applyNumberFormat="1" applyFont="1" applyAlignment="1">
      <alignment vertical="center"/>
    </xf>
    <xf numFmtId="40" fontId="7" fillId="0" borderId="0" xfId="0" applyNumberFormat="1" applyFont="1" applyBorder="1" applyAlignment="1">
      <alignment vertical="center"/>
    </xf>
    <xf numFmtId="10" fontId="12" fillId="0" borderId="0" xfId="1" applyNumberFormat="1" applyFont="1" applyAlignment="1">
      <alignment horizontal="center" vertical="center"/>
    </xf>
    <xf numFmtId="164" fontId="13" fillId="0" borderId="1" xfId="0" applyNumberFormat="1" applyFont="1" applyBorder="1" applyAlignment="1">
      <alignment vertical="center"/>
    </xf>
    <xf numFmtId="3" fontId="10" fillId="0" borderId="0" xfId="0" applyNumberFormat="1" applyFont="1" applyAlignment="1">
      <alignment vertical="center"/>
    </xf>
    <xf numFmtId="4" fontId="0" fillId="0" borderId="0" xfId="0" applyNumberFormat="1" applyFont="1" applyAlignment="1">
      <alignment vertical="center"/>
    </xf>
    <xf numFmtId="40" fontId="0" fillId="0" borderId="0" xfId="0" applyNumberFormat="1" applyFont="1" applyBorder="1" applyAlignment="1">
      <alignment vertical="center"/>
    </xf>
    <xf numFmtId="3" fontId="16" fillId="4" borderId="1" xfId="0" applyNumberFormat="1" applyFont="1" applyFill="1" applyBorder="1" applyAlignment="1">
      <alignment horizontal="center" vertical="center" wrapText="1"/>
    </xf>
    <xf numFmtId="3" fontId="10" fillId="0" borderId="0" xfId="0" applyNumberFormat="1" applyFont="1" applyAlignment="1">
      <alignment horizontal="right" vertical="center"/>
    </xf>
    <xf numFmtId="166" fontId="7" fillId="0" borderId="0" xfId="1" applyNumberFormat="1" applyFont="1" applyBorder="1" applyAlignment="1">
      <alignment vertical="center"/>
    </xf>
    <xf numFmtId="3" fontId="18" fillId="0" borderId="0" xfId="0" applyNumberFormat="1" applyFont="1" applyAlignment="1">
      <alignment horizontal="right" vertical="center"/>
    </xf>
    <xf numFmtId="167" fontId="0" fillId="0" borderId="0" xfId="0" applyNumberFormat="1" applyAlignment="1">
      <alignment vertical="center"/>
    </xf>
    <xf numFmtId="3" fontId="10" fillId="0" borderId="0" xfId="0" applyNumberFormat="1" applyFont="1" applyAlignment="1">
      <alignment horizontal="left" vertical="center"/>
    </xf>
    <xf numFmtId="3" fontId="0" fillId="5" borderId="0" xfId="0" applyNumberFormat="1" applyFill="1" applyAlignment="1">
      <alignment vertical="center"/>
    </xf>
    <xf numFmtId="3" fontId="3" fillId="5" borderId="0" xfId="0" applyNumberFormat="1" applyFont="1" applyFill="1" applyAlignment="1">
      <alignment vertical="center"/>
    </xf>
    <xf numFmtId="3" fontId="11" fillId="6" borderId="0" xfId="0" applyNumberFormat="1" applyFont="1" applyFill="1" applyAlignment="1">
      <alignment horizontal="center" vertical="center" wrapText="1"/>
    </xf>
    <xf numFmtId="3" fontId="14" fillId="7" borderId="0" xfId="0" applyNumberFormat="1" applyFont="1" applyFill="1" applyAlignment="1">
      <alignment horizontal="center" vertical="center"/>
    </xf>
    <xf numFmtId="164" fontId="10" fillId="0" borderId="0" xfId="0" applyNumberFormat="1" applyFont="1" applyBorder="1" applyAlignment="1">
      <alignment horizontal="center" vertical="center" wrapText="1"/>
    </xf>
    <xf numFmtId="38" fontId="4" fillId="0" borderId="1" xfId="0" applyNumberFormat="1" applyFont="1" applyBorder="1" applyAlignment="1">
      <alignment vertical="center"/>
    </xf>
    <xf numFmtId="168" fontId="7" fillId="0" borderId="1" xfId="0" applyNumberFormat="1" applyFont="1" applyBorder="1" applyAlignment="1">
      <alignment vertical="center"/>
    </xf>
    <xf numFmtId="3" fontId="20" fillId="0" borderId="0" xfId="2" applyNumberFormat="1" applyAlignment="1">
      <alignment vertical="center"/>
    </xf>
    <xf numFmtId="3" fontId="3" fillId="5" borderId="0" xfId="0" applyNumberFormat="1" applyFont="1" applyFill="1" applyAlignment="1">
      <alignment vertical="center" wrapText="1"/>
    </xf>
    <xf numFmtId="38" fontId="0" fillId="0" borderId="0" xfId="0" applyNumberFormat="1" applyFont="1" applyBorder="1" applyAlignment="1">
      <alignment vertical="center"/>
    </xf>
    <xf numFmtId="3" fontId="11" fillId="0" borderId="0" xfId="0" applyNumberFormat="1" applyFont="1" applyAlignment="1">
      <alignment vertical="center"/>
    </xf>
    <xf numFmtId="3" fontId="6" fillId="0" borderId="0" xfId="0" applyNumberFormat="1" applyFont="1" applyAlignment="1">
      <alignment vertical="center"/>
    </xf>
    <xf numFmtId="38" fontId="1" fillId="0" borderId="1" xfId="0" applyNumberFormat="1" applyFont="1" applyBorder="1" applyAlignment="1">
      <alignment vertical="center"/>
    </xf>
    <xf numFmtId="40" fontId="1" fillId="0" borderId="0" xfId="0" applyNumberFormat="1" applyFont="1" applyAlignment="1">
      <alignment vertical="center"/>
    </xf>
    <xf numFmtId="3" fontId="11" fillId="0" borderId="0" xfId="0" applyNumberFormat="1" applyFont="1" applyFill="1" applyAlignment="1">
      <alignment vertical="center"/>
    </xf>
    <xf numFmtId="3" fontId="10" fillId="0" borderId="0" xfId="0" applyNumberFormat="1" applyFont="1" applyAlignment="1">
      <alignment horizontal="left" vertical="center" wrapText="1"/>
    </xf>
    <xf numFmtId="3" fontId="7" fillId="0" borderId="1" xfId="0" applyNumberFormat="1" applyFont="1" applyBorder="1" applyAlignment="1">
      <alignment horizontal="center" vertical="center"/>
    </xf>
    <xf numFmtId="3" fontId="7" fillId="0" borderId="0" xfId="0" applyNumberFormat="1" applyFont="1" applyAlignment="1">
      <alignment horizontal="left" vertical="center"/>
    </xf>
    <xf numFmtId="169" fontId="0" fillId="0" borderId="0" xfId="0" applyNumberFormat="1" applyAlignment="1">
      <alignment vertical="center"/>
    </xf>
    <xf numFmtId="164" fontId="10" fillId="0" borderId="0" xfId="0" applyNumberFormat="1" applyFont="1" applyAlignment="1">
      <alignment horizontal="center" vertical="center" wrapText="1"/>
    </xf>
    <xf numFmtId="170" fontId="7" fillId="0" borderId="1" xfId="0" applyNumberFormat="1" applyFont="1" applyBorder="1" applyAlignment="1">
      <alignment vertical="center"/>
    </xf>
    <xf numFmtId="4" fontId="0" fillId="0" borderId="0" xfId="0" applyNumberFormat="1" applyFill="1" applyAlignment="1">
      <alignment vertical="center"/>
    </xf>
    <xf numFmtId="3" fontId="15" fillId="2" borderId="3" xfId="0" applyNumberFormat="1" applyFont="1" applyFill="1" applyBorder="1" applyAlignment="1">
      <alignment horizontal="center" vertical="center"/>
    </xf>
    <xf numFmtId="3" fontId="15" fillId="2" borderId="4" xfId="0" applyNumberFormat="1" applyFont="1" applyFill="1" applyBorder="1" applyAlignment="1">
      <alignment horizontal="center" vertical="center"/>
    </xf>
    <xf numFmtId="3" fontId="9" fillId="2" borderId="5"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xf>
    <xf numFmtId="38" fontId="7" fillId="0" borderId="6" xfId="0" applyNumberFormat="1" applyFont="1" applyBorder="1" applyAlignment="1">
      <alignment vertical="center"/>
    </xf>
    <xf numFmtId="40" fontId="7" fillId="0" borderId="6" xfId="0" applyNumberFormat="1" applyFont="1" applyBorder="1" applyAlignment="1">
      <alignment vertical="center"/>
    </xf>
    <xf numFmtId="3" fontId="0" fillId="0" borderId="0" xfId="0" applyNumberFormat="1" applyFill="1" applyAlignment="1">
      <alignment vertical="center"/>
    </xf>
    <xf numFmtId="0" fontId="23" fillId="0" borderId="0" xfId="0" applyFont="1" applyAlignment="1">
      <alignment horizontal="left" vertical="center" indent="10"/>
    </xf>
    <xf numFmtId="0" fontId="23" fillId="0" borderId="0" xfId="0" applyFont="1" applyAlignment="1">
      <alignment vertical="center"/>
    </xf>
    <xf numFmtId="3" fontId="9" fillId="2" borderId="7" xfId="0" applyNumberFormat="1" applyFont="1" applyFill="1" applyBorder="1" applyAlignment="1">
      <alignment horizontal="center" vertical="center" wrapText="1"/>
    </xf>
    <xf numFmtId="10" fontId="7" fillId="0" borderId="0" xfId="1" applyNumberFormat="1" applyFont="1" applyBorder="1" applyAlignment="1">
      <alignment vertical="center"/>
    </xf>
    <xf numFmtId="164" fontId="1" fillId="0" borderId="0" xfId="0" applyNumberFormat="1" applyFont="1" applyFill="1" applyAlignment="1">
      <alignment horizontal="right" vertical="center" wrapText="1"/>
    </xf>
    <xf numFmtId="0" fontId="0" fillId="0" borderId="0" xfId="0" applyAlignment="1">
      <alignment vertical="center" wrapText="1"/>
    </xf>
    <xf numFmtId="0" fontId="0" fillId="9" borderId="0" xfId="0" applyFill="1" applyAlignment="1">
      <alignment vertical="center" wrapText="1"/>
    </xf>
    <xf numFmtId="0" fontId="0" fillId="10" borderId="0" xfId="0" applyFill="1" applyAlignment="1">
      <alignment vertical="center" wrapText="1"/>
    </xf>
    <xf numFmtId="0" fontId="0" fillId="11" borderId="0" xfId="0" applyFill="1" applyAlignment="1">
      <alignment vertical="center" wrapText="1"/>
    </xf>
    <xf numFmtId="0" fontId="25" fillId="2" borderId="0" xfId="0" applyFont="1" applyFill="1" applyAlignment="1">
      <alignment horizontal="center" vertical="center" wrapText="1"/>
    </xf>
    <xf numFmtId="0" fontId="26" fillId="0" borderId="0" xfId="0" applyFont="1" applyAlignment="1">
      <alignment vertical="center" wrapText="1"/>
    </xf>
    <xf numFmtId="0" fontId="20" fillId="0" borderId="0" xfId="2" applyAlignment="1">
      <alignment vertical="center" wrapText="1"/>
    </xf>
    <xf numFmtId="167" fontId="1" fillId="0" borderId="0" xfId="0" applyNumberFormat="1" applyFont="1" applyAlignment="1">
      <alignment vertical="center"/>
    </xf>
    <xf numFmtId="171" fontId="7" fillId="0" borderId="1" xfId="1" applyNumberFormat="1" applyFont="1" applyBorder="1" applyAlignment="1">
      <alignment vertical="center"/>
    </xf>
    <xf numFmtId="172" fontId="0" fillId="0" borderId="0" xfId="0" applyNumberFormat="1" applyAlignment="1">
      <alignment vertical="center"/>
    </xf>
    <xf numFmtId="173" fontId="0" fillId="0" borderId="0" xfId="0" applyNumberFormat="1" applyAlignment="1">
      <alignment vertical="center"/>
    </xf>
    <xf numFmtId="14" fontId="0" fillId="0" borderId="0" xfId="0" applyNumberFormat="1" applyAlignment="1">
      <alignment vertical="center"/>
    </xf>
    <xf numFmtId="169" fontId="0" fillId="0" borderId="0" xfId="0" applyNumberFormat="1" applyFill="1" applyAlignment="1">
      <alignment vertical="center"/>
    </xf>
    <xf numFmtId="38" fontId="7" fillId="4" borderId="1" xfId="0" applyNumberFormat="1" applyFont="1" applyFill="1" applyBorder="1" applyAlignment="1">
      <alignment vertical="center"/>
    </xf>
    <xf numFmtId="164" fontId="7" fillId="4" borderId="6" xfId="0" applyNumberFormat="1" applyFont="1" applyFill="1" applyBorder="1" applyAlignment="1">
      <alignment vertical="center"/>
    </xf>
    <xf numFmtId="40" fontId="7" fillId="4" borderId="1" xfId="0" applyNumberFormat="1" applyFont="1" applyFill="1" applyBorder="1" applyAlignment="1">
      <alignment vertical="center"/>
    </xf>
    <xf numFmtId="166" fontId="7" fillId="4" borderId="6" xfId="1" applyNumberFormat="1" applyFont="1" applyFill="1" applyBorder="1" applyAlignment="1">
      <alignment vertical="center"/>
    </xf>
    <xf numFmtId="170" fontId="7" fillId="4" borderId="1" xfId="0" applyNumberFormat="1" applyFont="1" applyFill="1" applyBorder="1" applyAlignment="1">
      <alignment vertical="center"/>
    </xf>
    <xf numFmtId="168" fontId="7" fillId="4" borderId="1" xfId="0" applyNumberFormat="1" applyFont="1" applyFill="1" applyBorder="1" applyAlignment="1">
      <alignment vertical="center"/>
    </xf>
    <xf numFmtId="10" fontId="7" fillId="4" borderId="1" xfId="1" applyNumberFormat="1" applyFont="1" applyFill="1" applyBorder="1" applyAlignment="1">
      <alignment vertical="center"/>
    </xf>
    <xf numFmtId="171" fontId="7" fillId="4" borderId="1" xfId="1" applyNumberFormat="1" applyFont="1" applyFill="1" applyBorder="1" applyAlignment="1">
      <alignment vertical="center"/>
    </xf>
    <xf numFmtId="0" fontId="4" fillId="0" borderId="0" xfId="0" applyFont="1" applyAlignment="1">
      <alignment horizontal="center" vertical="center" wrapText="1"/>
    </xf>
    <xf numFmtId="165" fontId="0" fillId="0" borderId="0" xfId="0" applyNumberFormat="1" applyFill="1" applyAlignment="1">
      <alignment vertical="center"/>
    </xf>
    <xf numFmtId="10" fontId="7" fillId="4" borderId="6" xfId="1" applyNumberFormat="1" applyFont="1" applyFill="1" applyBorder="1" applyAlignment="1">
      <alignment vertical="center"/>
    </xf>
    <xf numFmtId="4" fontId="7" fillId="4" borderId="1" xfId="1" applyNumberFormat="1" applyFont="1" applyFill="1" applyBorder="1" applyAlignment="1">
      <alignment vertical="center"/>
    </xf>
    <xf numFmtId="3" fontId="14" fillId="7" borderId="0" xfId="0" applyNumberFormat="1" applyFont="1" applyFill="1" applyAlignment="1">
      <alignment horizontal="center" vertical="center" wrapText="1"/>
    </xf>
    <xf numFmtId="170" fontId="7" fillId="0" borderId="0" xfId="0" applyNumberFormat="1" applyFont="1" applyBorder="1" applyAlignment="1">
      <alignment vertical="center"/>
    </xf>
    <xf numFmtId="40" fontId="7" fillId="0" borderId="1" xfId="0" applyNumberFormat="1" applyFont="1" applyFill="1" applyBorder="1" applyAlignment="1">
      <alignment vertical="center"/>
    </xf>
    <xf numFmtId="3" fontId="10" fillId="0" borderId="0" xfId="0" applyNumberFormat="1" applyFont="1" applyAlignment="1">
      <alignment vertical="center" wrapText="1"/>
    </xf>
    <xf numFmtId="4" fontId="1" fillId="0" borderId="0" xfId="0" applyNumberFormat="1" applyFont="1" applyAlignment="1">
      <alignment vertical="center"/>
    </xf>
    <xf numFmtId="10" fontId="0" fillId="0" borderId="0" xfId="0" applyNumberFormat="1" applyAlignment="1">
      <alignment vertical="center"/>
    </xf>
    <xf numFmtId="3" fontId="5" fillId="5" borderId="0" xfId="0" applyNumberFormat="1" applyFont="1" applyFill="1" applyAlignment="1">
      <alignment vertical="center"/>
    </xf>
    <xf numFmtId="38" fontId="5" fillId="5" borderId="0" xfId="0" applyNumberFormat="1" applyFont="1" applyFill="1" applyAlignment="1">
      <alignment vertical="center"/>
    </xf>
    <xf numFmtId="10" fontId="5" fillId="5" borderId="0" xfId="0" applyNumberFormat="1" applyFont="1" applyFill="1" applyAlignment="1">
      <alignment vertical="center"/>
    </xf>
    <xf numFmtId="38" fontId="6" fillId="5" borderId="0" xfId="0" applyNumberFormat="1" applyFont="1" applyFill="1" applyAlignment="1">
      <alignment vertical="center"/>
    </xf>
    <xf numFmtId="3" fontId="0" fillId="5" borderId="0" xfId="0" applyNumberFormat="1" applyFont="1" applyFill="1" applyAlignment="1">
      <alignment vertical="center"/>
    </xf>
    <xf numFmtId="38" fontId="0" fillId="5" borderId="0" xfId="0" applyNumberFormat="1" applyFont="1" applyFill="1" applyAlignment="1">
      <alignment vertical="center"/>
    </xf>
    <xf numFmtId="38" fontId="1" fillId="5" borderId="0" xfId="0" applyNumberFormat="1" applyFont="1" applyFill="1" applyAlignment="1">
      <alignment vertical="center"/>
    </xf>
    <xf numFmtId="3" fontId="0" fillId="5" borderId="0" xfId="0" applyNumberFormat="1" applyFont="1" applyFill="1" applyAlignment="1">
      <alignment vertical="center" wrapText="1"/>
    </xf>
    <xf numFmtId="9" fontId="4" fillId="5" borderId="0" xfId="1" applyFont="1" applyFill="1" applyAlignment="1">
      <alignment horizontal="center" vertical="center"/>
    </xf>
    <xf numFmtId="3" fontId="1" fillId="5" borderId="0" xfId="0" applyNumberFormat="1" applyFont="1" applyFill="1" applyAlignment="1">
      <alignment vertical="center"/>
    </xf>
    <xf numFmtId="165" fontId="0" fillId="5" borderId="0" xfId="0" applyNumberFormat="1" applyFill="1" applyAlignment="1">
      <alignment vertical="center"/>
    </xf>
    <xf numFmtId="38" fontId="0" fillId="5" borderId="0" xfId="0" applyNumberFormat="1" applyFill="1" applyAlignment="1">
      <alignment vertical="center"/>
    </xf>
    <xf numFmtId="38" fontId="4" fillId="5" borderId="1" xfId="0" applyNumberFormat="1" applyFont="1" applyFill="1" applyBorder="1" applyAlignment="1">
      <alignment vertical="center"/>
    </xf>
    <xf numFmtId="9" fontId="4" fillId="0" borderId="0" xfId="1" applyFont="1" applyFill="1" applyAlignment="1">
      <alignment horizontal="center" vertical="center"/>
    </xf>
    <xf numFmtId="38" fontId="0" fillId="0" borderId="0" xfId="0" applyNumberFormat="1" applyFill="1" applyAlignment="1">
      <alignment vertical="center"/>
    </xf>
    <xf numFmtId="38" fontId="4" fillId="0" borderId="0" xfId="0" applyNumberFormat="1" applyFont="1" applyFill="1" applyBorder="1" applyAlignment="1">
      <alignment vertical="center"/>
    </xf>
    <xf numFmtId="164" fontId="1" fillId="8" borderId="0" xfId="0" applyNumberFormat="1" applyFont="1" applyFill="1" applyAlignment="1">
      <alignment vertical="center" wrapText="1"/>
    </xf>
    <xf numFmtId="164" fontId="1" fillId="0" borderId="0" xfId="0" applyNumberFormat="1" applyFont="1" applyFill="1" applyAlignment="1">
      <alignment vertical="center" wrapText="1"/>
    </xf>
    <xf numFmtId="10" fontId="0" fillId="5" borderId="0" xfId="0" applyNumberFormat="1" applyFill="1" applyAlignment="1">
      <alignment vertical="center"/>
    </xf>
    <xf numFmtId="3" fontId="1" fillId="12" borderId="0" xfId="0" applyNumberFormat="1" applyFont="1" applyFill="1" applyAlignment="1">
      <alignment vertical="center"/>
    </xf>
    <xf numFmtId="9" fontId="4" fillId="12" borderId="0" xfId="1" applyFont="1" applyFill="1" applyAlignment="1">
      <alignment horizontal="center" vertical="center"/>
    </xf>
    <xf numFmtId="165" fontId="0" fillId="12" borderId="0" xfId="0" applyNumberFormat="1" applyFill="1" applyAlignment="1">
      <alignment vertical="center"/>
    </xf>
    <xf numFmtId="3" fontId="0" fillId="12" borderId="0" xfId="0" applyNumberFormat="1" applyFill="1" applyAlignment="1">
      <alignment vertical="center"/>
    </xf>
    <xf numFmtId="38" fontId="4" fillId="12" borderId="0" xfId="0" applyNumberFormat="1" applyFont="1" applyFill="1" applyBorder="1" applyAlignment="1">
      <alignment vertical="center"/>
    </xf>
    <xf numFmtId="3" fontId="0" fillId="12" borderId="0" xfId="0" applyNumberFormat="1" applyFont="1" applyFill="1" applyAlignment="1">
      <alignment vertical="center"/>
    </xf>
    <xf numFmtId="38" fontId="0" fillId="12" borderId="0" xfId="0" applyNumberFormat="1" applyFont="1" applyFill="1" applyAlignment="1">
      <alignment vertical="center"/>
    </xf>
    <xf numFmtId="38" fontId="1" fillId="12" borderId="0" xfId="0" applyNumberFormat="1" applyFont="1" applyFill="1" applyAlignment="1">
      <alignment vertical="center"/>
    </xf>
    <xf numFmtId="10" fontId="0" fillId="12" borderId="0" xfId="0" applyNumberFormat="1" applyFill="1" applyAlignment="1">
      <alignment vertical="center"/>
    </xf>
    <xf numFmtId="10" fontId="4" fillId="5" borderId="1" xfId="0" applyNumberFormat="1" applyFont="1" applyFill="1" applyBorder="1" applyAlignment="1">
      <alignment vertical="center"/>
    </xf>
    <xf numFmtId="10" fontId="4" fillId="12" borderId="1" xfId="0" applyNumberFormat="1" applyFont="1" applyFill="1" applyBorder="1" applyAlignment="1">
      <alignment vertical="center"/>
    </xf>
    <xf numFmtId="10" fontId="1" fillId="0" borderId="0" xfId="0" applyNumberFormat="1" applyFont="1" applyAlignment="1">
      <alignment vertical="center"/>
    </xf>
    <xf numFmtId="10" fontId="7" fillId="0" borderId="0" xfId="0" applyNumberFormat="1" applyFont="1" applyFill="1" applyBorder="1" applyAlignment="1">
      <alignment vertical="center"/>
    </xf>
    <xf numFmtId="10" fontId="4" fillId="0" borderId="0" xfId="1" applyNumberFormat="1" applyFont="1" applyAlignment="1">
      <alignment horizontal="center" vertical="center"/>
    </xf>
    <xf numFmtId="3" fontId="28" fillId="3" borderId="1" xfId="0" applyNumberFormat="1" applyFont="1" applyFill="1" applyBorder="1" applyAlignment="1">
      <alignment horizontal="center" vertical="center"/>
    </xf>
    <xf numFmtId="3" fontId="29" fillId="2" borderId="3" xfId="0" applyNumberFormat="1" applyFont="1" applyFill="1" applyBorder="1" applyAlignment="1">
      <alignment horizontal="center" vertical="center"/>
    </xf>
    <xf numFmtId="3" fontId="29" fillId="2" borderId="4" xfId="0" applyNumberFormat="1" applyFont="1" applyFill="1" applyBorder="1" applyAlignment="1">
      <alignment horizontal="center" vertical="center"/>
    </xf>
    <xf numFmtId="3" fontId="30" fillId="2" borderId="5" xfId="0" applyNumberFormat="1" applyFont="1" applyFill="1" applyBorder="1" applyAlignment="1">
      <alignment horizontal="center" vertical="center" wrapText="1"/>
    </xf>
    <xf numFmtId="3" fontId="28" fillId="3"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xf>
    <xf numFmtId="4" fontId="7" fillId="4" borderId="6" xfId="1" applyNumberFormat="1" applyFont="1" applyFill="1" applyBorder="1" applyAlignment="1">
      <alignment vertical="center"/>
    </xf>
    <xf numFmtId="40" fontId="7" fillId="0" borderId="0" xfId="0" applyNumberFormat="1" applyFont="1" applyFill="1" applyBorder="1" applyAlignment="1">
      <alignment vertical="center"/>
    </xf>
    <xf numFmtId="3" fontId="3" fillId="0" borderId="0" xfId="0" applyNumberFormat="1" applyFont="1" applyFill="1" applyAlignment="1">
      <alignment vertical="center" wrapText="1"/>
    </xf>
    <xf numFmtId="172" fontId="0" fillId="0" borderId="0" xfId="0" applyNumberFormat="1" applyFill="1" applyAlignment="1">
      <alignment vertical="center"/>
    </xf>
    <xf numFmtId="165" fontId="0" fillId="0" borderId="0" xfId="0" applyNumberFormat="1" applyFont="1" applyAlignment="1">
      <alignment vertical="center"/>
    </xf>
    <xf numFmtId="171" fontId="7" fillId="0" borderId="0" xfId="1" applyNumberFormat="1" applyFont="1" applyFill="1" applyBorder="1" applyAlignment="1">
      <alignment vertical="center"/>
    </xf>
    <xf numFmtId="10" fontId="0" fillId="0" borderId="0" xfId="0" applyNumberFormat="1" applyFont="1" applyAlignment="1">
      <alignment vertical="center"/>
    </xf>
    <xf numFmtId="164" fontId="1" fillId="0" borderId="0" xfId="0" applyNumberFormat="1" applyFont="1" applyFill="1" applyAlignment="1">
      <alignment vertical="center"/>
    </xf>
    <xf numFmtId="0" fontId="32" fillId="0" borderId="0" xfId="0" applyFont="1" applyAlignment="1">
      <alignment horizontal="center" vertical="center" wrapText="1"/>
    </xf>
    <xf numFmtId="3" fontId="0" fillId="0" borderId="0" xfId="0" applyNumberFormat="1" applyFont="1" applyFill="1" applyAlignment="1">
      <alignment vertical="center"/>
    </xf>
    <xf numFmtId="38" fontId="0" fillId="0" borderId="0" xfId="0" applyNumberFormat="1" applyFont="1" applyFill="1" applyAlignment="1">
      <alignment vertical="center"/>
    </xf>
    <xf numFmtId="38" fontId="1" fillId="0" borderId="0" xfId="0" applyNumberFormat="1" applyFont="1" applyFill="1" applyAlignment="1">
      <alignment vertical="center"/>
    </xf>
    <xf numFmtId="3" fontId="0" fillId="11" borderId="0" xfId="0" applyNumberFormat="1" applyFill="1" applyAlignment="1">
      <alignment vertical="center"/>
    </xf>
    <xf numFmtId="3" fontId="17" fillId="3" borderId="1" xfId="0" applyNumberFormat="1" applyFont="1" applyFill="1" applyBorder="1" applyAlignment="1">
      <alignment horizontal="center" vertical="center" wrapText="1"/>
    </xf>
    <xf numFmtId="10" fontId="7" fillId="0" borderId="1" xfId="0" applyNumberFormat="1" applyFont="1" applyFill="1" applyBorder="1" applyAlignment="1">
      <alignment vertical="center"/>
    </xf>
    <xf numFmtId="4" fontId="7" fillId="0" borderId="1" xfId="0" applyNumberFormat="1" applyFont="1" applyFill="1" applyBorder="1" applyAlignment="1">
      <alignment vertical="center"/>
    </xf>
    <xf numFmtId="3" fontId="24" fillId="0" borderId="0" xfId="0" applyNumberFormat="1" applyFont="1" applyAlignment="1">
      <alignment vertical="center"/>
    </xf>
    <xf numFmtId="0" fontId="0" fillId="0" borderId="0" xfId="0" applyAlignment="1">
      <alignment horizontal="center" vertical="center" wrapText="1"/>
    </xf>
    <xf numFmtId="0" fontId="10" fillId="0" borderId="0" xfId="0" applyFont="1" applyAlignment="1">
      <alignment horizontal="center" vertical="center" wrapText="1"/>
    </xf>
    <xf numFmtId="0" fontId="19" fillId="0" borderId="0" xfId="0" applyFont="1" applyAlignment="1">
      <alignment horizontal="center" vertical="center" wrapText="1"/>
    </xf>
    <xf numFmtId="10" fontId="0" fillId="0" borderId="0" xfId="0" applyNumberFormat="1" applyFill="1" applyAlignment="1">
      <alignment vertical="center"/>
    </xf>
    <xf numFmtId="10" fontId="4" fillId="0" borderId="0" xfId="0" applyNumberFormat="1" applyFont="1" applyFill="1" applyBorder="1" applyAlignment="1">
      <alignment vertical="center"/>
    </xf>
    <xf numFmtId="165" fontId="7" fillId="0" borderId="0" xfId="0" applyNumberFormat="1" applyFont="1" applyFill="1" applyAlignment="1">
      <alignment vertical="center"/>
    </xf>
    <xf numFmtId="165" fontId="5" fillId="0" borderId="0" xfId="0" applyNumberFormat="1" applyFont="1" applyFill="1" applyAlignment="1">
      <alignment vertical="center"/>
    </xf>
    <xf numFmtId="3" fontId="4"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xf>
    <xf numFmtId="10" fontId="0" fillId="0" borderId="0" xfId="1" applyNumberFormat="1" applyFont="1" applyFill="1" applyAlignment="1">
      <alignment horizontal="center" vertical="center"/>
    </xf>
    <xf numFmtId="3" fontId="36" fillId="13" borderId="1" xfId="0" applyNumberFormat="1" applyFont="1" applyFill="1" applyBorder="1" applyAlignment="1">
      <alignment horizontal="left" vertical="center"/>
    </xf>
    <xf numFmtId="3" fontId="0" fillId="0" borderId="0" xfId="0" applyNumberFormat="1" applyFill="1" applyAlignment="1">
      <alignment horizontal="center" vertical="center"/>
    </xf>
    <xf numFmtId="3" fontId="1" fillId="4" borderId="1" xfId="0" applyNumberFormat="1" applyFont="1" applyFill="1" applyBorder="1" applyAlignment="1">
      <alignment horizontal="center" vertical="center"/>
    </xf>
    <xf numFmtId="10" fontId="1" fillId="4" borderId="1" xfId="1" applyNumberFormat="1" applyFont="1" applyFill="1" applyBorder="1" applyAlignment="1">
      <alignment horizontal="center" vertical="center"/>
    </xf>
    <xf numFmtId="10" fontId="0" fillId="11" borderId="0" xfId="0" applyNumberFormat="1" applyFill="1" applyAlignment="1">
      <alignment vertical="center"/>
    </xf>
    <xf numFmtId="3" fontId="37" fillId="0" borderId="0" xfId="0" applyNumberFormat="1" applyFont="1" applyFill="1" applyAlignment="1">
      <alignment vertical="center"/>
    </xf>
    <xf numFmtId="3" fontId="38" fillId="0" borderId="1" xfId="0" applyNumberFormat="1" applyFont="1" applyFill="1" applyBorder="1" applyAlignment="1">
      <alignment vertical="center"/>
    </xf>
    <xf numFmtId="3" fontId="10" fillId="0" borderId="0" xfId="0" applyNumberFormat="1" applyFont="1" applyFill="1" applyAlignment="1">
      <alignment vertical="center"/>
    </xf>
    <xf numFmtId="3" fontId="7" fillId="0" borderId="1" xfId="0" applyNumberFormat="1" applyFont="1" applyFill="1" applyBorder="1" applyAlignment="1">
      <alignment vertical="center"/>
    </xf>
    <xf numFmtId="3" fontId="0" fillId="4" borderId="1" xfId="0" applyNumberFormat="1" applyFont="1" applyFill="1" applyBorder="1" applyAlignment="1">
      <alignment horizontal="left" vertical="center"/>
    </xf>
    <xf numFmtId="3" fontId="0" fillId="4" borderId="5" xfId="0" applyNumberFormat="1" applyFill="1" applyBorder="1" applyAlignment="1">
      <alignment vertical="center"/>
    </xf>
    <xf numFmtId="40" fontId="16" fillId="4" borderId="1" xfId="0" applyNumberFormat="1" applyFont="1" applyFill="1" applyBorder="1" applyAlignment="1">
      <alignment horizontal="center" vertical="center"/>
    </xf>
    <xf numFmtId="3" fontId="35" fillId="3" borderId="1" xfId="0" applyNumberFormat="1" applyFont="1" applyFill="1" applyBorder="1" applyAlignment="1">
      <alignment horizontal="center" vertical="center" wrapText="1"/>
    </xf>
    <xf numFmtId="3" fontId="10" fillId="0" borderId="0" xfId="0" applyNumberFormat="1" applyFont="1" applyFill="1" applyAlignment="1">
      <alignment horizontal="center" vertical="center"/>
    </xf>
    <xf numFmtId="10" fontId="10" fillId="0" borderId="0" xfId="1" applyNumberFormat="1" applyFont="1" applyFill="1" applyAlignment="1">
      <alignment horizontal="center" vertical="center"/>
    </xf>
    <xf numFmtId="3" fontId="10" fillId="4" borderId="1" xfId="0" applyNumberFormat="1" applyFont="1" applyFill="1" applyBorder="1" applyAlignment="1">
      <alignment horizontal="center" vertical="center"/>
    </xf>
    <xf numFmtId="3" fontId="10" fillId="11" borderId="0" xfId="0" applyNumberFormat="1" applyFont="1" applyFill="1" applyAlignment="1">
      <alignment vertical="center"/>
    </xf>
    <xf numFmtId="10" fontId="10" fillId="0" borderId="0" xfId="0" applyNumberFormat="1" applyFont="1" applyFill="1" applyAlignment="1">
      <alignment vertical="center"/>
    </xf>
    <xf numFmtId="3" fontId="6" fillId="4" borderId="1" xfId="0" applyNumberFormat="1" applyFont="1" applyFill="1" applyBorder="1" applyAlignment="1">
      <alignment horizontal="center" vertical="center"/>
    </xf>
    <xf numFmtId="13" fontId="10" fillId="0" borderId="0" xfId="0" applyNumberFormat="1" applyFont="1" applyFill="1" applyAlignment="1">
      <alignment horizontal="center" vertical="center"/>
    </xf>
    <xf numFmtId="165" fontId="10" fillId="0" borderId="0" xfId="0" applyNumberFormat="1" applyFont="1" applyFill="1" applyAlignment="1">
      <alignment vertical="center"/>
    </xf>
    <xf numFmtId="165" fontId="10" fillId="0" borderId="0" xfId="0" applyNumberFormat="1" applyFont="1" applyFill="1" applyAlignment="1">
      <alignment vertical="center" wrapText="1"/>
    </xf>
    <xf numFmtId="3" fontId="15" fillId="3" borderId="1" xfId="0" applyNumberFormat="1" applyFont="1" applyFill="1" applyBorder="1" applyAlignment="1">
      <alignment horizontal="center" vertical="center" wrapText="1"/>
    </xf>
    <xf numFmtId="167" fontId="1" fillId="0" borderId="1" xfId="0" applyNumberFormat="1" applyFont="1" applyBorder="1" applyAlignment="1">
      <alignment vertical="center"/>
    </xf>
    <xf numFmtId="167" fontId="1" fillId="0" borderId="0" xfId="0" applyNumberFormat="1" applyFont="1" applyBorder="1" applyAlignment="1">
      <alignment vertical="center"/>
    </xf>
    <xf numFmtId="165" fontId="10"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10" fillId="0" borderId="0" xfId="0" applyNumberFormat="1" applyFont="1" applyFill="1" applyAlignment="1">
      <alignment horizontal="right" vertical="center"/>
    </xf>
    <xf numFmtId="4" fontId="10" fillId="0" borderId="0" xfId="0" applyNumberFormat="1" applyFont="1" applyFill="1" applyAlignment="1">
      <alignment horizontal="right" vertical="center"/>
    </xf>
    <xf numFmtId="10" fontId="0" fillId="0" borderId="0" xfId="0" applyNumberFormat="1" applyFont="1" applyFill="1" applyBorder="1" applyAlignment="1">
      <alignment vertical="center"/>
    </xf>
    <xf numFmtId="165" fontId="6" fillId="0" borderId="0" xfId="0" applyNumberFormat="1" applyFont="1" applyFill="1" applyAlignment="1">
      <alignment vertical="center"/>
    </xf>
    <xf numFmtId="3" fontId="6" fillId="0" borderId="0" xfId="0" applyNumberFormat="1" applyFont="1" applyFill="1" applyAlignment="1">
      <alignment horizontal="right" vertical="center"/>
    </xf>
    <xf numFmtId="3" fontId="4" fillId="0" borderId="0" xfId="1" applyNumberFormat="1" applyFont="1" applyFill="1" applyAlignment="1">
      <alignment horizontal="center" vertical="center"/>
    </xf>
    <xf numFmtId="3" fontId="7" fillId="0" borderId="0" xfId="0" applyNumberFormat="1" applyFont="1" applyFill="1" applyAlignment="1">
      <alignment horizontal="right" vertical="center"/>
    </xf>
    <xf numFmtId="165" fontId="6" fillId="0" borderId="0" xfId="0" applyNumberFormat="1" applyFont="1" applyFill="1" applyAlignment="1">
      <alignment vertical="center" wrapText="1"/>
    </xf>
    <xf numFmtId="3" fontId="6" fillId="4" borderId="9" xfId="0" applyNumberFormat="1" applyFont="1" applyFill="1" applyBorder="1" applyAlignment="1">
      <alignment horizontal="right" vertical="center"/>
    </xf>
    <xf numFmtId="38" fontId="7" fillId="0" borderId="0" xfId="0" applyNumberFormat="1" applyFont="1" applyAlignment="1">
      <alignment vertical="center"/>
    </xf>
    <xf numFmtId="0" fontId="39" fillId="0" borderId="0" xfId="0" applyFont="1" applyAlignment="1">
      <alignment horizontal="left" vertical="center" indent="10"/>
    </xf>
    <xf numFmtId="38" fontId="7" fillId="4" borderId="9" xfId="0" applyNumberFormat="1" applyFont="1" applyFill="1" applyBorder="1" applyAlignment="1">
      <alignment vertical="center"/>
    </xf>
    <xf numFmtId="3" fontId="0" fillId="0" borderId="11" xfId="0" applyNumberFormat="1" applyFill="1" applyBorder="1" applyAlignment="1">
      <alignment vertical="center"/>
    </xf>
    <xf numFmtId="10" fontId="0" fillId="0" borderId="11" xfId="0" applyNumberFormat="1" applyFill="1" applyBorder="1" applyAlignment="1">
      <alignment vertical="center"/>
    </xf>
    <xf numFmtId="10" fontId="0" fillId="0" borderId="12" xfId="0" applyNumberFormat="1" applyFill="1" applyBorder="1" applyAlignment="1">
      <alignment vertical="center"/>
    </xf>
    <xf numFmtId="165" fontId="19" fillId="0" borderId="8" xfId="0" applyNumberFormat="1" applyFont="1" applyFill="1" applyBorder="1" applyAlignment="1">
      <alignment vertical="center"/>
    </xf>
    <xf numFmtId="3" fontId="0" fillId="0" borderId="0" xfId="0" applyNumberFormat="1" applyFill="1" applyBorder="1" applyAlignment="1">
      <alignment vertical="center"/>
    </xf>
    <xf numFmtId="3" fontId="6" fillId="0" borderId="0" xfId="0" applyNumberFormat="1" applyFont="1" applyFill="1" applyBorder="1" applyAlignment="1">
      <alignment vertical="center"/>
    </xf>
    <xf numFmtId="3" fontId="6" fillId="0" borderId="2" xfId="0" applyNumberFormat="1" applyFont="1" applyFill="1" applyBorder="1" applyAlignment="1">
      <alignment vertical="center"/>
    </xf>
    <xf numFmtId="165" fontId="5" fillId="0" borderId="8" xfId="0" applyNumberFormat="1" applyFont="1" applyFill="1" applyBorder="1" applyAlignment="1">
      <alignment vertical="center"/>
    </xf>
    <xf numFmtId="10" fontId="0" fillId="0" borderId="0" xfId="0" applyNumberFormat="1" applyFill="1" applyBorder="1" applyAlignment="1">
      <alignment vertical="center"/>
    </xf>
    <xf numFmtId="10" fontId="0" fillId="0" borderId="2" xfId="0" applyNumberFormat="1" applyFill="1" applyBorder="1" applyAlignment="1">
      <alignment vertical="center"/>
    </xf>
    <xf numFmtId="165" fontId="10" fillId="0" borderId="8" xfId="0" applyNumberFormat="1" applyFont="1" applyFill="1" applyBorder="1" applyAlignment="1">
      <alignment vertical="center"/>
    </xf>
    <xf numFmtId="3" fontId="0" fillId="0" borderId="2" xfId="0" applyNumberFormat="1" applyFill="1" applyBorder="1" applyAlignment="1">
      <alignment vertical="center"/>
    </xf>
    <xf numFmtId="165" fontId="24" fillId="0" borderId="13" xfId="0" applyNumberFormat="1" applyFont="1" applyFill="1" applyBorder="1" applyAlignment="1">
      <alignment vertical="center"/>
    </xf>
    <xf numFmtId="3" fontId="0" fillId="0" borderId="14" xfId="0" applyNumberFormat="1" applyFill="1" applyBorder="1" applyAlignment="1">
      <alignment vertical="center"/>
    </xf>
    <xf numFmtId="3" fontId="7" fillId="0" borderId="14" xfId="0" applyNumberFormat="1" applyFont="1" applyFill="1" applyBorder="1" applyAlignment="1">
      <alignment vertical="center"/>
    </xf>
    <xf numFmtId="3" fontId="7" fillId="0" borderId="7" xfId="0" applyNumberFormat="1" applyFont="1" applyFill="1" applyBorder="1" applyAlignment="1">
      <alignment vertical="center"/>
    </xf>
    <xf numFmtId="3" fontId="15" fillId="2" borderId="10" xfId="0" applyNumberFormat="1" applyFont="1" applyFill="1" applyBorder="1" applyAlignment="1">
      <alignment horizontal="center" vertical="center"/>
    </xf>
    <xf numFmtId="3" fontId="15" fillId="2" borderId="11" xfId="0" applyNumberFormat="1" applyFont="1" applyFill="1" applyBorder="1" applyAlignment="1">
      <alignment horizontal="center" vertical="center"/>
    </xf>
    <xf numFmtId="165" fontId="19" fillId="0" borderId="0" xfId="0" applyNumberFormat="1" applyFont="1" applyFill="1" applyBorder="1" applyAlignment="1">
      <alignment vertical="center"/>
    </xf>
    <xf numFmtId="165" fontId="16" fillId="4" borderId="0" xfId="0" applyNumberFormat="1" applyFont="1" applyFill="1" applyAlignment="1">
      <alignment vertical="center"/>
    </xf>
    <xf numFmtId="165" fontId="16" fillId="0" borderId="10" xfId="0" applyNumberFormat="1" applyFont="1" applyFill="1" applyBorder="1" applyAlignment="1">
      <alignment horizontal="center" vertical="center"/>
    </xf>
    <xf numFmtId="3" fontId="33" fillId="0" borderId="0" xfId="0" applyNumberFormat="1" applyFont="1" applyAlignment="1">
      <alignment horizontal="left" vertical="center"/>
    </xf>
    <xf numFmtId="3" fontId="16" fillId="0" borderId="1" xfId="0" applyNumberFormat="1" applyFont="1" applyFill="1" applyBorder="1" applyAlignment="1">
      <alignment horizontal="center" vertical="center" wrapText="1"/>
    </xf>
    <xf numFmtId="3" fontId="7" fillId="0" borderId="15" xfId="0" applyNumberFormat="1" applyFont="1" applyBorder="1" applyAlignment="1">
      <alignment horizontal="center" vertical="center"/>
    </xf>
    <xf numFmtId="3" fontId="0" fillId="0" borderId="16" xfId="0" applyNumberFormat="1" applyBorder="1" applyAlignment="1">
      <alignment vertical="center" wrapText="1"/>
    </xf>
    <xf numFmtId="3" fontId="0" fillId="0" borderId="16" xfId="0" applyNumberFormat="1" applyBorder="1" applyAlignment="1">
      <alignment vertical="center"/>
    </xf>
    <xf numFmtId="3" fontId="0" fillId="0" borderId="6" xfId="0" applyNumberFormat="1" applyBorder="1" applyAlignment="1">
      <alignment vertical="center"/>
    </xf>
    <xf numFmtId="3" fontId="30" fillId="3" borderId="1" xfId="0" applyNumberFormat="1" applyFont="1" applyFill="1" applyBorder="1" applyAlignment="1">
      <alignment horizontal="center" vertical="center" wrapText="1"/>
    </xf>
    <xf numFmtId="167" fontId="7" fillId="0" borderId="1" xfId="0" applyNumberFormat="1" applyFont="1" applyBorder="1" applyAlignment="1">
      <alignment vertical="center"/>
    </xf>
    <xf numFmtId="167" fontId="7" fillId="4" borderId="1" xfId="0" applyNumberFormat="1" applyFont="1" applyFill="1" applyBorder="1" applyAlignment="1">
      <alignment vertical="center"/>
    </xf>
    <xf numFmtId="10" fontId="7" fillId="0" borderId="1" xfId="1" applyNumberFormat="1" applyFont="1" applyBorder="1" applyAlignment="1">
      <alignment vertical="center"/>
    </xf>
    <xf numFmtId="3" fontId="36" fillId="13" borderId="1" xfId="0" applyNumberFormat="1" applyFont="1" applyFill="1" applyBorder="1" applyAlignment="1">
      <alignment horizontal="left" vertical="center" wrapText="1"/>
    </xf>
    <xf numFmtId="165"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Alignment="1">
      <alignment vertical="center"/>
    </xf>
    <xf numFmtId="38" fontId="7" fillId="0" borderId="1" xfId="0" applyNumberFormat="1" applyFont="1" applyFill="1" applyBorder="1" applyAlignment="1">
      <alignment vertical="center"/>
    </xf>
    <xf numFmtId="10" fontId="7" fillId="0" borderId="1" xfId="1" applyNumberFormat="1" applyFont="1" applyFill="1" applyBorder="1" applyAlignment="1">
      <alignment vertical="center"/>
    </xf>
    <xf numFmtId="0" fontId="0" fillId="10" borderId="1" xfId="0" applyFill="1" applyBorder="1" applyAlignment="1">
      <alignment vertical="center" wrapText="1"/>
    </xf>
    <xf numFmtId="0" fontId="0" fillId="11" borderId="1" xfId="0" applyFill="1" applyBorder="1" applyAlignment="1">
      <alignment vertical="center" wrapText="1"/>
    </xf>
    <xf numFmtId="0" fontId="0" fillId="9" borderId="1" xfId="0" applyFill="1" applyBorder="1" applyAlignment="1">
      <alignment vertical="center" wrapText="1"/>
    </xf>
    <xf numFmtId="10" fontId="2" fillId="0" borderId="0" xfId="1" applyNumberFormat="1" applyFont="1" applyAlignment="1">
      <alignment vertical="center"/>
    </xf>
    <xf numFmtId="166" fontId="7" fillId="4" borderId="1" xfId="0" applyNumberFormat="1" applyFont="1" applyFill="1" applyBorder="1" applyAlignment="1">
      <alignment vertical="center"/>
    </xf>
    <xf numFmtId="0" fontId="5" fillId="5" borderId="0" xfId="0" applyFont="1" applyFill="1"/>
    <xf numFmtId="3" fontId="35" fillId="11" borderId="1" xfId="0" applyNumberFormat="1" applyFont="1" applyFill="1" applyBorder="1" applyAlignment="1">
      <alignment horizontal="center" vertical="center" wrapText="1"/>
    </xf>
    <xf numFmtId="10" fontId="0" fillId="0" borderId="0" xfId="1" applyNumberFormat="1" applyFont="1" applyAlignment="1">
      <alignment vertical="center"/>
    </xf>
    <xf numFmtId="3" fontId="0" fillId="0" borderId="1" xfId="0" applyNumberFormat="1" applyBorder="1" applyAlignment="1">
      <alignment vertical="center"/>
    </xf>
    <xf numFmtId="3" fontId="36" fillId="3" borderId="1" xfId="0" applyNumberFormat="1" applyFont="1" applyFill="1" applyBorder="1" applyAlignment="1">
      <alignment horizontal="left" vertical="center" wrapText="1"/>
    </xf>
    <xf numFmtId="3" fontId="9" fillId="2" borderId="3" xfId="0" applyNumberFormat="1" applyFont="1" applyFill="1" applyBorder="1" applyAlignment="1">
      <alignment horizontal="center" vertical="center" wrapText="1"/>
    </xf>
    <xf numFmtId="10" fontId="5" fillId="11" borderId="1" xfId="0" applyNumberFormat="1" applyFont="1" applyFill="1" applyBorder="1" applyAlignment="1">
      <alignment vertical="center"/>
    </xf>
    <xf numFmtId="38" fontId="0" fillId="11" borderId="1" xfId="0" applyNumberFormat="1" applyFill="1" applyBorder="1" applyAlignment="1">
      <alignment vertical="center"/>
    </xf>
    <xf numFmtId="9" fontId="5" fillId="0" borderId="0" xfId="1" applyFont="1" applyAlignment="1">
      <alignment vertical="center"/>
    </xf>
    <xf numFmtId="3" fontId="7" fillId="0" borderId="0" xfId="0" applyNumberFormat="1" applyFont="1" applyFill="1" applyAlignment="1">
      <alignment vertical="center"/>
    </xf>
    <xf numFmtId="3" fontId="7" fillId="4" borderId="1" xfId="0" applyNumberFormat="1" applyFont="1" applyFill="1" applyBorder="1" applyAlignment="1">
      <alignment vertical="center"/>
    </xf>
    <xf numFmtId="10" fontId="1" fillId="0" borderId="0" xfId="1" applyNumberFormat="1" applyFont="1" applyAlignment="1">
      <alignment vertical="center"/>
    </xf>
    <xf numFmtId="3" fontId="1" fillId="11" borderId="15" xfId="0" applyNumberFormat="1" applyFont="1" applyFill="1" applyBorder="1" applyAlignment="1">
      <alignment vertical="center"/>
    </xf>
    <xf numFmtId="10" fontId="1" fillId="11" borderId="16" xfId="1" applyNumberFormat="1" applyFont="1" applyFill="1" applyBorder="1" applyAlignment="1">
      <alignment vertical="center"/>
    </xf>
    <xf numFmtId="3" fontId="1" fillId="11" borderId="16" xfId="0" applyNumberFormat="1" applyFont="1" applyFill="1" applyBorder="1" applyAlignment="1">
      <alignment vertical="center"/>
    </xf>
    <xf numFmtId="3" fontId="1" fillId="11" borderId="6" xfId="0" applyNumberFormat="1" applyFont="1" applyFill="1" applyBorder="1" applyAlignment="1">
      <alignment vertical="center"/>
    </xf>
    <xf numFmtId="3" fontId="1" fillId="0" borderId="0" xfId="0" applyNumberFormat="1" applyFont="1" applyAlignment="1">
      <alignment horizontal="center" vertical="center" wrapText="1"/>
    </xf>
    <xf numFmtId="38" fontId="7" fillId="4" borderId="1" xfId="0" applyNumberFormat="1" applyFont="1" applyFill="1" applyBorder="1" applyAlignment="1">
      <alignment horizontal="right" vertical="center"/>
    </xf>
    <xf numFmtId="164" fontId="10" fillId="5" borderId="0" xfId="0" applyNumberFormat="1" applyFont="1" applyFill="1" applyBorder="1" applyAlignment="1">
      <alignment horizontal="center" vertical="center" wrapText="1"/>
    </xf>
    <xf numFmtId="164" fontId="1" fillId="8" borderId="0" xfId="0" applyNumberFormat="1" applyFont="1" applyFill="1" applyAlignment="1">
      <alignment horizontal="right" vertical="center" wrapText="1"/>
    </xf>
    <xf numFmtId="164" fontId="1" fillId="4" borderId="0" xfId="0" applyNumberFormat="1" applyFont="1" applyFill="1" applyAlignment="1">
      <alignment horizontal="right" vertical="center" wrapText="1"/>
    </xf>
    <xf numFmtId="164" fontId="1" fillId="0" borderId="0" xfId="0" applyNumberFormat="1" applyFont="1" applyAlignment="1">
      <alignment horizontal="left" vertical="center" wrapText="1"/>
    </xf>
    <xf numFmtId="164" fontId="1" fillId="0" borderId="2" xfId="0" applyNumberFormat="1" applyFont="1" applyBorder="1" applyAlignment="1">
      <alignment horizontal="left" vertical="center" wrapText="1"/>
    </xf>
    <xf numFmtId="164" fontId="1" fillId="0" borderId="0" xfId="0" applyNumberFormat="1" applyFont="1" applyAlignment="1">
      <alignment horizontal="center" vertical="center" wrapText="1"/>
    </xf>
    <xf numFmtId="164" fontId="1" fillId="0" borderId="2" xfId="0" applyNumberFormat="1" applyFont="1" applyBorder="1" applyAlignment="1">
      <alignment horizontal="center" vertical="center" wrapText="1"/>
    </xf>
    <xf numFmtId="164" fontId="1" fillId="11" borderId="0" xfId="0" applyNumberFormat="1" applyFont="1" applyFill="1" applyAlignment="1">
      <alignment horizontal="center" vertical="center" wrapText="1"/>
    </xf>
    <xf numFmtId="164" fontId="10" fillId="5" borderId="0" xfId="0" applyNumberFormat="1" applyFont="1" applyFill="1" applyAlignment="1">
      <alignment horizontal="center" vertical="center" wrapText="1"/>
    </xf>
    <xf numFmtId="164" fontId="10" fillId="5" borderId="2" xfId="0" applyNumberFormat="1" applyFont="1" applyFill="1" applyBorder="1" applyAlignment="1">
      <alignment horizontal="center" vertical="center" wrapText="1"/>
    </xf>
    <xf numFmtId="164" fontId="1" fillId="11" borderId="2" xfId="0" applyNumberFormat="1" applyFont="1" applyFill="1" applyBorder="1" applyAlignment="1">
      <alignment horizontal="center" vertical="center" wrapText="1"/>
    </xf>
    <xf numFmtId="3" fontId="0" fillId="0" borderId="8" xfId="0" applyNumberFormat="1" applyFill="1" applyBorder="1" applyAlignment="1">
      <alignment horizontal="center" vertical="center" wrapText="1"/>
    </xf>
    <xf numFmtId="3" fontId="0" fillId="0" borderId="0" xfId="0" applyNumberFormat="1" applyFill="1" applyAlignment="1">
      <alignment horizontal="center" vertical="center" wrapText="1"/>
    </xf>
    <xf numFmtId="3" fontId="10" fillId="11" borderId="0" xfId="0" applyNumberFormat="1" applyFont="1" applyFill="1" applyAlignment="1">
      <alignment horizontal="left" vertical="center" wrapText="1"/>
    </xf>
    <xf numFmtId="10" fontId="0" fillId="0" borderId="0" xfId="0" applyNumberFormat="1" applyFont="1" applyFill="1" applyBorder="1" applyAlignment="1">
      <alignment horizontal="left" vertical="center" wrapText="1"/>
    </xf>
    <xf numFmtId="3" fontId="0" fillId="0" borderId="0" xfId="0" applyNumberFormat="1" applyFill="1" applyAlignment="1">
      <alignment horizontal="left" vertical="center" wrapText="1"/>
    </xf>
    <xf numFmtId="3" fontId="24" fillId="0" borderId="11" xfId="0" applyNumberFormat="1" applyFont="1" applyBorder="1" applyAlignment="1">
      <alignment horizontal="center" vertical="center" wrapText="1"/>
    </xf>
    <xf numFmtId="3" fontId="24" fillId="0" borderId="0" xfId="0" applyNumberFormat="1" applyFont="1" applyAlignment="1">
      <alignment horizontal="center" vertical="center" wrapText="1"/>
    </xf>
    <xf numFmtId="3" fontId="7" fillId="0" borderId="15"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7" fillId="0" borderId="6"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6" xfId="0" applyNumberFormat="1" applyFont="1" applyBorder="1" applyAlignment="1">
      <alignment horizontal="center" vertical="center"/>
    </xf>
  </cellXfs>
  <cellStyles count="3">
    <cellStyle name="Гиперссылка" xfId="2" builtinId="8"/>
    <cellStyle name="Обычный" xfId="0" builtinId="0"/>
    <cellStyle name="Процентный" xfId="1" builtinId="5"/>
  </cellStyles>
  <dxfs count="0"/>
  <tableStyles count="0" defaultTableStyle="TableStyleMedium2" defaultPivotStyle="PivotStyleLight16"/>
  <colors>
    <mruColors>
      <color rgb="FFFF75DB"/>
      <color rgb="FF99FF33"/>
      <color rgb="FF00FFFF"/>
      <color rgb="FF6DD9FF"/>
      <color rgb="FFFFCC00"/>
      <color rgb="FFFF33CC"/>
      <color rgb="FFFF0066"/>
      <color rgb="FF3333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25.png"/><Relationship Id="rId1" Type="http://schemas.openxmlformats.org/officeDocument/2006/relationships/image" Target="../media/image24.png"/><Relationship Id="rId5" Type="http://schemas.openxmlformats.org/officeDocument/2006/relationships/image" Target="../media/image28.png"/><Relationship Id="rId4" Type="http://schemas.openxmlformats.org/officeDocument/2006/relationships/image" Target="../media/image27.png"/></Relationships>
</file>

<file path=xl/drawings/_rels/drawing3.xml.rels><?xml version="1.0" encoding="UTF-8" standalone="yes"?>
<Relationships xmlns="http://schemas.openxmlformats.org/package/2006/relationships"><Relationship Id="rId3" Type="http://schemas.openxmlformats.org/officeDocument/2006/relationships/image" Target="../media/image31.png"/><Relationship Id="rId2" Type="http://schemas.openxmlformats.org/officeDocument/2006/relationships/image" Target="../media/image30.png"/><Relationship Id="rId1" Type="http://schemas.openxmlformats.org/officeDocument/2006/relationships/image" Target="../media/image29.png"/><Relationship Id="rId5" Type="http://schemas.openxmlformats.org/officeDocument/2006/relationships/image" Target="../media/image33.png"/><Relationship Id="rId4" Type="http://schemas.openxmlformats.org/officeDocument/2006/relationships/image" Target="../media/image32.png"/></Relationships>
</file>

<file path=xl/drawings/_rels/drawing4.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5.png"/><Relationship Id="rId18" Type="http://schemas.openxmlformats.org/officeDocument/2006/relationships/image" Target="../media/image8.png"/><Relationship Id="rId26" Type="http://schemas.openxmlformats.org/officeDocument/2006/relationships/image" Target="../media/image37.png"/><Relationship Id="rId3" Type="http://schemas.openxmlformats.org/officeDocument/2006/relationships/image" Target="../media/image11.png"/><Relationship Id="rId21" Type="http://schemas.openxmlformats.org/officeDocument/2006/relationships/image" Target="../media/image25.png"/><Relationship Id="rId7" Type="http://schemas.openxmlformats.org/officeDocument/2006/relationships/image" Target="../media/image6.png"/><Relationship Id="rId12" Type="http://schemas.openxmlformats.org/officeDocument/2006/relationships/image" Target="../media/image1.png"/><Relationship Id="rId17" Type="http://schemas.openxmlformats.org/officeDocument/2006/relationships/image" Target="../media/image7.png"/><Relationship Id="rId25" Type="http://schemas.openxmlformats.org/officeDocument/2006/relationships/image" Target="../media/image36.png"/><Relationship Id="rId2" Type="http://schemas.openxmlformats.org/officeDocument/2006/relationships/image" Target="../media/image22.png"/><Relationship Id="rId16" Type="http://schemas.openxmlformats.org/officeDocument/2006/relationships/image" Target="../media/image20.png"/><Relationship Id="rId20" Type="http://schemas.openxmlformats.org/officeDocument/2006/relationships/image" Target="../media/image9.png"/><Relationship Id="rId29" Type="http://schemas.openxmlformats.org/officeDocument/2006/relationships/image" Target="../media/image40.png"/><Relationship Id="rId1" Type="http://schemas.openxmlformats.org/officeDocument/2006/relationships/image" Target="../media/image34.png"/><Relationship Id="rId6" Type="http://schemas.openxmlformats.org/officeDocument/2006/relationships/image" Target="../media/image3.png"/><Relationship Id="rId11" Type="http://schemas.openxmlformats.org/officeDocument/2006/relationships/image" Target="../media/image17.png"/><Relationship Id="rId24" Type="http://schemas.openxmlformats.org/officeDocument/2006/relationships/image" Target="../media/image35.png"/><Relationship Id="rId5" Type="http://schemas.openxmlformats.org/officeDocument/2006/relationships/image" Target="../media/image4.png"/><Relationship Id="rId15" Type="http://schemas.openxmlformats.org/officeDocument/2006/relationships/image" Target="../media/image19.png"/><Relationship Id="rId23" Type="http://schemas.openxmlformats.org/officeDocument/2006/relationships/image" Target="../media/image28.png"/><Relationship Id="rId28" Type="http://schemas.openxmlformats.org/officeDocument/2006/relationships/image" Target="../media/image39.png"/><Relationship Id="rId10" Type="http://schemas.openxmlformats.org/officeDocument/2006/relationships/image" Target="../media/image21.png"/><Relationship Id="rId19" Type="http://schemas.openxmlformats.org/officeDocument/2006/relationships/image" Target="../media/image2.png"/><Relationship Id="rId4" Type="http://schemas.openxmlformats.org/officeDocument/2006/relationships/image" Target="../media/image12.png"/><Relationship Id="rId9" Type="http://schemas.openxmlformats.org/officeDocument/2006/relationships/image" Target="../media/image15.png"/><Relationship Id="rId14" Type="http://schemas.openxmlformats.org/officeDocument/2006/relationships/image" Target="../media/image10.png"/><Relationship Id="rId22" Type="http://schemas.openxmlformats.org/officeDocument/2006/relationships/image" Target="../media/image26.png"/><Relationship Id="rId27" Type="http://schemas.openxmlformats.org/officeDocument/2006/relationships/image" Target="../media/image38.png"/><Relationship Id="rId30" Type="http://schemas.openxmlformats.org/officeDocument/2006/relationships/image" Target="../media/image4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1.png"/><Relationship Id="rId2" Type="http://schemas.openxmlformats.org/officeDocument/2006/relationships/image" Target="../media/image30.png"/><Relationship Id="rId1" Type="http://schemas.openxmlformats.org/officeDocument/2006/relationships/image" Target="../media/image29.png"/><Relationship Id="rId4" Type="http://schemas.openxmlformats.org/officeDocument/2006/relationships/image" Target="../media/image32.png"/></Relationships>
</file>

<file path=xl/drawings/drawing1.xml><?xml version="1.0" encoding="utf-8"?>
<xdr:wsDr xmlns:xdr="http://schemas.openxmlformats.org/drawingml/2006/spreadsheetDrawing" xmlns:a="http://schemas.openxmlformats.org/drawingml/2006/main">
  <xdr:twoCellAnchor>
    <xdr:from>
      <xdr:col>9</xdr:col>
      <xdr:colOff>205740</xdr:colOff>
      <xdr:row>29</xdr:row>
      <xdr:rowOff>281940</xdr:rowOff>
    </xdr:from>
    <xdr:to>
      <xdr:col>12</xdr:col>
      <xdr:colOff>342900</xdr:colOff>
      <xdr:row>31</xdr:row>
      <xdr:rowOff>53340</xdr:rowOff>
    </xdr:to>
    <xdr:pic>
      <xdr:nvPicPr>
        <xdr:cNvPr id="2" name="Рисунок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85320" y="6736080"/>
          <a:ext cx="196596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388620</xdr:colOff>
      <xdr:row>34</xdr:row>
      <xdr:rowOff>426720</xdr:rowOff>
    </xdr:from>
    <xdr:to>
      <xdr:col>12</xdr:col>
      <xdr:colOff>342900</xdr:colOff>
      <xdr:row>36</xdr:row>
      <xdr:rowOff>15240</xdr:rowOff>
    </xdr:to>
    <xdr:pic>
      <xdr:nvPicPr>
        <xdr:cNvPr id="3" name="Рисунок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00" y="8732520"/>
          <a:ext cx="178308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167640</xdr:colOff>
      <xdr:row>73</xdr:row>
      <xdr:rowOff>60960</xdr:rowOff>
    </xdr:from>
    <xdr:to>
      <xdr:col>13</xdr:col>
      <xdr:colOff>251460</xdr:colOff>
      <xdr:row>75</xdr:row>
      <xdr:rowOff>152400</xdr:rowOff>
    </xdr:to>
    <xdr:pic>
      <xdr:nvPicPr>
        <xdr:cNvPr id="4" name="Рисунок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47220" y="18684240"/>
          <a:ext cx="2522220" cy="48768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190500</xdr:colOff>
      <xdr:row>87</xdr:row>
      <xdr:rowOff>0</xdr:rowOff>
    </xdr:from>
    <xdr:to>
      <xdr:col>13</xdr:col>
      <xdr:colOff>289560</xdr:colOff>
      <xdr:row>89</xdr:row>
      <xdr:rowOff>0</xdr:rowOff>
    </xdr:to>
    <xdr:pic>
      <xdr:nvPicPr>
        <xdr:cNvPr id="5" name="Рисунок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0080" y="22075140"/>
          <a:ext cx="253746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220980</xdr:colOff>
      <xdr:row>31</xdr:row>
      <xdr:rowOff>144780</xdr:rowOff>
    </xdr:from>
    <xdr:to>
      <xdr:col>13</xdr:col>
      <xdr:colOff>373380</xdr:colOff>
      <xdr:row>33</xdr:row>
      <xdr:rowOff>152400</xdr:rowOff>
    </xdr:to>
    <xdr:pic>
      <xdr:nvPicPr>
        <xdr:cNvPr id="6" name="Рисунок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00560" y="7299960"/>
          <a:ext cx="259080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77</xdr:row>
      <xdr:rowOff>0</xdr:rowOff>
    </xdr:from>
    <xdr:to>
      <xdr:col>13</xdr:col>
      <xdr:colOff>381000</xdr:colOff>
      <xdr:row>79</xdr:row>
      <xdr:rowOff>38100</xdr:rowOff>
    </xdr:to>
    <xdr:pic>
      <xdr:nvPicPr>
        <xdr:cNvPr id="7" name="Рисунок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79580" y="19423380"/>
          <a:ext cx="281940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144780</xdr:colOff>
      <xdr:row>103</xdr:row>
      <xdr:rowOff>342900</xdr:rowOff>
    </xdr:from>
    <xdr:to>
      <xdr:col>13</xdr:col>
      <xdr:colOff>304800</xdr:colOff>
      <xdr:row>105</xdr:row>
      <xdr:rowOff>144780</xdr:rowOff>
    </xdr:to>
    <xdr:pic>
      <xdr:nvPicPr>
        <xdr:cNvPr id="14" name="Рисунок 13"/>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84380" y="31897320"/>
          <a:ext cx="259842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167640</xdr:colOff>
      <xdr:row>106</xdr:row>
      <xdr:rowOff>0</xdr:rowOff>
    </xdr:from>
    <xdr:to>
      <xdr:col>11</xdr:col>
      <xdr:colOff>563880</xdr:colOff>
      <xdr:row>106</xdr:row>
      <xdr:rowOff>175260</xdr:rowOff>
    </xdr:to>
    <xdr:pic>
      <xdr:nvPicPr>
        <xdr:cNvPr id="16" name="Рисунок 15"/>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47220" y="27942540"/>
          <a:ext cx="1615440" cy="1752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259080</xdr:colOff>
      <xdr:row>45</xdr:row>
      <xdr:rowOff>15240</xdr:rowOff>
    </xdr:from>
    <xdr:to>
      <xdr:col>10</xdr:col>
      <xdr:colOff>525780</xdr:colOff>
      <xdr:row>46</xdr:row>
      <xdr:rowOff>175260</xdr:rowOff>
    </xdr:to>
    <xdr:pic>
      <xdr:nvPicPr>
        <xdr:cNvPr id="17" name="Рисунок 16"/>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38660" y="11605260"/>
          <a:ext cx="87630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144780</xdr:colOff>
      <xdr:row>57</xdr:row>
      <xdr:rowOff>403860</xdr:rowOff>
    </xdr:from>
    <xdr:to>
      <xdr:col>12</xdr:col>
      <xdr:colOff>388620</xdr:colOff>
      <xdr:row>60</xdr:row>
      <xdr:rowOff>30480</xdr:rowOff>
    </xdr:to>
    <xdr:pic>
      <xdr:nvPicPr>
        <xdr:cNvPr id="18" name="Рисунок 17"/>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24360" y="13274040"/>
          <a:ext cx="207264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198120</xdr:colOff>
      <xdr:row>95</xdr:row>
      <xdr:rowOff>175260</xdr:rowOff>
    </xdr:from>
    <xdr:to>
      <xdr:col>13</xdr:col>
      <xdr:colOff>472440</xdr:colOff>
      <xdr:row>97</xdr:row>
      <xdr:rowOff>205740</xdr:rowOff>
    </xdr:to>
    <xdr:pic>
      <xdr:nvPicPr>
        <xdr:cNvPr id="19" name="Рисунок 18"/>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4711660"/>
          <a:ext cx="2712720" cy="64770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213360</xdr:colOff>
      <xdr:row>98</xdr:row>
      <xdr:rowOff>99060</xdr:rowOff>
    </xdr:from>
    <xdr:to>
      <xdr:col>11</xdr:col>
      <xdr:colOff>510540</xdr:colOff>
      <xdr:row>99</xdr:row>
      <xdr:rowOff>121920</xdr:rowOff>
    </xdr:to>
    <xdr:pic>
      <xdr:nvPicPr>
        <xdr:cNvPr id="20" name="Рисунок 19"/>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92940" y="25656540"/>
          <a:ext cx="151638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297180</xdr:colOff>
      <xdr:row>52</xdr:row>
      <xdr:rowOff>15240</xdr:rowOff>
    </xdr:from>
    <xdr:to>
      <xdr:col>11</xdr:col>
      <xdr:colOff>350520</xdr:colOff>
      <xdr:row>52</xdr:row>
      <xdr:rowOff>190500</xdr:rowOff>
    </xdr:to>
    <xdr:pic>
      <xdr:nvPicPr>
        <xdr:cNvPr id="22" name="Рисунок 21"/>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36780" y="13594080"/>
          <a:ext cx="1272540" cy="1752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83820</xdr:colOff>
      <xdr:row>129</xdr:row>
      <xdr:rowOff>129540</xdr:rowOff>
    </xdr:from>
    <xdr:to>
      <xdr:col>13</xdr:col>
      <xdr:colOff>304800</xdr:colOff>
      <xdr:row>132</xdr:row>
      <xdr:rowOff>0</xdr:rowOff>
    </xdr:to>
    <xdr:pic>
      <xdr:nvPicPr>
        <xdr:cNvPr id="23" name="Рисунок 22"/>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23420" y="39806880"/>
          <a:ext cx="265938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83820</xdr:colOff>
      <xdr:row>132</xdr:row>
      <xdr:rowOff>144780</xdr:rowOff>
    </xdr:from>
    <xdr:to>
      <xdr:col>15</xdr:col>
      <xdr:colOff>53340</xdr:colOff>
      <xdr:row>134</xdr:row>
      <xdr:rowOff>182880</xdr:rowOff>
    </xdr:to>
    <xdr:pic>
      <xdr:nvPicPr>
        <xdr:cNvPr id="24" name="Рисунок 23"/>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23420" y="40424100"/>
          <a:ext cx="3627120" cy="5105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198120</xdr:colOff>
      <xdr:row>146</xdr:row>
      <xdr:rowOff>434340</xdr:rowOff>
    </xdr:from>
    <xdr:to>
      <xdr:col>12</xdr:col>
      <xdr:colOff>251460</xdr:colOff>
      <xdr:row>149</xdr:row>
      <xdr:rowOff>45720</xdr:rowOff>
    </xdr:to>
    <xdr:pic>
      <xdr:nvPicPr>
        <xdr:cNvPr id="25" name="Рисунок 24"/>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37720" y="42809160"/>
          <a:ext cx="188214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160020</xdr:colOff>
      <xdr:row>141</xdr:row>
      <xdr:rowOff>83820</xdr:rowOff>
    </xdr:from>
    <xdr:to>
      <xdr:col>12</xdr:col>
      <xdr:colOff>251460</xdr:colOff>
      <xdr:row>143</xdr:row>
      <xdr:rowOff>114300</xdr:rowOff>
    </xdr:to>
    <xdr:pic>
      <xdr:nvPicPr>
        <xdr:cNvPr id="26" name="Рисунок 25"/>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9620" y="44325540"/>
          <a:ext cx="192024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213360</xdr:colOff>
      <xdr:row>151</xdr:row>
      <xdr:rowOff>396240</xdr:rowOff>
    </xdr:from>
    <xdr:to>
      <xdr:col>11</xdr:col>
      <xdr:colOff>518160</xdr:colOff>
      <xdr:row>153</xdr:row>
      <xdr:rowOff>198120</xdr:rowOff>
    </xdr:to>
    <xdr:pic>
      <xdr:nvPicPr>
        <xdr:cNvPr id="27" name="Рисунок 26"/>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52960" y="45346620"/>
          <a:ext cx="152400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190500</xdr:colOff>
      <xdr:row>158</xdr:row>
      <xdr:rowOff>15240</xdr:rowOff>
    </xdr:from>
    <xdr:to>
      <xdr:col>12</xdr:col>
      <xdr:colOff>45720</xdr:colOff>
      <xdr:row>160</xdr:row>
      <xdr:rowOff>45720</xdr:rowOff>
    </xdr:to>
    <xdr:pic>
      <xdr:nvPicPr>
        <xdr:cNvPr id="28" name="Рисунок 27"/>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30100" y="53332380"/>
          <a:ext cx="1684020" cy="49530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167640</xdr:colOff>
      <xdr:row>161</xdr:row>
      <xdr:rowOff>15240</xdr:rowOff>
    </xdr:from>
    <xdr:to>
      <xdr:col>11</xdr:col>
      <xdr:colOff>358140</xdr:colOff>
      <xdr:row>161</xdr:row>
      <xdr:rowOff>190500</xdr:rowOff>
    </xdr:to>
    <xdr:pic>
      <xdr:nvPicPr>
        <xdr:cNvPr id="31" name="Рисунок 30"/>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07240" y="54033420"/>
          <a:ext cx="1409700" cy="1752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160020</xdr:colOff>
      <xdr:row>118</xdr:row>
      <xdr:rowOff>160020</xdr:rowOff>
    </xdr:from>
    <xdr:to>
      <xdr:col>13</xdr:col>
      <xdr:colOff>533400</xdr:colOff>
      <xdr:row>121</xdr:row>
      <xdr:rowOff>30480</xdr:rowOff>
    </xdr:to>
    <xdr:pic>
      <xdr:nvPicPr>
        <xdr:cNvPr id="32" name="Рисунок 31"/>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9620" y="36286440"/>
          <a:ext cx="281178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152400</xdr:colOff>
      <xdr:row>111</xdr:row>
      <xdr:rowOff>30480</xdr:rowOff>
    </xdr:from>
    <xdr:to>
      <xdr:col>12</xdr:col>
      <xdr:colOff>533400</xdr:colOff>
      <xdr:row>113</xdr:row>
      <xdr:rowOff>236220</xdr:rowOff>
    </xdr:to>
    <xdr:pic>
      <xdr:nvPicPr>
        <xdr:cNvPr id="29" name="Рисунок 28"/>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2000" y="34152840"/>
          <a:ext cx="2209800" cy="64770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320040</xdr:colOff>
      <xdr:row>168</xdr:row>
      <xdr:rowOff>175260</xdr:rowOff>
    </xdr:from>
    <xdr:to>
      <xdr:col>11</xdr:col>
      <xdr:colOff>601980</xdr:colOff>
      <xdr:row>171</xdr:row>
      <xdr:rowOff>53340</xdr:rowOff>
    </xdr:to>
    <xdr:pic>
      <xdr:nvPicPr>
        <xdr:cNvPr id="33" name="Рисунок 32"/>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82300" y="53149500"/>
          <a:ext cx="1501140" cy="5867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152400</xdr:colOff>
      <xdr:row>116</xdr:row>
      <xdr:rowOff>15240</xdr:rowOff>
    </xdr:from>
    <xdr:to>
      <xdr:col>12</xdr:col>
      <xdr:colOff>381000</xdr:colOff>
      <xdr:row>118</xdr:row>
      <xdr:rowOff>91440</xdr:rowOff>
    </xdr:to>
    <xdr:pic>
      <xdr:nvPicPr>
        <xdr:cNvPr id="24" name="Рисунок 2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2000" y="32826960"/>
          <a:ext cx="205740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236220</xdr:colOff>
      <xdr:row>45</xdr:row>
      <xdr:rowOff>228600</xdr:rowOff>
    </xdr:from>
    <xdr:to>
      <xdr:col>11</xdr:col>
      <xdr:colOff>289560</xdr:colOff>
      <xdr:row>47</xdr:row>
      <xdr:rowOff>129540</xdr:rowOff>
    </xdr:to>
    <xdr:pic>
      <xdr:nvPicPr>
        <xdr:cNvPr id="25" name="Рисунок 2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5820" y="10210800"/>
          <a:ext cx="1272540" cy="3657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129540</xdr:colOff>
      <xdr:row>51</xdr:row>
      <xdr:rowOff>220980</xdr:rowOff>
    </xdr:from>
    <xdr:to>
      <xdr:col>16</xdr:col>
      <xdr:colOff>594360</xdr:colOff>
      <xdr:row>53</xdr:row>
      <xdr:rowOff>121920</xdr:rowOff>
    </xdr:to>
    <xdr:pic>
      <xdr:nvPicPr>
        <xdr:cNvPr id="27" name="Рисунок 26"/>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69140" y="12938760"/>
          <a:ext cx="473202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182880</xdr:colOff>
      <xdr:row>104</xdr:row>
      <xdr:rowOff>53340</xdr:rowOff>
    </xdr:from>
    <xdr:to>
      <xdr:col>12</xdr:col>
      <xdr:colOff>457200</xdr:colOff>
      <xdr:row>105</xdr:row>
      <xdr:rowOff>0</xdr:rowOff>
    </xdr:to>
    <xdr:pic>
      <xdr:nvPicPr>
        <xdr:cNvPr id="7" name="Рисунок 6"/>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22480" y="29154120"/>
          <a:ext cx="2103120" cy="1752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137160</xdr:colOff>
      <xdr:row>105</xdr:row>
      <xdr:rowOff>68580</xdr:rowOff>
    </xdr:from>
    <xdr:to>
      <xdr:col>13</xdr:col>
      <xdr:colOff>579120</xdr:colOff>
      <xdr:row>107</xdr:row>
      <xdr:rowOff>91440</xdr:rowOff>
    </xdr:to>
    <xdr:pic>
      <xdr:nvPicPr>
        <xdr:cNvPr id="8" name="Рисунок 7"/>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76760" y="29397960"/>
          <a:ext cx="288036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106680</xdr:colOff>
      <xdr:row>40</xdr:row>
      <xdr:rowOff>0</xdr:rowOff>
    </xdr:from>
    <xdr:to>
      <xdr:col>14</xdr:col>
      <xdr:colOff>480060</xdr:colOff>
      <xdr:row>40</xdr:row>
      <xdr:rowOff>358140</xdr:rowOff>
    </xdr:to>
    <xdr:pic>
      <xdr:nvPicPr>
        <xdr:cNvPr id="2" name="Рисунок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93480" y="17175480"/>
          <a:ext cx="429768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22860</xdr:colOff>
      <xdr:row>50</xdr:row>
      <xdr:rowOff>274320</xdr:rowOff>
    </xdr:from>
    <xdr:to>
      <xdr:col>14</xdr:col>
      <xdr:colOff>289560</xdr:colOff>
      <xdr:row>52</xdr:row>
      <xdr:rowOff>198120</xdr:rowOff>
    </xdr:to>
    <xdr:pic>
      <xdr:nvPicPr>
        <xdr:cNvPr id="3" name="Рисунок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09660" y="20124420"/>
          <a:ext cx="4191000" cy="5105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487680</xdr:colOff>
      <xdr:row>57</xdr:row>
      <xdr:rowOff>76200</xdr:rowOff>
    </xdr:from>
    <xdr:to>
      <xdr:col>21</xdr:col>
      <xdr:colOff>198120</xdr:colOff>
      <xdr:row>59</xdr:row>
      <xdr:rowOff>167640</xdr:rowOff>
    </xdr:to>
    <xdr:pic>
      <xdr:nvPicPr>
        <xdr:cNvPr id="4" name="Рисунок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27080" y="14066520"/>
          <a:ext cx="6416040" cy="6553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289560</xdr:colOff>
      <xdr:row>68</xdr:row>
      <xdr:rowOff>137160</xdr:rowOff>
    </xdr:from>
    <xdr:to>
      <xdr:col>21</xdr:col>
      <xdr:colOff>0</xdr:colOff>
      <xdr:row>69</xdr:row>
      <xdr:rowOff>99060</xdr:rowOff>
    </xdr:to>
    <xdr:pic>
      <xdr:nvPicPr>
        <xdr:cNvPr id="5" name="Рисунок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28960" y="16634460"/>
          <a:ext cx="6416040" cy="5105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381000</xdr:colOff>
      <xdr:row>207</xdr:row>
      <xdr:rowOff>213360</xdr:rowOff>
    </xdr:from>
    <xdr:to>
      <xdr:col>15</xdr:col>
      <xdr:colOff>510540</xdr:colOff>
      <xdr:row>208</xdr:row>
      <xdr:rowOff>106680</xdr:rowOff>
    </xdr:to>
    <xdr:pic>
      <xdr:nvPicPr>
        <xdr:cNvPr id="6" name="Рисунок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44100" y="51747420"/>
          <a:ext cx="405384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106680</xdr:colOff>
      <xdr:row>3</xdr:row>
      <xdr:rowOff>22860</xdr:rowOff>
    </xdr:from>
    <xdr:to>
      <xdr:col>6</xdr:col>
      <xdr:colOff>1607820</xdr:colOff>
      <xdr:row>3</xdr:row>
      <xdr:rowOff>586740</xdr:rowOff>
    </xdr:to>
    <xdr:pic>
      <xdr:nvPicPr>
        <xdr:cNvPr id="2" name="Рисунок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7680" y="944880"/>
          <a:ext cx="1501140"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xdr:colOff>
      <xdr:row>4</xdr:row>
      <xdr:rowOff>45720</xdr:rowOff>
    </xdr:from>
    <xdr:to>
      <xdr:col>6</xdr:col>
      <xdr:colOff>2316480</xdr:colOff>
      <xdr:row>4</xdr:row>
      <xdr:rowOff>693420</xdr:rowOff>
    </xdr:to>
    <xdr:pic>
      <xdr:nvPicPr>
        <xdr:cNvPr id="3" name="Рисунок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7680" y="1562100"/>
          <a:ext cx="22098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99060</xdr:colOff>
      <xdr:row>5</xdr:row>
      <xdr:rowOff>0</xdr:rowOff>
    </xdr:from>
    <xdr:to>
      <xdr:col>6</xdr:col>
      <xdr:colOff>2811780</xdr:colOff>
      <xdr:row>5</xdr:row>
      <xdr:rowOff>647700</xdr:rowOff>
    </xdr:to>
    <xdr:pic>
      <xdr:nvPicPr>
        <xdr:cNvPr id="4" name="Рисунок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0060" y="2247900"/>
          <a:ext cx="271272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3246120</xdr:colOff>
      <xdr:row>5</xdr:row>
      <xdr:rowOff>129540</xdr:rowOff>
    </xdr:from>
    <xdr:to>
      <xdr:col>6</xdr:col>
      <xdr:colOff>4762500</xdr:colOff>
      <xdr:row>5</xdr:row>
      <xdr:rowOff>632460</xdr:rowOff>
    </xdr:to>
    <xdr:pic>
      <xdr:nvPicPr>
        <xdr:cNvPr id="5" name="Рисунок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67120" y="2377440"/>
          <a:ext cx="1516380"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xdr:colOff>
      <xdr:row>6</xdr:row>
      <xdr:rowOff>274320</xdr:rowOff>
    </xdr:from>
    <xdr:to>
      <xdr:col>6</xdr:col>
      <xdr:colOff>2644140</xdr:colOff>
      <xdr:row>6</xdr:row>
      <xdr:rowOff>746760</xdr:rowOff>
    </xdr:to>
    <xdr:pic>
      <xdr:nvPicPr>
        <xdr:cNvPr id="6" name="Рисунок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7680" y="3299460"/>
          <a:ext cx="253746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129540</xdr:colOff>
      <xdr:row>7</xdr:row>
      <xdr:rowOff>38100</xdr:rowOff>
    </xdr:from>
    <xdr:to>
      <xdr:col>6</xdr:col>
      <xdr:colOff>2651760</xdr:colOff>
      <xdr:row>7</xdr:row>
      <xdr:rowOff>525780</xdr:rowOff>
    </xdr:to>
    <xdr:pic>
      <xdr:nvPicPr>
        <xdr:cNvPr id="7" name="Рисунок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50540" y="3977640"/>
          <a:ext cx="2522220" cy="487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2849880</xdr:colOff>
      <xdr:row>7</xdr:row>
      <xdr:rowOff>38100</xdr:rowOff>
    </xdr:from>
    <xdr:to>
      <xdr:col>8</xdr:col>
      <xdr:colOff>121920</xdr:colOff>
      <xdr:row>7</xdr:row>
      <xdr:rowOff>510540</xdr:rowOff>
    </xdr:to>
    <xdr:pic>
      <xdr:nvPicPr>
        <xdr:cNvPr id="8" name="Рисунок 7"/>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70880" y="3977640"/>
          <a:ext cx="281940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8</xdr:row>
      <xdr:rowOff>205740</xdr:rowOff>
    </xdr:from>
    <xdr:to>
      <xdr:col>6</xdr:col>
      <xdr:colOff>2773680</xdr:colOff>
      <xdr:row>8</xdr:row>
      <xdr:rowOff>678180</xdr:rowOff>
    </xdr:to>
    <xdr:pic>
      <xdr:nvPicPr>
        <xdr:cNvPr id="9" name="Рисунок 8"/>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35300" y="4716780"/>
          <a:ext cx="265938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2994660</xdr:colOff>
      <xdr:row>8</xdr:row>
      <xdr:rowOff>175260</xdr:rowOff>
    </xdr:from>
    <xdr:to>
      <xdr:col>9</xdr:col>
      <xdr:colOff>464820</xdr:colOff>
      <xdr:row>8</xdr:row>
      <xdr:rowOff>685800</xdr:rowOff>
    </xdr:to>
    <xdr:pic>
      <xdr:nvPicPr>
        <xdr:cNvPr id="10" name="Рисунок 9"/>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615660" y="4686300"/>
          <a:ext cx="3627120"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129540</xdr:colOff>
      <xdr:row>9</xdr:row>
      <xdr:rowOff>220980</xdr:rowOff>
    </xdr:from>
    <xdr:to>
      <xdr:col>6</xdr:col>
      <xdr:colOff>2941320</xdr:colOff>
      <xdr:row>9</xdr:row>
      <xdr:rowOff>693420</xdr:rowOff>
    </xdr:to>
    <xdr:pic>
      <xdr:nvPicPr>
        <xdr:cNvPr id="11" name="Рисунок 10"/>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50540" y="5646420"/>
          <a:ext cx="281178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152400</xdr:colOff>
      <xdr:row>10</xdr:row>
      <xdr:rowOff>152400</xdr:rowOff>
    </xdr:from>
    <xdr:to>
      <xdr:col>6</xdr:col>
      <xdr:colOff>2072640</xdr:colOff>
      <xdr:row>10</xdr:row>
      <xdr:rowOff>655320</xdr:rowOff>
    </xdr:to>
    <xdr:pic>
      <xdr:nvPicPr>
        <xdr:cNvPr id="12" name="Рисунок 11"/>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0" y="6507480"/>
          <a:ext cx="1920240"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xdr:colOff>
      <xdr:row>11</xdr:row>
      <xdr:rowOff>45720</xdr:rowOff>
    </xdr:from>
    <xdr:to>
      <xdr:col>6</xdr:col>
      <xdr:colOff>2072640</xdr:colOff>
      <xdr:row>11</xdr:row>
      <xdr:rowOff>518160</xdr:rowOff>
    </xdr:to>
    <xdr:pic>
      <xdr:nvPicPr>
        <xdr:cNvPr id="13" name="Рисунок 12"/>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7680" y="7132320"/>
          <a:ext cx="196596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2286000</xdr:colOff>
      <xdr:row>11</xdr:row>
      <xdr:rowOff>53340</xdr:rowOff>
    </xdr:from>
    <xdr:to>
      <xdr:col>6</xdr:col>
      <xdr:colOff>4876800</xdr:colOff>
      <xdr:row>11</xdr:row>
      <xdr:rowOff>525780</xdr:rowOff>
    </xdr:to>
    <xdr:pic>
      <xdr:nvPicPr>
        <xdr:cNvPr id="14" name="Рисунок 13"/>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907000" y="7139940"/>
          <a:ext cx="259080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129540</xdr:colOff>
      <xdr:row>13</xdr:row>
      <xdr:rowOff>167640</xdr:rowOff>
    </xdr:from>
    <xdr:to>
      <xdr:col>6</xdr:col>
      <xdr:colOff>2202180</xdr:colOff>
      <xdr:row>13</xdr:row>
      <xdr:rowOff>601980</xdr:rowOff>
    </xdr:to>
    <xdr:pic>
      <xdr:nvPicPr>
        <xdr:cNvPr id="15" name="Рисунок 14"/>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50540" y="8557260"/>
          <a:ext cx="2072640" cy="434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121920</xdr:colOff>
      <xdr:row>12</xdr:row>
      <xdr:rowOff>129540</xdr:rowOff>
    </xdr:from>
    <xdr:to>
      <xdr:col>6</xdr:col>
      <xdr:colOff>1805940</xdr:colOff>
      <xdr:row>12</xdr:row>
      <xdr:rowOff>624840</xdr:rowOff>
    </xdr:to>
    <xdr:pic>
      <xdr:nvPicPr>
        <xdr:cNvPr id="16" name="Рисунок 15"/>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42920" y="7787640"/>
          <a:ext cx="168402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2636520</xdr:colOff>
      <xdr:row>12</xdr:row>
      <xdr:rowOff>274320</xdr:rowOff>
    </xdr:from>
    <xdr:to>
      <xdr:col>6</xdr:col>
      <xdr:colOff>4046220</xdr:colOff>
      <xdr:row>12</xdr:row>
      <xdr:rowOff>449580</xdr:rowOff>
    </xdr:to>
    <xdr:pic>
      <xdr:nvPicPr>
        <xdr:cNvPr id="17" name="Рисунок 16"/>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57520" y="7932420"/>
          <a:ext cx="140970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152400</xdr:colOff>
      <xdr:row>14</xdr:row>
      <xdr:rowOff>236220</xdr:rowOff>
    </xdr:from>
    <xdr:to>
      <xdr:col>6</xdr:col>
      <xdr:colOff>2750820</xdr:colOff>
      <xdr:row>14</xdr:row>
      <xdr:rowOff>739140</xdr:rowOff>
    </xdr:to>
    <xdr:pic>
      <xdr:nvPicPr>
        <xdr:cNvPr id="18" name="Рисунок 17"/>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0" y="9357360"/>
          <a:ext cx="2598420"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3032760</xdr:colOff>
      <xdr:row>14</xdr:row>
      <xdr:rowOff>327660</xdr:rowOff>
    </xdr:from>
    <xdr:to>
      <xdr:col>6</xdr:col>
      <xdr:colOff>4648200</xdr:colOff>
      <xdr:row>14</xdr:row>
      <xdr:rowOff>502920</xdr:rowOff>
    </xdr:to>
    <xdr:pic>
      <xdr:nvPicPr>
        <xdr:cNvPr id="19" name="Рисунок 18"/>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653760" y="9448800"/>
          <a:ext cx="161544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175260</xdr:colOff>
      <xdr:row>16</xdr:row>
      <xdr:rowOff>121920</xdr:rowOff>
    </xdr:from>
    <xdr:to>
      <xdr:col>6</xdr:col>
      <xdr:colOff>1958340</xdr:colOff>
      <xdr:row>16</xdr:row>
      <xdr:rowOff>594360</xdr:rowOff>
    </xdr:to>
    <xdr:pic>
      <xdr:nvPicPr>
        <xdr:cNvPr id="20" name="Рисунок 19"/>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96260" y="11010900"/>
          <a:ext cx="178308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175260</xdr:colOff>
      <xdr:row>17</xdr:row>
      <xdr:rowOff>99060</xdr:rowOff>
    </xdr:from>
    <xdr:to>
      <xdr:col>6</xdr:col>
      <xdr:colOff>1051560</xdr:colOff>
      <xdr:row>17</xdr:row>
      <xdr:rowOff>457200</xdr:rowOff>
    </xdr:to>
    <xdr:pic>
      <xdr:nvPicPr>
        <xdr:cNvPr id="21" name="Рисунок 20"/>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96260" y="11719560"/>
          <a:ext cx="87630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167640</xdr:colOff>
      <xdr:row>15</xdr:row>
      <xdr:rowOff>243840</xdr:rowOff>
    </xdr:from>
    <xdr:to>
      <xdr:col>6</xdr:col>
      <xdr:colOff>1440180</xdr:colOff>
      <xdr:row>15</xdr:row>
      <xdr:rowOff>609600</xdr:rowOff>
    </xdr:to>
    <xdr:pic>
      <xdr:nvPicPr>
        <xdr:cNvPr id="22" name="Рисунок 21"/>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88640" y="10248900"/>
          <a:ext cx="127254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91440</xdr:colOff>
      <xdr:row>19</xdr:row>
      <xdr:rowOff>137160</xdr:rowOff>
    </xdr:from>
    <xdr:to>
      <xdr:col>6</xdr:col>
      <xdr:colOff>4823460</xdr:colOff>
      <xdr:row>19</xdr:row>
      <xdr:rowOff>495300</xdr:rowOff>
    </xdr:to>
    <xdr:pic>
      <xdr:nvPicPr>
        <xdr:cNvPr id="23" name="Рисунок 22"/>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12440" y="13952220"/>
          <a:ext cx="473202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30</xdr:row>
      <xdr:rowOff>76200</xdr:rowOff>
    </xdr:from>
    <xdr:to>
      <xdr:col>2</xdr:col>
      <xdr:colOff>160020</xdr:colOff>
      <xdr:row>30</xdr:row>
      <xdr:rowOff>556260</xdr:rowOff>
    </xdr:to>
    <xdr:pic>
      <xdr:nvPicPr>
        <xdr:cNvPr id="24" name="Рисунок 23"/>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2740" y="18173700"/>
          <a:ext cx="288036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91440</xdr:colOff>
      <xdr:row>27</xdr:row>
      <xdr:rowOff>60960</xdr:rowOff>
    </xdr:from>
    <xdr:to>
      <xdr:col>1</xdr:col>
      <xdr:colOff>2407920</xdr:colOff>
      <xdr:row>27</xdr:row>
      <xdr:rowOff>541020</xdr:rowOff>
    </xdr:to>
    <xdr:pic>
      <xdr:nvPicPr>
        <xdr:cNvPr id="25" name="Рисунок 24"/>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87980" y="16443960"/>
          <a:ext cx="231648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xdr:colOff>
      <xdr:row>33</xdr:row>
      <xdr:rowOff>53340</xdr:rowOff>
    </xdr:from>
    <xdr:to>
      <xdr:col>2</xdr:col>
      <xdr:colOff>68580</xdr:colOff>
      <xdr:row>33</xdr:row>
      <xdr:rowOff>533400</xdr:rowOff>
    </xdr:to>
    <xdr:pic>
      <xdr:nvPicPr>
        <xdr:cNvPr id="26" name="Рисунок 25"/>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42260" y="19865340"/>
          <a:ext cx="281940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129540</xdr:colOff>
      <xdr:row>26</xdr:row>
      <xdr:rowOff>38100</xdr:rowOff>
    </xdr:from>
    <xdr:to>
      <xdr:col>1</xdr:col>
      <xdr:colOff>1752600</xdr:colOff>
      <xdr:row>27</xdr:row>
      <xdr:rowOff>0</xdr:rowOff>
    </xdr:to>
    <xdr:pic>
      <xdr:nvPicPr>
        <xdr:cNvPr id="27" name="Рисунок 26"/>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6080" y="15598140"/>
          <a:ext cx="1623060" cy="7848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68580</xdr:colOff>
      <xdr:row>28</xdr:row>
      <xdr:rowOff>121920</xdr:rowOff>
    </xdr:from>
    <xdr:to>
      <xdr:col>2</xdr:col>
      <xdr:colOff>449580</xdr:colOff>
      <xdr:row>28</xdr:row>
      <xdr:rowOff>502920</xdr:rowOff>
    </xdr:to>
    <xdr:pic>
      <xdr:nvPicPr>
        <xdr:cNvPr id="28" name="Рисунок 27"/>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65120" y="17076420"/>
          <a:ext cx="3177540" cy="38100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xdr:colOff>
      <xdr:row>31</xdr:row>
      <xdr:rowOff>45720</xdr:rowOff>
    </xdr:from>
    <xdr:to>
      <xdr:col>2</xdr:col>
      <xdr:colOff>266700</xdr:colOff>
      <xdr:row>31</xdr:row>
      <xdr:rowOff>518160</xdr:rowOff>
    </xdr:to>
    <xdr:pic>
      <xdr:nvPicPr>
        <xdr:cNvPr id="29" name="Рисунок 28"/>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42260" y="18714720"/>
          <a:ext cx="301752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29</xdr:row>
      <xdr:rowOff>45720</xdr:rowOff>
    </xdr:from>
    <xdr:to>
      <xdr:col>2</xdr:col>
      <xdr:colOff>922020</xdr:colOff>
      <xdr:row>29</xdr:row>
      <xdr:rowOff>525780</xdr:rowOff>
    </xdr:to>
    <xdr:pic>
      <xdr:nvPicPr>
        <xdr:cNvPr id="30" name="Рисунок 29"/>
        <xdr:cNvPicPr>
          <a:picLocks noChangeAspect="1" noChangeArrowheads="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2740" y="17571720"/>
          <a:ext cx="364236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32</xdr:row>
      <xdr:rowOff>45720</xdr:rowOff>
    </xdr:from>
    <xdr:to>
      <xdr:col>2</xdr:col>
      <xdr:colOff>693420</xdr:colOff>
      <xdr:row>32</xdr:row>
      <xdr:rowOff>518160</xdr:rowOff>
    </xdr:to>
    <xdr:pic>
      <xdr:nvPicPr>
        <xdr:cNvPr id="31" name="Рисунок 30"/>
        <xdr:cNvPicPr>
          <a:picLocks noChangeAspect="1" noChangeArrowheads="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2740" y="19286220"/>
          <a:ext cx="341376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106680</xdr:colOff>
      <xdr:row>40</xdr:row>
      <xdr:rowOff>0</xdr:rowOff>
    </xdr:from>
    <xdr:to>
      <xdr:col>14</xdr:col>
      <xdr:colOff>480060</xdr:colOff>
      <xdr:row>40</xdr:row>
      <xdr:rowOff>358140</xdr:rowOff>
    </xdr:to>
    <xdr:pic>
      <xdr:nvPicPr>
        <xdr:cNvPr id="2" name="Рисунок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93480" y="9105900"/>
          <a:ext cx="456438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22860</xdr:colOff>
      <xdr:row>50</xdr:row>
      <xdr:rowOff>274320</xdr:rowOff>
    </xdr:from>
    <xdr:to>
      <xdr:col>14</xdr:col>
      <xdr:colOff>289560</xdr:colOff>
      <xdr:row>52</xdr:row>
      <xdr:rowOff>198120</xdr:rowOff>
    </xdr:to>
    <xdr:pic>
      <xdr:nvPicPr>
        <xdr:cNvPr id="3" name="Рисунок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09660" y="12054840"/>
          <a:ext cx="4457700" cy="5105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487680</xdr:colOff>
      <xdr:row>57</xdr:row>
      <xdr:rowOff>76200</xdr:rowOff>
    </xdr:from>
    <xdr:to>
      <xdr:col>21</xdr:col>
      <xdr:colOff>198120</xdr:colOff>
      <xdr:row>59</xdr:row>
      <xdr:rowOff>167640</xdr:rowOff>
    </xdr:to>
    <xdr:pic>
      <xdr:nvPicPr>
        <xdr:cNvPr id="4" name="Рисунок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27080" y="14066520"/>
          <a:ext cx="6416040" cy="6553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289560</xdr:colOff>
      <xdr:row>68</xdr:row>
      <xdr:rowOff>137160</xdr:rowOff>
    </xdr:from>
    <xdr:to>
      <xdr:col>21</xdr:col>
      <xdr:colOff>0</xdr:colOff>
      <xdr:row>69</xdr:row>
      <xdr:rowOff>99060</xdr:rowOff>
    </xdr:to>
    <xdr:pic>
      <xdr:nvPicPr>
        <xdr:cNvPr id="5" name="Рисунок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28960" y="16634460"/>
          <a:ext cx="6416040" cy="5105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zarapov.ru/soft/multilingual-excel-functions/" TargetMode="External"/><Relationship Id="rId1" Type="http://schemas.openxmlformats.org/officeDocument/2006/relationships/hyperlink" Target="http://www.calkoo.com/?lang=3&amp;page=9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sheetViews>
  <sheetFormatPr defaultRowHeight="14.4" x14ac:dyDescent="0.3"/>
  <cols>
    <col min="1" max="1" width="51.5546875" style="1" customWidth="1"/>
    <col min="2" max="2" width="8.5546875" style="1" customWidth="1"/>
    <col min="3" max="8" width="12.77734375" style="1" customWidth="1"/>
    <col min="9" max="9" width="15.77734375" style="1" customWidth="1"/>
    <col min="10" max="16384" width="8.88671875" style="1"/>
  </cols>
  <sheetData>
    <row r="1" spans="1:10" ht="28.8" x14ac:dyDescent="0.3">
      <c r="A1" s="230" t="s">
        <v>245</v>
      </c>
      <c r="D1" s="6" t="s">
        <v>66</v>
      </c>
      <c r="F1" s="46" t="s">
        <v>64</v>
      </c>
    </row>
    <row r="2" spans="1:10" ht="18.600000000000001" thickBot="1" x14ac:dyDescent="0.35">
      <c r="A2" s="12" t="s">
        <v>402</v>
      </c>
      <c r="D2" s="6" t="s">
        <v>67</v>
      </c>
      <c r="F2" s="46" t="s">
        <v>65</v>
      </c>
    </row>
    <row r="3" spans="1:10" ht="47.4" thickBot="1" x14ac:dyDescent="0.35">
      <c r="A3" s="33" t="s">
        <v>70</v>
      </c>
      <c r="B3" s="55" t="s">
        <v>75</v>
      </c>
      <c r="C3" s="61" t="s">
        <v>6</v>
      </c>
      <c r="D3" s="62" t="s">
        <v>1</v>
      </c>
      <c r="E3" s="62" t="s">
        <v>2</v>
      </c>
      <c r="F3" s="62" t="s">
        <v>3</v>
      </c>
      <c r="G3" s="62" t="s">
        <v>4</v>
      </c>
      <c r="H3" s="62" t="s">
        <v>5</v>
      </c>
      <c r="I3" s="63" t="s">
        <v>11</v>
      </c>
    </row>
    <row r="4" spans="1:10" ht="18" x14ac:dyDescent="0.3">
      <c r="A4" s="22" t="s">
        <v>33</v>
      </c>
      <c r="B4" s="12"/>
      <c r="C4" s="2">
        <v>1</v>
      </c>
      <c r="D4" s="2">
        <v>2</v>
      </c>
      <c r="E4" s="2">
        <v>3</v>
      </c>
      <c r="F4" s="2">
        <v>4</v>
      </c>
      <c r="G4" s="2">
        <v>5</v>
      </c>
      <c r="H4" s="2">
        <v>6</v>
      </c>
      <c r="I4" s="8">
        <v>6</v>
      </c>
    </row>
    <row r="5" spans="1:10" ht="16.2" thickBot="1" x14ac:dyDescent="0.35">
      <c r="A5" s="1" t="s">
        <v>7</v>
      </c>
      <c r="C5" s="7">
        <v>5000</v>
      </c>
      <c r="D5" s="7">
        <v>2000</v>
      </c>
      <c r="E5" s="7">
        <v>5000</v>
      </c>
      <c r="F5" s="7"/>
      <c r="G5" s="7"/>
      <c r="H5" s="7"/>
      <c r="I5" s="8">
        <f>SUM(C5:H5)</f>
        <v>12000</v>
      </c>
    </row>
    <row r="6" spans="1:10" ht="16.2" thickBot="1" x14ac:dyDescent="0.35">
      <c r="A6" s="1" t="s">
        <v>80</v>
      </c>
      <c r="C6" s="7">
        <f>-C5</f>
        <v>-5000</v>
      </c>
      <c r="D6" s="7">
        <f>-D5</f>
        <v>-2000</v>
      </c>
      <c r="E6" s="7">
        <f t="shared" ref="E6:H6" si="0">-E5</f>
        <v>-5000</v>
      </c>
      <c r="F6" s="7">
        <f t="shared" si="0"/>
        <v>0</v>
      </c>
      <c r="G6" s="7">
        <f t="shared" si="0"/>
        <v>0</v>
      </c>
      <c r="H6" s="7">
        <f t="shared" si="0"/>
        <v>0</v>
      </c>
      <c r="I6" s="51">
        <f>SUM(C6:H6)</f>
        <v>-12000</v>
      </c>
    </row>
    <row r="7" spans="1:10" ht="15.6" x14ac:dyDescent="0.3">
      <c r="A7" s="1" t="s">
        <v>79</v>
      </c>
      <c r="C7" s="7"/>
      <c r="D7" s="7">
        <f>'Adj Cash Flow'!D7</f>
        <v>75</v>
      </c>
      <c r="E7" s="7">
        <v>30</v>
      </c>
      <c r="F7" s="7">
        <f>'Adj Cash Flow'!F7</f>
        <v>125</v>
      </c>
      <c r="G7" s="7">
        <f>'Adj Cash Flow'!G7</f>
        <v>150</v>
      </c>
      <c r="H7" s="7">
        <f>'Adj Cash Flow'!H7</f>
        <v>175</v>
      </c>
      <c r="I7" s="8">
        <f t="shared" ref="I7" si="1">SUM(D7:H7)</f>
        <v>555</v>
      </c>
    </row>
    <row r="8" spans="1:10" ht="15.6" x14ac:dyDescent="0.3">
      <c r="A8" s="1" t="s">
        <v>12</v>
      </c>
      <c r="C8" s="7"/>
      <c r="D8" s="7">
        <v>200</v>
      </c>
      <c r="E8" s="7">
        <v>200</v>
      </c>
      <c r="F8" s="7">
        <f>E8</f>
        <v>200</v>
      </c>
      <c r="G8" s="7">
        <f t="shared" ref="G8:H8" si="2">F8</f>
        <v>200</v>
      </c>
      <c r="H8" s="7">
        <f t="shared" si="2"/>
        <v>200</v>
      </c>
      <c r="I8" s="8">
        <f>SUM(D8:H8)/COUNTA(D8:H8)</f>
        <v>200</v>
      </c>
      <c r="J8" s="1" t="s">
        <v>15</v>
      </c>
    </row>
    <row r="9" spans="1:10" ht="15.6" x14ac:dyDescent="0.3">
      <c r="A9" s="4" t="s">
        <v>0</v>
      </c>
      <c r="B9" s="4"/>
      <c r="C9" s="11"/>
      <c r="D9" s="11">
        <f>D8*D7</f>
        <v>15000</v>
      </c>
      <c r="E9" s="11">
        <f>E8*E7</f>
        <v>6000</v>
      </c>
      <c r="F9" s="11">
        <f t="shared" ref="F9:H9" si="3">F8*F7</f>
        <v>25000</v>
      </c>
      <c r="G9" s="11">
        <f t="shared" si="3"/>
        <v>30000</v>
      </c>
      <c r="H9" s="11">
        <f t="shared" si="3"/>
        <v>35000</v>
      </c>
      <c r="I9" s="8">
        <f>SUM(D9:H9)</f>
        <v>111000</v>
      </c>
    </row>
    <row r="10" spans="1:10" ht="15.6" x14ac:dyDescent="0.3">
      <c r="A10" s="4" t="s">
        <v>8</v>
      </c>
      <c r="B10" s="4"/>
      <c r="C10" s="11"/>
      <c r="D10" s="11">
        <f>D11+D12</f>
        <v>-10250</v>
      </c>
      <c r="E10" s="11">
        <f t="shared" ref="E10:H10" si="4">E11+E12</f>
        <v>-6300</v>
      </c>
      <c r="F10" s="11">
        <f t="shared" si="4"/>
        <v>-16750</v>
      </c>
      <c r="G10" s="11">
        <f t="shared" si="4"/>
        <v>-19500</v>
      </c>
      <c r="H10" s="11">
        <f t="shared" si="4"/>
        <v>-22250</v>
      </c>
      <c r="I10" s="8">
        <f t="shared" ref="I10:I12" si="5">SUM(D10:H10)</f>
        <v>-75050</v>
      </c>
    </row>
    <row r="11" spans="1:10" s="6" customFormat="1" ht="15.6" x14ac:dyDescent="0.3">
      <c r="A11" s="6" t="s">
        <v>9</v>
      </c>
      <c r="C11" s="10"/>
      <c r="D11" s="10">
        <v>-2000</v>
      </c>
      <c r="E11" s="10">
        <v>-3000</v>
      </c>
      <c r="F11" s="7">
        <f>E11</f>
        <v>-3000</v>
      </c>
      <c r="G11" s="7">
        <f t="shared" ref="G11:H11" si="6">F11</f>
        <v>-3000</v>
      </c>
      <c r="H11" s="7">
        <f t="shared" si="6"/>
        <v>-3000</v>
      </c>
      <c r="I11" s="8">
        <f t="shared" si="5"/>
        <v>-14000</v>
      </c>
    </row>
    <row r="12" spans="1:10" s="6" customFormat="1" ht="15.6" x14ac:dyDescent="0.3">
      <c r="A12" s="6" t="s">
        <v>10</v>
      </c>
      <c r="C12" s="10"/>
      <c r="D12" s="10">
        <f>-D13*D7</f>
        <v>-8250</v>
      </c>
      <c r="E12" s="10">
        <f>-E13*E7</f>
        <v>-3300</v>
      </c>
      <c r="F12" s="10">
        <f t="shared" ref="F12:H12" si="7">-F13*F7</f>
        <v>-13750</v>
      </c>
      <c r="G12" s="10">
        <f t="shared" si="7"/>
        <v>-16500</v>
      </c>
      <c r="H12" s="10">
        <f t="shared" si="7"/>
        <v>-19250</v>
      </c>
      <c r="I12" s="8">
        <f t="shared" si="5"/>
        <v>-61050</v>
      </c>
    </row>
    <row r="13" spans="1:10" s="6" customFormat="1" ht="15.6" x14ac:dyDescent="0.3">
      <c r="A13" s="6" t="s">
        <v>13</v>
      </c>
      <c r="C13" s="10"/>
      <c r="D13" s="10">
        <v>110</v>
      </c>
      <c r="E13" s="10">
        <f>D13</f>
        <v>110</v>
      </c>
      <c r="F13" s="10">
        <f t="shared" ref="F13:H13" si="8">E13</f>
        <v>110</v>
      </c>
      <c r="G13" s="10">
        <f t="shared" si="8"/>
        <v>110</v>
      </c>
      <c r="H13" s="10">
        <f t="shared" si="8"/>
        <v>110</v>
      </c>
      <c r="I13" s="8">
        <f>SUM(D13:H13)/COUNTA(D13:H13)</f>
        <v>110</v>
      </c>
      <c r="J13" s="1" t="s">
        <v>16</v>
      </c>
    </row>
    <row r="14" spans="1:10" s="6" customFormat="1" ht="15.6" x14ac:dyDescent="0.3">
      <c r="A14" s="6" t="s">
        <v>14</v>
      </c>
      <c r="C14" s="10"/>
      <c r="D14" s="10">
        <f>-D10/D7</f>
        <v>136.66666666666666</v>
      </c>
      <c r="E14" s="10">
        <f>-E10/E7</f>
        <v>210</v>
      </c>
      <c r="F14" s="10">
        <f t="shared" ref="F14:H14" si="9">-F10/F7</f>
        <v>134</v>
      </c>
      <c r="G14" s="10">
        <f t="shared" si="9"/>
        <v>130</v>
      </c>
      <c r="H14" s="10">
        <f t="shared" si="9"/>
        <v>127.14285714285714</v>
      </c>
      <c r="I14" s="8">
        <f>SUM(D14:H14)/COUNTA(D14:H14)</f>
        <v>147.56190476190474</v>
      </c>
      <c r="J14" s="1" t="s">
        <v>16</v>
      </c>
    </row>
    <row r="15" spans="1:10" s="5" customFormat="1" ht="15.6" x14ac:dyDescent="0.3">
      <c r="A15" s="5" t="s">
        <v>20</v>
      </c>
      <c r="C15" s="9"/>
      <c r="D15" s="9"/>
      <c r="E15" s="9"/>
      <c r="F15" s="9"/>
      <c r="G15" s="9"/>
      <c r="H15" s="9"/>
      <c r="I15" s="8">
        <f t="shared" ref="I15:I24" si="10">SUM(D15:H15)</f>
        <v>0</v>
      </c>
    </row>
    <row r="16" spans="1:10" s="5" customFormat="1" ht="16.2" thickBot="1" x14ac:dyDescent="0.35">
      <c r="A16" s="5" t="s">
        <v>21</v>
      </c>
      <c r="C16" s="9"/>
      <c r="D16" s="9"/>
      <c r="E16" s="9"/>
      <c r="F16" s="9"/>
      <c r="G16" s="9"/>
      <c r="H16" s="9"/>
      <c r="I16" s="8">
        <f t="shared" si="10"/>
        <v>0</v>
      </c>
    </row>
    <row r="17" spans="1:11" s="3" customFormat="1" ht="31.8" thickBot="1" x14ac:dyDescent="0.35">
      <c r="A17" s="13" t="s">
        <v>23</v>
      </c>
      <c r="B17" s="13"/>
      <c r="C17" s="8">
        <f>C9+C10</f>
        <v>0</v>
      </c>
      <c r="D17" s="8">
        <f>D9+D10</f>
        <v>4750</v>
      </c>
      <c r="E17" s="8">
        <f t="shared" ref="E17:H17" si="11">E9+E10</f>
        <v>-300</v>
      </c>
      <c r="F17" s="8">
        <f t="shared" si="11"/>
        <v>8250</v>
      </c>
      <c r="G17" s="8">
        <f t="shared" si="11"/>
        <v>10500</v>
      </c>
      <c r="H17" s="8">
        <f t="shared" si="11"/>
        <v>12750</v>
      </c>
      <c r="I17" s="51">
        <f t="shared" si="10"/>
        <v>35950</v>
      </c>
    </row>
    <row r="18" spans="1:11" s="5" customFormat="1" ht="15.6" x14ac:dyDescent="0.3">
      <c r="A18" s="5" t="s">
        <v>19</v>
      </c>
      <c r="B18" s="16"/>
      <c r="C18" s="9">
        <v>0</v>
      </c>
      <c r="D18" s="9">
        <f>'Adj Cash Flow'!D21</f>
        <v>-225</v>
      </c>
      <c r="E18" s="9">
        <f>'Adj Cash Flow'!E21</f>
        <v>-1025</v>
      </c>
      <c r="F18" s="9">
        <f>'Adj Cash Flow'!F21</f>
        <v>-1600.8333333333333</v>
      </c>
      <c r="G18" s="9">
        <f>'Adj Cash Flow'!G21</f>
        <v>-1454.6666666666667</v>
      </c>
      <c r="H18" s="9">
        <f>'Adj Cash Flow'!H21</f>
        <v>-1385.3</v>
      </c>
      <c r="I18" s="8">
        <f t="shared" si="10"/>
        <v>-5690.8</v>
      </c>
    </row>
    <row r="19" spans="1:11" s="5" customFormat="1" ht="15.6" x14ac:dyDescent="0.3">
      <c r="A19" s="3" t="s">
        <v>24</v>
      </c>
      <c r="B19" s="17"/>
      <c r="C19" s="8">
        <f>C17+C18</f>
        <v>0</v>
      </c>
      <c r="D19" s="8">
        <f>D17+D18</f>
        <v>4525</v>
      </c>
      <c r="E19" s="8">
        <f t="shared" ref="E19:H19" si="12">E17+E18</f>
        <v>-1325</v>
      </c>
      <c r="F19" s="8">
        <f t="shared" si="12"/>
        <v>6649.166666666667</v>
      </c>
      <c r="G19" s="8">
        <f t="shared" si="12"/>
        <v>9045.3333333333339</v>
      </c>
      <c r="H19" s="8">
        <f t="shared" si="12"/>
        <v>11364.7</v>
      </c>
      <c r="I19" s="8">
        <f t="shared" si="10"/>
        <v>30259.200000000001</v>
      </c>
    </row>
    <row r="20" spans="1:11" s="5" customFormat="1" ht="15.6" x14ac:dyDescent="0.3">
      <c r="A20" s="5" t="s">
        <v>22</v>
      </c>
      <c r="B20" s="17"/>
      <c r="D20" s="9"/>
      <c r="E20" s="9"/>
      <c r="F20" s="9"/>
      <c r="G20" s="9"/>
      <c r="H20" s="9"/>
      <c r="I20" s="8">
        <f t="shared" si="10"/>
        <v>0</v>
      </c>
    </row>
    <row r="21" spans="1:11" s="5" customFormat="1" ht="16.2" thickBot="1" x14ac:dyDescent="0.35">
      <c r="A21" s="5" t="s">
        <v>25</v>
      </c>
      <c r="B21" s="16">
        <v>0.2</v>
      </c>
      <c r="C21" s="9">
        <f t="shared" ref="C21:D21" si="13">IF(C19+C20&lt;0,0,-(C19+C20)*$B$21)</f>
        <v>0</v>
      </c>
      <c r="D21" s="9">
        <f t="shared" si="13"/>
        <v>-905</v>
      </c>
      <c r="E21" s="9">
        <f>IF(E19+E20&lt;0,0,-(E19+E20)*$B$21)</f>
        <v>0</v>
      </c>
      <c r="F21" s="9">
        <f t="shared" ref="F21:H21" si="14">IF(F19+F20&lt;0,0,-(F19+F20)*$B$21)</f>
        <v>-1329.8333333333335</v>
      </c>
      <c r="G21" s="9">
        <f t="shared" si="14"/>
        <v>-1809.0666666666668</v>
      </c>
      <c r="H21" s="9">
        <f t="shared" si="14"/>
        <v>-2272.94</v>
      </c>
      <c r="I21" s="8">
        <f t="shared" si="10"/>
        <v>-6316.84</v>
      </c>
    </row>
    <row r="22" spans="1:11" s="3" customFormat="1" ht="16.2" thickBot="1" x14ac:dyDescent="0.35">
      <c r="A22" s="3" t="s">
        <v>29</v>
      </c>
      <c r="C22" s="8">
        <f>C19+C20+C21</f>
        <v>0</v>
      </c>
      <c r="D22" s="8">
        <f>D19+D20+D21</f>
        <v>3620</v>
      </c>
      <c r="E22" s="8">
        <f t="shared" ref="E22:H22" si="15">E19+E20+E21</f>
        <v>-1325</v>
      </c>
      <c r="F22" s="8">
        <f t="shared" si="15"/>
        <v>5319.3333333333339</v>
      </c>
      <c r="G22" s="8">
        <f t="shared" si="15"/>
        <v>7236.2666666666673</v>
      </c>
      <c r="H22" s="8">
        <f t="shared" si="15"/>
        <v>9091.76</v>
      </c>
      <c r="I22" s="51">
        <f t="shared" si="10"/>
        <v>23942.36</v>
      </c>
    </row>
    <row r="23" spans="1:11" s="5" customFormat="1" x14ac:dyDescent="0.3">
      <c r="A23" s="5" t="s">
        <v>17</v>
      </c>
      <c r="C23" s="9">
        <f>C5</f>
        <v>5000</v>
      </c>
      <c r="D23" s="9">
        <f>C27</f>
        <v>0</v>
      </c>
      <c r="E23" s="9">
        <f t="shared" ref="E23:H23" si="16">D27</f>
        <v>3845</v>
      </c>
      <c r="F23" s="9">
        <f t="shared" si="16"/>
        <v>3545</v>
      </c>
      <c r="G23" s="9">
        <f t="shared" si="16"/>
        <v>10465.166666666668</v>
      </c>
      <c r="H23" s="9">
        <f t="shared" si="16"/>
        <v>19156.100000000002</v>
      </c>
      <c r="I23" s="9">
        <f>C23</f>
        <v>5000</v>
      </c>
    </row>
    <row r="24" spans="1:11" s="4" customFormat="1" x14ac:dyDescent="0.3">
      <c r="A24" s="4" t="s">
        <v>60</v>
      </c>
      <c r="C24" s="11">
        <f>C9</f>
        <v>0</v>
      </c>
      <c r="D24" s="11">
        <f>D9+D5</f>
        <v>17000</v>
      </c>
      <c r="E24" s="11">
        <f t="shared" ref="E24:H24" si="17">E9+E5</f>
        <v>11000</v>
      </c>
      <c r="F24" s="11">
        <f t="shared" si="17"/>
        <v>25000</v>
      </c>
      <c r="G24" s="11">
        <f t="shared" si="17"/>
        <v>30000</v>
      </c>
      <c r="H24" s="11">
        <f t="shared" si="17"/>
        <v>35000</v>
      </c>
      <c r="I24" s="11">
        <f t="shared" si="10"/>
        <v>118000</v>
      </c>
    </row>
    <row r="25" spans="1:11" s="4" customFormat="1" ht="15" thickBot="1" x14ac:dyDescent="0.35">
      <c r="A25" s="4" t="s">
        <v>61</v>
      </c>
      <c r="C25" s="11">
        <f>C6+C10+C20+C21</f>
        <v>-5000</v>
      </c>
      <c r="D25" s="11">
        <f t="shared" ref="D25:H25" si="18">D6+D10+D20+D21</f>
        <v>-13155</v>
      </c>
      <c r="E25" s="11">
        <f t="shared" si="18"/>
        <v>-11300</v>
      </c>
      <c r="F25" s="11">
        <f t="shared" si="18"/>
        <v>-18079.833333333332</v>
      </c>
      <c r="G25" s="11">
        <f t="shared" si="18"/>
        <v>-21309.066666666666</v>
      </c>
      <c r="H25" s="11">
        <f t="shared" si="18"/>
        <v>-24522.94</v>
      </c>
      <c r="I25" s="11">
        <f>SUM(C25:H25)</f>
        <v>-93366.84</v>
      </c>
    </row>
    <row r="26" spans="1:11" s="4" customFormat="1" ht="15" thickBot="1" x14ac:dyDescent="0.35">
      <c r="A26" s="4" t="s">
        <v>26</v>
      </c>
      <c r="C26" s="11">
        <f>C6</f>
        <v>-5000</v>
      </c>
      <c r="D26" s="11">
        <f>D24+D25</f>
        <v>3845</v>
      </c>
      <c r="E26" s="11">
        <f t="shared" ref="E26:H26" si="19">E24+E25</f>
        <v>-300</v>
      </c>
      <c r="F26" s="11">
        <f t="shared" si="19"/>
        <v>6920.1666666666679</v>
      </c>
      <c r="G26" s="11">
        <f t="shared" si="19"/>
        <v>8690.9333333333343</v>
      </c>
      <c r="H26" s="11">
        <f t="shared" si="19"/>
        <v>10477.060000000001</v>
      </c>
      <c r="I26" s="44">
        <f>SUM(C26:H26)</f>
        <v>24633.160000000003</v>
      </c>
    </row>
    <row r="27" spans="1:11" s="5" customFormat="1" x14ac:dyDescent="0.3">
      <c r="A27" s="5" t="s">
        <v>18</v>
      </c>
      <c r="C27" s="9">
        <f>C26+C23</f>
        <v>0</v>
      </c>
      <c r="D27" s="9">
        <f>D26+D23</f>
        <v>3845</v>
      </c>
      <c r="E27" s="9">
        <f t="shared" ref="E27:H27" si="20">E26+E23</f>
        <v>3545</v>
      </c>
      <c r="F27" s="9">
        <f t="shared" si="20"/>
        <v>10465.166666666668</v>
      </c>
      <c r="G27" s="9">
        <f t="shared" si="20"/>
        <v>19156.100000000002</v>
      </c>
      <c r="H27" s="9">
        <f t="shared" si="20"/>
        <v>29633.160000000003</v>
      </c>
      <c r="I27" s="9">
        <f>H27</f>
        <v>29633.160000000003</v>
      </c>
    </row>
    <row r="28" spans="1:11" s="5" customFormat="1" x14ac:dyDescent="0.3">
      <c r="A28" s="5" t="s">
        <v>30</v>
      </c>
      <c r="C28" s="9">
        <f>C26</f>
        <v>-5000</v>
      </c>
      <c r="D28" s="9">
        <f>C28+D26</f>
        <v>-1155</v>
      </c>
      <c r="E28" s="9">
        <f t="shared" ref="E28:H28" si="21">D28+E26</f>
        <v>-1455</v>
      </c>
      <c r="F28" s="9">
        <f t="shared" si="21"/>
        <v>5465.1666666666679</v>
      </c>
      <c r="G28" s="9">
        <f t="shared" si="21"/>
        <v>14156.100000000002</v>
      </c>
      <c r="H28" s="9">
        <f t="shared" si="21"/>
        <v>24633.160000000003</v>
      </c>
      <c r="I28" s="48">
        <f>H28</f>
        <v>24633.160000000003</v>
      </c>
    </row>
    <row r="29" spans="1:11" ht="18.600000000000001" thickBot="1" x14ac:dyDescent="0.35">
      <c r="A29" s="49"/>
      <c r="B29" s="16"/>
      <c r="C29" s="23"/>
      <c r="D29" s="23"/>
      <c r="E29" s="23"/>
      <c r="F29" s="23"/>
      <c r="G29" s="23"/>
      <c r="H29" s="23"/>
    </row>
    <row r="30" spans="1:11" ht="36.6" thickBot="1" x14ac:dyDescent="0.35">
      <c r="A30" s="64" t="s">
        <v>44</v>
      </c>
      <c r="B30" s="55" t="s">
        <v>75</v>
      </c>
      <c r="C30" s="61" t="s">
        <v>6</v>
      </c>
      <c r="D30" s="62" t="s">
        <v>1</v>
      </c>
      <c r="E30" s="62" t="s">
        <v>2</v>
      </c>
      <c r="F30" s="62" t="s">
        <v>3</v>
      </c>
      <c r="G30" s="62" t="s">
        <v>4</v>
      </c>
      <c r="H30" s="62" t="s">
        <v>5</v>
      </c>
      <c r="I30" s="63" t="s">
        <v>11</v>
      </c>
    </row>
    <row r="31" spans="1:11" ht="18.600000000000001" thickBot="1" x14ac:dyDescent="0.35">
      <c r="A31" s="14" t="s">
        <v>28</v>
      </c>
      <c r="B31" s="14"/>
      <c r="C31" s="8">
        <f t="shared" ref="C31:D31" si="22">C26-C21</f>
        <v>-5000</v>
      </c>
      <c r="D31" s="8">
        <f t="shared" si="22"/>
        <v>4750</v>
      </c>
      <c r="E31" s="8">
        <f>E26-E21</f>
        <v>-300</v>
      </c>
      <c r="F31" s="8">
        <f t="shared" ref="F31:H31" si="23">F26-F21</f>
        <v>8250.0000000000018</v>
      </c>
      <c r="G31" s="8">
        <f t="shared" si="23"/>
        <v>10500.000000000002</v>
      </c>
      <c r="H31" s="8">
        <f t="shared" si="23"/>
        <v>12750.000000000002</v>
      </c>
      <c r="I31" s="65">
        <f>SUM(C31:H31)</f>
        <v>30950.000000000007</v>
      </c>
      <c r="K31"/>
    </row>
    <row r="32" spans="1:11" ht="18.600000000000001" thickBot="1" x14ac:dyDescent="0.35">
      <c r="A32" s="14" t="s">
        <v>27</v>
      </c>
      <c r="B32" s="14"/>
      <c r="C32" s="8">
        <f>C31+C21</f>
        <v>-5000</v>
      </c>
      <c r="D32" s="8">
        <f t="shared" ref="D32:H32" si="24">D31+D21</f>
        <v>3845</v>
      </c>
      <c r="E32" s="8">
        <f t="shared" si="24"/>
        <v>-300</v>
      </c>
      <c r="F32" s="8">
        <f t="shared" si="24"/>
        <v>6920.1666666666679</v>
      </c>
      <c r="G32" s="8">
        <f t="shared" si="24"/>
        <v>8690.9333333333343</v>
      </c>
      <c r="H32" s="8">
        <f t="shared" si="24"/>
        <v>10477.060000000001</v>
      </c>
      <c r="I32" s="86">
        <f>SUM(C32:H32)</f>
        <v>24633.160000000003</v>
      </c>
      <c r="J32"/>
      <c r="K32"/>
    </row>
    <row r="33" spans="1:11" ht="18" x14ac:dyDescent="0.3">
      <c r="A33" s="41" t="s">
        <v>56</v>
      </c>
    </row>
    <row r="34" spans="1:11" ht="36.6" thickBot="1" x14ac:dyDescent="0.35">
      <c r="A34" s="47" t="s">
        <v>69</v>
      </c>
    </row>
    <row r="35" spans="1:11" ht="36.6" thickBot="1" x14ac:dyDescent="0.35">
      <c r="A35" s="64" t="s">
        <v>45</v>
      </c>
      <c r="B35" s="55" t="s">
        <v>75</v>
      </c>
      <c r="C35" s="61" t="s">
        <v>6</v>
      </c>
      <c r="D35" s="62" t="s">
        <v>1</v>
      </c>
      <c r="E35" s="62" t="s">
        <v>2</v>
      </c>
      <c r="F35" s="62" t="s">
        <v>3</v>
      </c>
      <c r="G35" s="62" t="s">
        <v>4</v>
      </c>
      <c r="H35" s="62" t="s">
        <v>5</v>
      </c>
      <c r="I35" s="63" t="s">
        <v>11</v>
      </c>
    </row>
    <row r="36" spans="1:11" ht="33" thickBot="1" x14ac:dyDescent="0.35">
      <c r="A36" s="18" t="s">
        <v>31</v>
      </c>
      <c r="B36" s="14"/>
      <c r="C36" s="8">
        <f t="shared" ref="C36:H36" si="25">IF(C28&lt;0,0,1)</f>
        <v>0</v>
      </c>
      <c r="D36" s="8">
        <f t="shared" si="25"/>
        <v>0</v>
      </c>
      <c r="E36" s="8">
        <f t="shared" si="25"/>
        <v>0</v>
      </c>
      <c r="F36" s="8">
        <f t="shared" si="25"/>
        <v>1</v>
      </c>
      <c r="G36" s="8">
        <f t="shared" si="25"/>
        <v>1</v>
      </c>
      <c r="H36" s="8">
        <f t="shared" si="25"/>
        <v>1</v>
      </c>
      <c r="I36" s="87">
        <f>I4-SUM(C36:H36)-SUM(C37:H37)</f>
        <v>2.2102550516606057</v>
      </c>
      <c r="K36"/>
    </row>
    <row r="37" spans="1:11" ht="15" thickBot="1" x14ac:dyDescent="0.35">
      <c r="A37" s="19" t="s">
        <v>32</v>
      </c>
      <c r="C37" s="20">
        <f>IF(AND(B36=0,C36=1),C28/E5,0)</f>
        <v>0</v>
      </c>
      <c r="D37" s="20">
        <f>IF(AND(C36=0,D36=1),D28/F5,0)</f>
        <v>0</v>
      </c>
      <c r="E37" s="20">
        <f>IF(AND(D36=0,E36=1),E28/G5,0)</f>
        <v>0</v>
      </c>
      <c r="F37" s="20">
        <f>IF(AND(E36=0,F36=1),F28/F32,0)</f>
        <v>0.78974494833939457</v>
      </c>
      <c r="G37" s="20">
        <f>IF(AND(F36=0,G36=1),G28/G26,0)</f>
        <v>0</v>
      </c>
      <c r="H37" s="20">
        <f>IF(AND(G36=0,H36=1),H28/J5,0)</f>
        <v>0</v>
      </c>
    </row>
    <row r="38" spans="1:11" ht="18.600000000000001" thickBot="1" x14ac:dyDescent="0.35">
      <c r="A38" s="14" t="s">
        <v>41</v>
      </c>
      <c r="C38" s="20"/>
      <c r="D38" s="20"/>
      <c r="E38" s="20"/>
      <c r="F38" s="20"/>
      <c r="G38" s="20"/>
      <c r="H38" s="20"/>
      <c r="I38" s="59">
        <f>I36</f>
        <v>2.2102550516606057</v>
      </c>
    </row>
    <row r="39" spans="1:11" ht="18.600000000000001" thickBot="1" x14ac:dyDescent="0.35">
      <c r="A39" s="14" t="s">
        <v>77</v>
      </c>
      <c r="C39" s="1">
        <f t="shared" ref="C39:H39" si="26">IF(C28&lt;0,C7,0)</f>
        <v>0</v>
      </c>
      <c r="D39" s="1">
        <f t="shared" si="26"/>
        <v>75</v>
      </c>
      <c r="E39" s="1">
        <f t="shared" si="26"/>
        <v>30</v>
      </c>
      <c r="F39" s="1">
        <f>IF(F28&lt;0,F7,0)</f>
        <v>0</v>
      </c>
      <c r="G39" s="1">
        <f t="shared" si="26"/>
        <v>0</v>
      </c>
      <c r="H39" s="1">
        <f t="shared" si="26"/>
        <v>0</v>
      </c>
      <c r="I39" s="15">
        <f>SUM(C39:H39)+SUMPRODUCT(C7:H7,C37:H37)</f>
        <v>203.71811854242432</v>
      </c>
    </row>
    <row r="40" spans="1:11" s="5" customFormat="1" x14ac:dyDescent="0.3">
      <c r="A40" s="5" t="s">
        <v>42</v>
      </c>
      <c r="C40" s="31"/>
      <c r="D40" s="31">
        <f>D32/D7</f>
        <v>51.266666666666666</v>
      </c>
      <c r="E40" s="31">
        <f>E32/E7</f>
        <v>-10</v>
      </c>
      <c r="F40" s="31">
        <f>F32/F7</f>
        <v>55.361333333333341</v>
      </c>
      <c r="G40" s="31">
        <f>G32/G7</f>
        <v>57.939555555555565</v>
      </c>
      <c r="H40" s="31">
        <f>H32/H7</f>
        <v>59.86891428571429</v>
      </c>
      <c r="I40" s="32"/>
      <c r="K40" s="31"/>
    </row>
    <row r="41" spans="1:11" s="5" customFormat="1" x14ac:dyDescent="0.3">
      <c r="A41" s="5" t="s">
        <v>43</v>
      </c>
      <c r="C41" s="5">
        <f>C7</f>
        <v>0</v>
      </c>
      <c r="D41" s="5">
        <f>C41+D7</f>
        <v>75</v>
      </c>
      <c r="E41" s="5">
        <f>D41+E7</f>
        <v>105</v>
      </c>
      <c r="F41" s="5">
        <f>E41+F7</f>
        <v>230</v>
      </c>
      <c r="G41" s="5">
        <f>F41+G7</f>
        <v>380</v>
      </c>
      <c r="H41" s="5">
        <f>G41+H7</f>
        <v>555</v>
      </c>
      <c r="I41" s="32"/>
    </row>
    <row r="42" spans="1:11" ht="18" x14ac:dyDescent="0.3">
      <c r="A42" s="42" t="s">
        <v>63</v>
      </c>
    </row>
    <row r="43" spans="1:11" ht="54.6" thickBot="1" x14ac:dyDescent="0.35">
      <c r="A43" s="41" t="s">
        <v>55</v>
      </c>
      <c r="C43" s="269" t="s">
        <v>256</v>
      </c>
      <c r="D43" s="269"/>
      <c r="E43" s="269"/>
      <c r="F43" s="269"/>
      <c r="G43" s="269"/>
      <c r="H43" s="269"/>
    </row>
    <row r="44" spans="1:11" ht="36.6" thickBot="1" x14ac:dyDescent="0.35">
      <c r="A44" s="64" t="s">
        <v>62</v>
      </c>
      <c r="B44" s="55" t="s">
        <v>75</v>
      </c>
      <c r="C44" s="61" t="s">
        <v>6</v>
      </c>
      <c r="D44" s="62" t="s">
        <v>1</v>
      </c>
      <c r="E44" s="62" t="s">
        <v>2</v>
      </c>
      <c r="F44" s="62" t="s">
        <v>3</v>
      </c>
      <c r="G44" s="62" t="s">
        <v>4</v>
      </c>
      <c r="H44" s="62" t="s">
        <v>5</v>
      </c>
      <c r="I44" s="63" t="s">
        <v>11</v>
      </c>
    </row>
    <row r="45" spans="1:11" ht="18.600000000000001" thickBot="1" x14ac:dyDescent="0.35">
      <c r="A45" s="14" t="s">
        <v>27</v>
      </c>
      <c r="C45" s="8">
        <f>C32</f>
        <v>-5000</v>
      </c>
      <c r="D45" s="8">
        <f t="shared" ref="D45:H45" si="27">D32</f>
        <v>3845</v>
      </c>
      <c r="E45" s="8">
        <f t="shared" si="27"/>
        <v>-300</v>
      </c>
      <c r="F45" s="8">
        <f t="shared" si="27"/>
        <v>6920.1666666666679</v>
      </c>
      <c r="G45" s="8">
        <f t="shared" si="27"/>
        <v>8690.9333333333343</v>
      </c>
      <c r="H45" s="8">
        <f t="shared" si="27"/>
        <v>10477.060000000001</v>
      </c>
      <c r="I45" s="21">
        <f>SUM(C45:H45)</f>
        <v>24633.160000000003</v>
      </c>
    </row>
    <row r="46" spans="1:11" ht="15.6" x14ac:dyDescent="0.3">
      <c r="A46" s="50" t="s">
        <v>34</v>
      </c>
      <c r="B46" s="16">
        <v>0.12</v>
      </c>
      <c r="C46" s="23">
        <f>1</f>
        <v>1</v>
      </c>
      <c r="D46" s="23">
        <f>(1+$B$59)^(D4-1)</f>
        <v>1.1200000000000001</v>
      </c>
      <c r="E46" s="23">
        <f>(1+$B$59)^(E4-1)</f>
        <v>1.2544000000000002</v>
      </c>
      <c r="F46" s="23">
        <f>(1+$B$59)^(F4-1)</f>
        <v>1.4049280000000004</v>
      </c>
      <c r="G46" s="23">
        <f>(1+$B$59)^(G4-1)</f>
        <v>1.5735193600000004</v>
      </c>
      <c r="H46" s="23">
        <f>(1+$B$59)^(H4-1)</f>
        <v>1.7623416832000005</v>
      </c>
      <c r="J46"/>
    </row>
    <row r="47" spans="1:11" ht="15.6" x14ac:dyDescent="0.3">
      <c r="A47" s="50" t="s">
        <v>48</v>
      </c>
      <c r="B47" s="16"/>
      <c r="C47" s="23">
        <f t="shared" ref="C47:H47" si="28">C60</f>
        <v>1</v>
      </c>
      <c r="D47" s="23">
        <f t="shared" si="28"/>
        <v>0.89285714285714279</v>
      </c>
      <c r="E47" s="23">
        <f t="shared" si="28"/>
        <v>0.79719387755102034</v>
      </c>
      <c r="F47" s="23">
        <f t="shared" si="28"/>
        <v>0.71178024781341087</v>
      </c>
      <c r="G47" s="23">
        <f t="shared" si="28"/>
        <v>0.63551807840483121</v>
      </c>
      <c r="H47" s="23">
        <f t="shared" si="28"/>
        <v>0.56742685571859919</v>
      </c>
    </row>
    <row r="48" spans="1:11" ht="18" x14ac:dyDescent="0.3">
      <c r="A48" s="18" t="s">
        <v>88</v>
      </c>
      <c r="B48" s="16"/>
      <c r="C48" s="52">
        <f t="shared" ref="C48:H48" si="29">C45*C47</f>
        <v>-5000</v>
      </c>
      <c r="D48" s="52">
        <f t="shared" si="29"/>
        <v>3433.0357142857142</v>
      </c>
      <c r="E48" s="52">
        <f t="shared" si="29"/>
        <v>-239.15816326530609</v>
      </c>
      <c r="F48" s="52">
        <f t="shared" si="29"/>
        <v>4925.6379449101059</v>
      </c>
      <c r="G48" s="52">
        <f t="shared" si="29"/>
        <v>5523.2452515444947</v>
      </c>
      <c r="H48" s="52">
        <f t="shared" si="29"/>
        <v>5944.9652129751075</v>
      </c>
      <c r="I48" s="27"/>
      <c r="J48" s="20"/>
      <c r="K48"/>
    </row>
    <row r="49" spans="1:11" ht="36" x14ac:dyDescent="0.3">
      <c r="A49" s="98" t="s">
        <v>240</v>
      </c>
      <c r="J49" s="1" t="s">
        <v>433</v>
      </c>
    </row>
    <row r="50" spans="1:11" ht="54.6" thickBot="1" x14ac:dyDescent="0.35">
      <c r="A50" s="41" t="s">
        <v>97</v>
      </c>
      <c r="B50" s="16"/>
      <c r="C50" s="52"/>
      <c r="D50" s="52"/>
      <c r="E50" s="52"/>
      <c r="F50" s="52"/>
      <c r="G50" s="52"/>
      <c r="H50" s="52"/>
      <c r="I50" s="27"/>
      <c r="J50" s="20"/>
      <c r="K50"/>
    </row>
    <row r="51" spans="1:11" ht="36.6" thickBot="1" x14ac:dyDescent="0.35">
      <c r="A51" s="64" t="s">
        <v>134</v>
      </c>
      <c r="B51" s="55" t="s">
        <v>75</v>
      </c>
      <c r="C51" s="61" t="s">
        <v>6</v>
      </c>
      <c r="D51" s="62" t="s">
        <v>1</v>
      </c>
      <c r="E51" s="62" t="s">
        <v>2</v>
      </c>
      <c r="F51" s="62" t="s">
        <v>3</v>
      </c>
      <c r="G51" s="62" t="s">
        <v>4</v>
      </c>
      <c r="H51" s="62" t="s">
        <v>5</v>
      </c>
      <c r="I51" s="63" t="s">
        <v>11</v>
      </c>
    </row>
    <row r="52" spans="1:11" ht="18.600000000000001" thickBot="1" x14ac:dyDescent="0.35">
      <c r="A52" s="14" t="s">
        <v>27</v>
      </c>
      <c r="C52" s="8">
        <f>C32</f>
        <v>-5000</v>
      </c>
      <c r="D52" s="8">
        <f t="shared" ref="D52:H52" si="30">D32</f>
        <v>3845</v>
      </c>
      <c r="E52" s="8">
        <f t="shared" si="30"/>
        <v>-300</v>
      </c>
      <c r="F52" s="8">
        <f t="shared" si="30"/>
        <v>6920.1666666666679</v>
      </c>
      <c r="G52" s="8">
        <f t="shared" si="30"/>
        <v>8690.9333333333343</v>
      </c>
      <c r="H52" s="8">
        <f t="shared" si="30"/>
        <v>10477.060000000001</v>
      </c>
      <c r="I52" s="21">
        <f>SUM(C52:H52)</f>
        <v>24633.160000000003</v>
      </c>
    </row>
    <row r="53" spans="1:11" ht="16.2" thickBot="1" x14ac:dyDescent="0.35">
      <c r="A53" s="50" t="s">
        <v>135</v>
      </c>
      <c r="B53" s="16">
        <v>0.1</v>
      </c>
      <c r="C53" s="23">
        <f>(1+$B$53)^($I$4-C4)</f>
        <v>1.6105100000000006</v>
      </c>
      <c r="D53" s="23">
        <f t="shared" ref="D53:H53" si="31">(1+$B$53)^($I$4-D4)</f>
        <v>1.4641000000000004</v>
      </c>
      <c r="E53" s="23">
        <f t="shared" si="31"/>
        <v>1.3310000000000004</v>
      </c>
      <c r="F53" s="23">
        <f t="shared" si="31"/>
        <v>1.2100000000000002</v>
      </c>
      <c r="G53" s="23">
        <f t="shared" si="31"/>
        <v>1.1000000000000001</v>
      </c>
      <c r="H53" s="23">
        <f t="shared" si="31"/>
        <v>1</v>
      </c>
      <c r="J53"/>
    </row>
    <row r="54" spans="1:11" ht="33" thickBot="1" x14ac:dyDescent="0.35">
      <c r="A54" s="18" t="s">
        <v>137</v>
      </c>
      <c r="B54" s="16"/>
      <c r="C54" s="52">
        <f>IF(C52&lt;0,0,C52*C53)</f>
        <v>0</v>
      </c>
      <c r="D54" s="52">
        <f>IF(D52&lt;0,0,D52*D53)</f>
        <v>5629.4645000000019</v>
      </c>
      <c r="E54" s="52">
        <f t="shared" ref="E54:H54" si="32">IF(E52&lt;0,0,E52*E53)</f>
        <v>0</v>
      </c>
      <c r="F54" s="52">
        <f t="shared" si="32"/>
        <v>8373.4016666666703</v>
      </c>
      <c r="G54" s="52">
        <f t="shared" si="32"/>
        <v>9560.0266666666685</v>
      </c>
      <c r="H54" s="52">
        <f t="shared" si="32"/>
        <v>10477.060000000001</v>
      </c>
      <c r="I54" s="88">
        <f>SUM(C54:H54)</f>
        <v>34039.952833333344</v>
      </c>
      <c r="J54" s="20"/>
      <c r="K54"/>
    </row>
    <row r="55" spans="1:11" ht="36" x14ac:dyDescent="0.3">
      <c r="A55" s="98" t="s">
        <v>201</v>
      </c>
      <c r="J55" s="1" t="s">
        <v>434</v>
      </c>
    </row>
    <row r="56" spans="1:11" ht="18.600000000000001" thickBot="1" x14ac:dyDescent="0.35">
      <c r="A56" s="41" t="s">
        <v>136</v>
      </c>
      <c r="B56" s="16"/>
      <c r="C56" s="52"/>
      <c r="D56" s="52"/>
      <c r="E56" s="52"/>
      <c r="F56" s="52"/>
      <c r="G56" s="52"/>
      <c r="H56" s="52"/>
      <c r="I56" s="27"/>
      <c r="J56" s="20"/>
      <c r="K56"/>
    </row>
    <row r="57" spans="1:11" ht="36.6" thickBot="1" x14ac:dyDescent="0.35">
      <c r="A57" s="64" t="s">
        <v>39</v>
      </c>
      <c r="B57" s="55" t="s">
        <v>75</v>
      </c>
      <c r="C57" s="61" t="s">
        <v>6</v>
      </c>
      <c r="D57" s="62" t="s">
        <v>1</v>
      </c>
      <c r="E57" s="62" t="s">
        <v>2</v>
      </c>
      <c r="F57" s="62" t="s">
        <v>3</v>
      </c>
      <c r="G57" s="62" t="s">
        <v>4</v>
      </c>
      <c r="H57" s="62" t="s">
        <v>5</v>
      </c>
      <c r="I57" s="63" t="s">
        <v>11</v>
      </c>
    </row>
    <row r="58" spans="1:11" s="53" customFormat="1" ht="18.600000000000001" thickBot="1" x14ac:dyDescent="0.35">
      <c r="A58" s="14" t="s">
        <v>27</v>
      </c>
      <c r="C58" s="8">
        <f>C32</f>
        <v>-5000</v>
      </c>
      <c r="D58" s="8">
        <f t="shared" ref="D58:H58" si="33">D32</f>
        <v>3845</v>
      </c>
      <c r="E58" s="8">
        <f t="shared" si="33"/>
        <v>-300</v>
      </c>
      <c r="F58" s="8">
        <f t="shared" si="33"/>
        <v>6920.1666666666679</v>
      </c>
      <c r="G58" s="8">
        <f t="shared" si="33"/>
        <v>8690.9333333333343</v>
      </c>
      <c r="H58" s="8">
        <f t="shared" si="33"/>
        <v>10477.060000000001</v>
      </c>
      <c r="I58" s="21">
        <f>SUM(C58:H58)</f>
        <v>24633.160000000003</v>
      </c>
      <c r="J58"/>
    </row>
    <row r="59" spans="1:11" ht="15.6" x14ac:dyDescent="0.3">
      <c r="A59" s="50" t="s">
        <v>34</v>
      </c>
      <c r="B59" s="16">
        <v>0.12</v>
      </c>
      <c r="C59" s="23">
        <f>1</f>
        <v>1</v>
      </c>
      <c r="D59" s="23">
        <f>(1+$B$59)^(D4-1)</f>
        <v>1.1200000000000001</v>
      </c>
      <c r="E59" s="23">
        <f>(1+$B$59)^(E4-1)</f>
        <v>1.2544000000000002</v>
      </c>
      <c r="F59" s="23">
        <f>(1+$B$59)^(F4-1)</f>
        <v>1.4049280000000004</v>
      </c>
      <c r="G59" s="23">
        <f>(1+$B$59)^(G4-1)</f>
        <v>1.5735193600000004</v>
      </c>
      <c r="H59" s="23">
        <f>(1+$B$59)^(H4-1)</f>
        <v>1.7623416832000005</v>
      </c>
    </row>
    <row r="60" spans="1:11" ht="16.2" thickBot="1" x14ac:dyDescent="0.35">
      <c r="A60" s="50" t="s">
        <v>48</v>
      </c>
      <c r="B60" s="16"/>
      <c r="C60" s="23">
        <f>1/C59</f>
        <v>1</v>
      </c>
      <c r="D60" s="23">
        <f t="shared" ref="D60:H60" si="34">1/D59</f>
        <v>0.89285714285714279</v>
      </c>
      <c r="E60" s="23">
        <f t="shared" si="34"/>
        <v>0.79719387755102034</v>
      </c>
      <c r="F60" s="23">
        <f t="shared" si="34"/>
        <v>0.71178024781341087</v>
      </c>
      <c r="G60" s="23">
        <f t="shared" si="34"/>
        <v>0.63551807840483121</v>
      </c>
      <c r="H60" s="23">
        <f t="shared" si="34"/>
        <v>0.56742685571859919</v>
      </c>
      <c r="J60"/>
    </row>
    <row r="61" spans="1:11" ht="18.600000000000001" thickBot="1" x14ac:dyDescent="0.35">
      <c r="A61" s="25" t="s">
        <v>35</v>
      </c>
      <c r="B61" s="16"/>
      <c r="C61" s="26">
        <f>C25*C60</f>
        <v>-5000</v>
      </c>
      <c r="D61" s="26">
        <f>D25*D60</f>
        <v>-11745.535714285714</v>
      </c>
      <c r="E61" s="26">
        <f t="shared" ref="E61:H61" si="35">E25*E60</f>
        <v>-9008.2908163265292</v>
      </c>
      <c r="F61" s="26">
        <f t="shared" si="35"/>
        <v>-12868.868250425165</v>
      </c>
      <c r="G61" s="26">
        <f t="shared" si="35"/>
        <v>-13542.297100600441</v>
      </c>
      <c r="H61" s="26">
        <f t="shared" si="35"/>
        <v>-13914.974737175864</v>
      </c>
      <c r="I61" s="21">
        <f>SUM(C61:H61)</f>
        <v>-66079.96661881372</v>
      </c>
      <c r="J61"/>
    </row>
    <row r="62" spans="1:11" ht="18.600000000000001" thickBot="1" x14ac:dyDescent="0.35">
      <c r="A62" s="25" t="s">
        <v>36</v>
      </c>
      <c r="B62" s="16"/>
      <c r="C62" s="26">
        <f>C61</f>
        <v>-5000</v>
      </c>
      <c r="D62" s="26">
        <f>C62+D61</f>
        <v>-16745.535714285714</v>
      </c>
      <c r="E62" s="26">
        <f t="shared" ref="E62:H62" si="36">D62+E61</f>
        <v>-25753.826530612241</v>
      </c>
      <c r="F62" s="26">
        <f t="shared" si="36"/>
        <v>-38622.694781037404</v>
      </c>
      <c r="G62" s="26">
        <f t="shared" si="36"/>
        <v>-52164.991881637849</v>
      </c>
      <c r="H62" s="26">
        <f t="shared" si="36"/>
        <v>-66079.96661881372</v>
      </c>
      <c r="I62" s="21">
        <f>H62</f>
        <v>-66079.96661881372</v>
      </c>
    </row>
    <row r="63" spans="1:11" ht="18.600000000000001" thickBot="1" x14ac:dyDescent="0.35">
      <c r="A63" s="25" t="s">
        <v>37</v>
      </c>
      <c r="B63" s="16"/>
      <c r="C63" s="26">
        <f>C24*C60</f>
        <v>0</v>
      </c>
      <c r="D63" s="26">
        <f>D24*D60</f>
        <v>15178.571428571428</v>
      </c>
      <c r="E63" s="26">
        <f t="shared" ref="E63:H63" si="37">E24*E60</f>
        <v>8769.1326530612241</v>
      </c>
      <c r="F63" s="26">
        <f t="shared" si="37"/>
        <v>17794.506195335271</v>
      </c>
      <c r="G63" s="26">
        <f t="shared" si="37"/>
        <v>19065.542352144937</v>
      </c>
      <c r="H63" s="26">
        <f t="shared" si="37"/>
        <v>19859.939950150972</v>
      </c>
      <c r="I63" s="21">
        <f>SUM(C63:H63)</f>
        <v>80667.692579263836</v>
      </c>
    </row>
    <row r="64" spans="1:11" ht="18.600000000000001" thickBot="1" x14ac:dyDescent="0.35">
      <c r="A64" s="25" t="s">
        <v>57</v>
      </c>
      <c r="B64" s="16"/>
      <c r="C64" s="26">
        <f>C63</f>
        <v>0</v>
      </c>
      <c r="D64" s="26">
        <f>C64+D63</f>
        <v>15178.571428571428</v>
      </c>
      <c r="E64" s="26">
        <f t="shared" ref="E64:H64" si="38">D64+E63</f>
        <v>23947.704081632652</v>
      </c>
      <c r="F64" s="26">
        <f t="shared" si="38"/>
        <v>41742.210276967919</v>
      </c>
      <c r="G64" s="26">
        <f t="shared" si="38"/>
        <v>60807.75262911286</v>
      </c>
      <c r="H64" s="26">
        <f t="shared" si="38"/>
        <v>80667.692579263836</v>
      </c>
      <c r="I64" s="21">
        <f>H64</f>
        <v>80667.692579263836</v>
      </c>
      <c r="J64" s="20"/>
      <c r="K64" s="20"/>
    </row>
    <row r="65" spans="1:11" ht="33" thickBot="1" x14ac:dyDescent="0.35">
      <c r="A65" s="18" t="s">
        <v>166</v>
      </c>
      <c r="C65" s="24">
        <f>C32*C60</f>
        <v>-5000</v>
      </c>
      <c r="D65" s="24">
        <f>D58*D60+C65</f>
        <v>-1566.9642857142858</v>
      </c>
      <c r="E65" s="24">
        <f t="shared" ref="E65:H65" si="39">E58*E60+D65</f>
        <v>-1806.1224489795918</v>
      </c>
      <c r="F65" s="24">
        <f t="shared" si="39"/>
        <v>3119.5154959305141</v>
      </c>
      <c r="G65" s="24">
        <f t="shared" si="39"/>
        <v>8642.7607474750093</v>
      </c>
      <c r="H65" s="24">
        <f t="shared" si="39"/>
        <v>14587.725960450116</v>
      </c>
      <c r="I65" s="21">
        <f>H65</f>
        <v>14587.725960450116</v>
      </c>
      <c r="K65" s="20"/>
    </row>
    <row r="66" spans="1:11" ht="33" thickBot="1" x14ac:dyDescent="0.35">
      <c r="A66" s="18" t="s">
        <v>167</v>
      </c>
      <c r="C66" s="24">
        <f>C58*C60</f>
        <v>-5000</v>
      </c>
      <c r="D66" s="24">
        <f t="shared" ref="D66:H66" si="40">D58*D60</f>
        <v>3433.0357142857142</v>
      </c>
      <c r="E66" s="24">
        <f t="shared" si="40"/>
        <v>-239.15816326530609</v>
      </c>
      <c r="F66" s="24">
        <f t="shared" si="40"/>
        <v>4925.6379449101059</v>
      </c>
      <c r="G66" s="24">
        <f t="shared" si="40"/>
        <v>5523.2452515444947</v>
      </c>
      <c r="H66" s="24">
        <f t="shared" si="40"/>
        <v>5944.9652129751075</v>
      </c>
      <c r="I66" s="21">
        <f>SUM(C66:H66)</f>
        <v>14587.725960450116</v>
      </c>
    </row>
    <row r="67" spans="1:11" ht="33" customHeight="1" thickBot="1" x14ac:dyDescent="0.35">
      <c r="A67" s="18" t="s">
        <v>168</v>
      </c>
      <c r="C67" s="277" t="s">
        <v>78</v>
      </c>
      <c r="D67" s="277"/>
      <c r="E67" s="277"/>
      <c r="F67" s="277"/>
      <c r="G67" s="277"/>
      <c r="H67" s="278"/>
      <c r="I67" s="88">
        <f>NPV(B59,D32:H32)+C66</f>
        <v>14587.725960450116</v>
      </c>
      <c r="J67" s="1" t="s">
        <v>432</v>
      </c>
    </row>
    <row r="68" spans="1:11" ht="36" x14ac:dyDescent="0.3">
      <c r="A68" s="98" t="s">
        <v>179</v>
      </c>
    </row>
    <row r="69" spans="1:11" ht="72.599999999999994" thickBot="1" x14ac:dyDescent="0.35">
      <c r="A69" s="41" t="s">
        <v>71</v>
      </c>
      <c r="C69" s="58"/>
      <c r="D69" s="58"/>
      <c r="E69" s="58"/>
      <c r="F69" s="58"/>
      <c r="G69" s="58"/>
      <c r="H69" s="43"/>
      <c r="I69" s="27"/>
    </row>
    <row r="70" spans="1:11" ht="36.6" thickBot="1" x14ac:dyDescent="0.35">
      <c r="A70" s="64" t="s">
        <v>46</v>
      </c>
      <c r="B70" s="55" t="s">
        <v>75</v>
      </c>
      <c r="C70" s="61" t="s">
        <v>6</v>
      </c>
      <c r="D70" s="62" t="s">
        <v>1</v>
      </c>
      <c r="E70" s="62" t="s">
        <v>2</v>
      </c>
      <c r="F70" s="62" t="s">
        <v>3</v>
      </c>
      <c r="G70" s="62" t="s">
        <v>4</v>
      </c>
      <c r="H70" s="62" t="s">
        <v>5</v>
      </c>
      <c r="I70" s="63" t="s">
        <v>11</v>
      </c>
    </row>
    <row r="71" spans="1:11" ht="34.200000000000003" thickBot="1" x14ac:dyDescent="0.35">
      <c r="A71" s="18" t="s">
        <v>169</v>
      </c>
      <c r="I71" s="96">
        <f>IRR(C32:H32,0.0001)</f>
        <v>0.74393572597316626</v>
      </c>
      <c r="J71" s="1" t="s">
        <v>431</v>
      </c>
    </row>
    <row r="72" spans="1:11" ht="18" x14ac:dyDescent="0.3">
      <c r="A72" s="36" t="s">
        <v>38</v>
      </c>
      <c r="I72" s="35"/>
    </row>
    <row r="73" spans="1:11" ht="15.6" x14ac:dyDescent="0.3">
      <c r="A73" s="34" t="s">
        <v>48</v>
      </c>
      <c r="B73" s="16">
        <v>0.7</v>
      </c>
      <c r="C73" s="23">
        <f>1</f>
        <v>1</v>
      </c>
      <c r="D73" s="23">
        <f>1/(1+$B$73)^(D4-1)</f>
        <v>0.58823529411764708</v>
      </c>
      <c r="E73" s="23">
        <f>1/(1+$B$73)^(E4-1)</f>
        <v>0.34602076124567477</v>
      </c>
      <c r="F73" s="23">
        <f>1/(1+$B$73)^(F4-1)</f>
        <v>0.20354162426216163</v>
      </c>
      <c r="G73" s="23">
        <f>1/(1+$B$73)^(G4-1)</f>
        <v>0.11973036721303627</v>
      </c>
      <c r="H73" s="23">
        <f>1/(1+$B$73)^(H4-1)</f>
        <v>7.042962777237427E-2</v>
      </c>
    </row>
    <row r="74" spans="1:11" ht="15.6" x14ac:dyDescent="0.3">
      <c r="A74" s="34" t="s">
        <v>39</v>
      </c>
      <c r="C74" s="24">
        <f>C32*C73</f>
        <v>-5000</v>
      </c>
      <c r="D74" s="24">
        <f>D32*D73+C74</f>
        <v>-2738.2352941176468</v>
      </c>
      <c r="E74" s="24">
        <f>E32*E73+D74</f>
        <v>-2842.0415224913495</v>
      </c>
      <c r="F74" s="24">
        <f>F32*F73+E74</f>
        <v>-1433.499558993147</v>
      </c>
      <c r="G74" s="24">
        <f>G32*G73+F74</f>
        <v>-392.93091956912963</v>
      </c>
      <c r="H74" s="24">
        <f>H32*H73+G74</f>
        <v>344.96451637970199</v>
      </c>
    </row>
    <row r="75" spans="1:11" ht="15.6" x14ac:dyDescent="0.3">
      <c r="A75" s="34" t="s">
        <v>48</v>
      </c>
      <c r="B75" s="16">
        <v>0.74</v>
      </c>
      <c r="C75" s="23">
        <f>1</f>
        <v>1</v>
      </c>
      <c r="D75" s="23">
        <f>1/(1+$B$75)^(D4-1)</f>
        <v>0.57471264367816088</v>
      </c>
      <c r="E75" s="23">
        <f>1/(1+$B$75)^(E4-1)</f>
        <v>0.33029462280354077</v>
      </c>
      <c r="F75" s="23">
        <f>1/(1+$B$75)^(F4-1)</f>
        <v>0.18982449586410385</v>
      </c>
      <c r="G75" s="23">
        <f>1/(1+$B$75)^(G4-1)</f>
        <v>0.10909453785293326</v>
      </c>
      <c r="H75" s="23">
        <f>1/(1+$B$75)^(H4-1)</f>
        <v>6.2698010260306469E-2</v>
      </c>
    </row>
    <row r="76" spans="1:11" ht="15.6" x14ac:dyDescent="0.3">
      <c r="A76" s="34" t="s">
        <v>39</v>
      </c>
      <c r="C76" s="24">
        <f>C32*C75</f>
        <v>-5000</v>
      </c>
      <c r="D76" s="24">
        <f>D32*D75+C76</f>
        <v>-2790.2298850574716</v>
      </c>
      <c r="E76" s="24">
        <f>E32*E75+D76</f>
        <v>-2889.318271898534</v>
      </c>
      <c r="F76" s="24">
        <f>F32*F75+E76</f>
        <v>-1575.7011231029578</v>
      </c>
      <c r="G76" s="24">
        <f>G32*G75+F76</f>
        <v>-627.56776759230502</v>
      </c>
      <c r="H76" s="24">
        <f>H32*H75+G76</f>
        <v>29.323047785541576</v>
      </c>
      <c r="J76"/>
    </row>
    <row r="77" spans="1:11" ht="16.2" thickBot="1" x14ac:dyDescent="0.35">
      <c r="A77" s="34" t="s">
        <v>48</v>
      </c>
      <c r="B77" s="28">
        <v>0.74393573000000002</v>
      </c>
      <c r="C77" s="23">
        <f>1</f>
        <v>1</v>
      </c>
      <c r="D77" s="23">
        <f>1/(1+$B$77)^(D4-1)</f>
        <v>0.57341562696235371</v>
      </c>
      <c r="E77" s="23">
        <f>1/(1+$B$77)^(E4-1)</f>
        <v>0.32880548124462916</v>
      </c>
      <c r="F77" s="23">
        <f>1/(1+$B$77)^(F4-1)</f>
        <v>0.18854220117654746</v>
      </c>
      <c r="G77" s="23">
        <f>1/(1+$B$77)^(G4-1)</f>
        <v>0.1081130444965122</v>
      </c>
      <c r="H77" s="23">
        <f>1/(1+$B$77)^(H4-1)</f>
        <v>6.1993709192776379E-2</v>
      </c>
      <c r="J77" s="4" t="s">
        <v>59</v>
      </c>
    </row>
    <row r="78" spans="1:11" ht="18.600000000000001" thickBot="1" x14ac:dyDescent="0.35">
      <c r="A78" s="34" t="s">
        <v>39</v>
      </c>
      <c r="C78" s="24">
        <f>C32*C77</f>
        <v>-5000</v>
      </c>
      <c r="D78" s="24">
        <f>D32*D77+C78</f>
        <v>-2795.2169143297501</v>
      </c>
      <c r="E78" s="24">
        <f>E32*E77+D78</f>
        <v>-2893.8585587031389</v>
      </c>
      <c r="F78" s="24">
        <f>F32*F77+E78</f>
        <v>-1589.1151028612342</v>
      </c>
      <c r="G78" s="24">
        <f>G32*G77+F78</f>
        <v>-649.51184067834629</v>
      </c>
      <c r="H78" s="29">
        <f>H32*H77+G78</f>
        <v>-2.9843076504221244E-5</v>
      </c>
      <c r="J78"/>
    </row>
    <row r="79" spans="1:11" ht="15.6" x14ac:dyDescent="0.3">
      <c r="A79" s="34" t="s">
        <v>48</v>
      </c>
      <c r="B79" s="16">
        <v>0.75</v>
      </c>
      <c r="C79" s="23">
        <f>1</f>
        <v>1</v>
      </c>
      <c r="D79" s="23">
        <f>1/(1+$B$79)^(D4-1)</f>
        <v>0.5714285714285714</v>
      </c>
      <c r="E79" s="23">
        <f>1/(1+$B$79)^(E4-1)</f>
        <v>0.32653061224489793</v>
      </c>
      <c r="F79" s="23">
        <f>1/(1+$B$79)^(F4-1)</f>
        <v>0.18658892128279883</v>
      </c>
      <c r="G79" s="23">
        <f>1/(1+$B$79)^(G4-1)</f>
        <v>0.10662224073302791</v>
      </c>
      <c r="H79" s="23">
        <f>1/(1+$B$79)^(H4-1)</f>
        <v>6.0926994704587373E-2</v>
      </c>
    </row>
    <row r="80" spans="1:11" ht="15.6" x14ac:dyDescent="0.3">
      <c r="A80" s="34" t="s">
        <v>39</v>
      </c>
      <c r="C80" s="24">
        <f>C32*C79</f>
        <v>-5000</v>
      </c>
      <c r="D80" s="24">
        <f>D32*D79+C80</f>
        <v>-2802.8571428571431</v>
      </c>
      <c r="E80" s="24">
        <f>E32*E79+D80</f>
        <v>-2900.8163265306125</v>
      </c>
      <c r="F80" s="24">
        <f>F32*F79+E80</f>
        <v>-1609.5898931000972</v>
      </c>
      <c r="G80" s="24">
        <f>G32*G79+F80</f>
        <v>-682.94310703873373</v>
      </c>
      <c r="H80" s="24">
        <f>H32*H79+G80</f>
        <v>-44.607327899089455</v>
      </c>
    </row>
    <row r="81" spans="1:10" ht="54" x14ac:dyDescent="0.3">
      <c r="A81" s="41" t="s">
        <v>54</v>
      </c>
      <c r="C81" s="24"/>
      <c r="D81" s="24"/>
      <c r="E81" s="24"/>
      <c r="F81" s="24"/>
      <c r="G81" s="24"/>
      <c r="H81" s="24"/>
    </row>
    <row r="82" spans="1:10" ht="36" x14ac:dyDescent="0.3">
      <c r="A82" s="98" t="s">
        <v>180</v>
      </c>
    </row>
    <row r="83" spans="1:10" ht="18.600000000000001" thickBot="1" x14ac:dyDescent="0.35">
      <c r="A83" s="39" t="s">
        <v>40</v>
      </c>
    </row>
    <row r="84" spans="1:10" ht="36.6" thickBot="1" x14ac:dyDescent="0.35">
      <c r="A84" s="64" t="s">
        <v>47</v>
      </c>
      <c r="B84" s="55" t="s">
        <v>75</v>
      </c>
      <c r="C84" s="61" t="s">
        <v>6</v>
      </c>
      <c r="D84" s="62" t="s">
        <v>1</v>
      </c>
      <c r="E84" s="62" t="s">
        <v>2</v>
      </c>
      <c r="F84" s="62" t="s">
        <v>3</v>
      </c>
      <c r="G84" s="62" t="s">
        <v>4</v>
      </c>
      <c r="H84" s="62" t="s">
        <v>5</v>
      </c>
      <c r="I84" s="63" t="s">
        <v>11</v>
      </c>
    </row>
    <row r="85" spans="1:10" ht="18" x14ac:dyDescent="0.3">
      <c r="A85" s="14" t="s">
        <v>170</v>
      </c>
      <c r="B85" s="16">
        <v>0.12</v>
      </c>
    </row>
    <row r="86" spans="1:10" ht="15.6" x14ac:dyDescent="0.3">
      <c r="A86" s="30" t="s">
        <v>27</v>
      </c>
      <c r="C86" s="37">
        <f t="shared" ref="C86:H86" si="41">C32</f>
        <v>-5000</v>
      </c>
      <c r="D86" s="37">
        <f t="shared" si="41"/>
        <v>3845</v>
      </c>
      <c r="E86" s="37">
        <f t="shared" si="41"/>
        <v>-300</v>
      </c>
      <c r="F86" s="37">
        <f t="shared" si="41"/>
        <v>6920.1666666666679</v>
      </c>
      <c r="G86" s="37">
        <f t="shared" si="41"/>
        <v>8690.9333333333343</v>
      </c>
      <c r="H86" s="37">
        <f t="shared" si="41"/>
        <v>10477.060000000001</v>
      </c>
    </row>
    <row r="87" spans="1:10" ht="16.2" thickBot="1" x14ac:dyDescent="0.35">
      <c r="A87" s="38" t="s">
        <v>48</v>
      </c>
      <c r="C87" s="23">
        <f t="shared" ref="C87:H87" si="42">C60</f>
        <v>1</v>
      </c>
      <c r="D87" s="23">
        <f t="shared" si="42"/>
        <v>0.89285714285714279</v>
      </c>
      <c r="E87" s="23">
        <f t="shared" si="42"/>
        <v>0.79719387755102034</v>
      </c>
      <c r="F87" s="23">
        <f t="shared" si="42"/>
        <v>0.71178024781341087</v>
      </c>
      <c r="G87" s="23">
        <f t="shared" si="42"/>
        <v>0.63551807840483121</v>
      </c>
      <c r="H87" s="23">
        <f t="shared" si="42"/>
        <v>0.56742685571859919</v>
      </c>
    </row>
    <row r="88" spans="1:10" ht="18.600000000000001" thickBot="1" x14ac:dyDescent="0.35">
      <c r="A88" s="30" t="s">
        <v>49</v>
      </c>
      <c r="C88" s="24">
        <f>C86*C87</f>
        <v>-5000</v>
      </c>
      <c r="D88" s="24">
        <f t="shared" ref="D88:H88" si="43">D86*D87</f>
        <v>3433.0357142857142</v>
      </c>
      <c r="E88" s="24">
        <f t="shared" si="43"/>
        <v>-239.15816326530609</v>
      </c>
      <c r="F88" s="24">
        <f t="shared" si="43"/>
        <v>4925.6379449101059</v>
      </c>
      <c r="G88" s="24">
        <f t="shared" si="43"/>
        <v>5523.2452515444947</v>
      </c>
      <c r="H88" s="24">
        <f t="shared" si="43"/>
        <v>5944.9652129751075</v>
      </c>
      <c r="I88" s="21">
        <f>SUM(C88:H88)</f>
        <v>14587.725960450116</v>
      </c>
      <c r="J88"/>
    </row>
    <row r="89" spans="1:10" ht="18.600000000000001" thickBot="1" x14ac:dyDescent="0.35">
      <c r="A89" s="38" t="s">
        <v>50</v>
      </c>
      <c r="C89" s="24">
        <f>C88</f>
        <v>-5000</v>
      </c>
      <c r="D89" s="24">
        <f>C89+D88</f>
        <v>-1566.9642857142858</v>
      </c>
      <c r="E89" s="24">
        <f t="shared" ref="E89:H89" si="44">D89+E88</f>
        <v>-1806.1224489795918</v>
      </c>
      <c r="F89" s="24">
        <f t="shared" si="44"/>
        <v>3119.5154959305141</v>
      </c>
      <c r="G89" s="24">
        <f t="shared" si="44"/>
        <v>8642.7607474750093</v>
      </c>
      <c r="H89" s="24">
        <f t="shared" si="44"/>
        <v>14587.725960450116</v>
      </c>
    </row>
    <row r="90" spans="1:10" ht="33" thickBot="1" x14ac:dyDescent="0.35">
      <c r="A90" s="18" t="s">
        <v>410</v>
      </c>
      <c r="B90" s="14"/>
      <c r="C90" s="8">
        <f>IF(C89&lt;0,0,1)</f>
        <v>0</v>
      </c>
      <c r="D90" s="8">
        <f t="shared" ref="D90:H90" si="45">IF(D89&lt;0,0,1)</f>
        <v>0</v>
      </c>
      <c r="E90" s="8">
        <f t="shared" si="45"/>
        <v>0</v>
      </c>
      <c r="F90" s="8">
        <f t="shared" si="45"/>
        <v>1</v>
      </c>
      <c r="G90" s="8">
        <f t="shared" si="45"/>
        <v>1</v>
      </c>
      <c r="H90" s="8">
        <f t="shared" si="45"/>
        <v>1</v>
      </c>
      <c r="I90" s="90">
        <f>I4-SUM(C90:H90)-SUM(C91:H91)</f>
        <v>2.3666778738469691</v>
      </c>
    </row>
    <row r="91" spans="1:10" x14ac:dyDescent="0.3">
      <c r="A91" s="19" t="s">
        <v>32</v>
      </c>
      <c r="C91" s="20">
        <f>IF(AND(B90=0,C90=1),C89/E5,0)</f>
        <v>0</v>
      </c>
      <c r="D91" s="20">
        <f>IF(AND(C90=0,D90=1),D89/F5,0)</f>
        <v>0</v>
      </c>
      <c r="E91" s="20">
        <f>IF(AND(D90=0,E90=1),E89/G5,0)</f>
        <v>0</v>
      </c>
      <c r="F91" s="20">
        <f>IF(AND(E90=0,F90=1),F89/F88,0)</f>
        <v>0.63332212615303096</v>
      </c>
      <c r="G91" s="20">
        <f>IF(AND(F90=0,G90=1),G89/G88,0)</f>
        <v>0</v>
      </c>
      <c r="H91" s="20">
        <f>IF(AND(G90=0,H90=1),H89/J5,0)</f>
        <v>0</v>
      </c>
    </row>
    <row r="92" spans="1:10" ht="18" x14ac:dyDescent="0.3">
      <c r="A92" s="42" t="s">
        <v>63</v>
      </c>
    </row>
    <row r="93" spans="1:10" ht="54" x14ac:dyDescent="0.3">
      <c r="A93" s="41" t="s">
        <v>53</v>
      </c>
    </row>
    <row r="94" spans="1:10" ht="18.600000000000001" thickBot="1" x14ac:dyDescent="0.35">
      <c r="A94" s="40" t="s">
        <v>52</v>
      </c>
    </row>
    <row r="95" spans="1:10" ht="36.6" thickBot="1" x14ac:dyDescent="0.35">
      <c r="A95" s="64" t="s">
        <v>51</v>
      </c>
      <c r="B95" s="55" t="s">
        <v>75</v>
      </c>
      <c r="C95" s="61" t="s">
        <v>6</v>
      </c>
      <c r="D95" s="62" t="s">
        <v>1</v>
      </c>
      <c r="E95" s="62" t="s">
        <v>2</v>
      </c>
      <c r="F95" s="62" t="s">
        <v>3</v>
      </c>
      <c r="G95" s="62" t="s">
        <v>4</v>
      </c>
      <c r="H95" s="62" t="s">
        <v>5</v>
      </c>
      <c r="I95" s="63" t="s">
        <v>11</v>
      </c>
    </row>
    <row r="96" spans="1:10" ht="18.600000000000001" thickBot="1" x14ac:dyDescent="0.35">
      <c r="A96" s="38" t="s">
        <v>50</v>
      </c>
      <c r="B96" s="16">
        <v>0.12</v>
      </c>
      <c r="C96" s="24">
        <f>C89</f>
        <v>-5000</v>
      </c>
      <c r="D96" s="24">
        <f t="shared" ref="D96:H96" si="46">D89</f>
        <v>-1566.9642857142858</v>
      </c>
      <c r="E96" s="24">
        <f t="shared" si="46"/>
        <v>-1806.1224489795918</v>
      </c>
      <c r="F96" s="24">
        <f t="shared" si="46"/>
        <v>3119.5154959305141</v>
      </c>
      <c r="G96" s="24">
        <f t="shared" si="46"/>
        <v>8642.7607474750093</v>
      </c>
      <c r="H96" s="24">
        <f t="shared" si="46"/>
        <v>14587.725960450116</v>
      </c>
      <c r="I96" s="66">
        <f>H96</f>
        <v>14587.725960450116</v>
      </c>
      <c r="J96"/>
    </row>
    <row r="97" spans="1:11" ht="30" thickBot="1" x14ac:dyDescent="0.35">
      <c r="A97" s="54" t="s">
        <v>81</v>
      </c>
      <c r="B97" s="16"/>
      <c r="C97" s="24"/>
      <c r="D97" s="24">
        <f>D48</f>
        <v>3433.0357142857142</v>
      </c>
      <c r="E97" s="24">
        <f>E48</f>
        <v>-239.15816326530609</v>
      </c>
      <c r="F97" s="24">
        <f>F48</f>
        <v>4925.6379449101059</v>
      </c>
      <c r="G97" s="24">
        <f>G48</f>
        <v>5523.2452515444947</v>
      </c>
      <c r="H97" s="24">
        <f>H48</f>
        <v>5944.9652129751075</v>
      </c>
      <c r="I97" s="21">
        <f>SUM(D97:H97)</f>
        <v>19587.725960450116</v>
      </c>
      <c r="J97"/>
    </row>
    <row r="98" spans="1:11" ht="30" thickBot="1" x14ac:dyDescent="0.35">
      <c r="A98" s="54" t="s">
        <v>82</v>
      </c>
      <c r="B98" s="16"/>
      <c r="C98" s="24">
        <f>IF(C88&lt;0,C88,0)</f>
        <v>-5000</v>
      </c>
      <c r="D98" s="24">
        <f t="shared" ref="D98:H98" si="47">IF(D88&lt;0,D88,0)</f>
        <v>0</v>
      </c>
      <c r="E98" s="24">
        <f t="shared" si="47"/>
        <v>-239.15816326530609</v>
      </c>
      <c r="F98" s="24">
        <f t="shared" si="47"/>
        <v>0</v>
      </c>
      <c r="G98" s="24">
        <f t="shared" si="47"/>
        <v>0</v>
      </c>
      <c r="H98" s="24">
        <f t="shared" si="47"/>
        <v>0</v>
      </c>
      <c r="I98" s="21">
        <f>C98+D98+E98</f>
        <v>-5239.158163265306</v>
      </c>
      <c r="J98"/>
    </row>
    <row r="99" spans="1:11" ht="45" customHeight="1" thickBot="1" x14ac:dyDescent="0.35">
      <c r="A99" s="18" t="s">
        <v>171</v>
      </c>
      <c r="C99" s="24"/>
      <c r="D99" s="24"/>
      <c r="E99" s="272" t="s">
        <v>85</v>
      </c>
      <c r="F99" s="272"/>
      <c r="G99" s="272"/>
      <c r="H99" s="273"/>
      <c r="I99" s="91">
        <f>1+(I96/-I98)</f>
        <v>3.7843644925119637</v>
      </c>
      <c r="J99"/>
    </row>
    <row r="100" spans="1:11" ht="42" customHeight="1" thickBot="1" x14ac:dyDescent="0.35">
      <c r="A100" s="18" t="s">
        <v>171</v>
      </c>
      <c r="C100" s="270" t="s">
        <v>83</v>
      </c>
      <c r="D100" s="270"/>
      <c r="E100" s="274" t="s">
        <v>86</v>
      </c>
      <c r="F100" s="274"/>
      <c r="G100" s="274"/>
      <c r="H100" s="275"/>
      <c r="I100" s="45">
        <f>1+I96/-C98</f>
        <v>3.9175451920900231</v>
      </c>
    </row>
    <row r="101" spans="1:11" ht="42.6" customHeight="1" x14ac:dyDescent="0.3">
      <c r="A101" s="41" t="s">
        <v>58</v>
      </c>
      <c r="C101" s="271" t="s">
        <v>84</v>
      </c>
      <c r="D101" s="271"/>
      <c r="F101" s="20"/>
      <c r="G101" s="20"/>
      <c r="J101"/>
    </row>
    <row r="102" spans="1:11" ht="18" x14ac:dyDescent="0.3">
      <c r="A102" s="42" t="s">
        <v>63</v>
      </c>
    </row>
    <row r="103" spans="1:11" ht="54.6" thickBot="1" x14ac:dyDescent="0.35">
      <c r="A103" s="47" t="s">
        <v>68</v>
      </c>
      <c r="F103" s="23"/>
      <c r="J103"/>
    </row>
    <row r="104" spans="1:11" ht="36.6" thickBot="1" x14ac:dyDescent="0.35">
      <c r="A104" s="64" t="s">
        <v>73</v>
      </c>
      <c r="B104" s="55" t="s">
        <v>75</v>
      </c>
      <c r="C104" s="61" t="s">
        <v>6</v>
      </c>
      <c r="D104" s="62" t="s">
        <v>1</v>
      </c>
      <c r="E104" s="62" t="s">
        <v>2</v>
      </c>
      <c r="F104" s="62" t="s">
        <v>3</v>
      </c>
      <c r="G104" s="62" t="s">
        <v>4</v>
      </c>
      <c r="H104" s="62" t="s">
        <v>5</v>
      </c>
      <c r="I104" s="63" t="s">
        <v>11</v>
      </c>
      <c r="J104"/>
      <c r="K104"/>
    </row>
    <row r="105" spans="1:11" ht="18.600000000000001" thickBot="1" x14ac:dyDescent="0.35">
      <c r="A105" s="38" t="s">
        <v>50</v>
      </c>
      <c r="B105" s="16">
        <v>0.12</v>
      </c>
      <c r="C105" s="24">
        <f t="shared" ref="C105:H105" si="48">C96</f>
        <v>-5000</v>
      </c>
      <c r="D105" s="24">
        <f t="shared" si="48"/>
        <v>-1566.9642857142858</v>
      </c>
      <c r="E105" s="24">
        <f t="shared" si="48"/>
        <v>-1806.1224489795918</v>
      </c>
      <c r="F105" s="24">
        <f t="shared" si="48"/>
        <v>3119.5154959305141</v>
      </c>
      <c r="G105" s="24">
        <f t="shared" si="48"/>
        <v>8642.7607474750093</v>
      </c>
      <c r="H105" s="24">
        <f t="shared" si="48"/>
        <v>14587.725960450116</v>
      </c>
      <c r="I105" s="66">
        <f>H105</f>
        <v>14587.725960450116</v>
      </c>
      <c r="J105"/>
    </row>
    <row r="106" spans="1:11" ht="18.600000000000001" thickBot="1" x14ac:dyDescent="0.35">
      <c r="A106" s="54" t="s">
        <v>72</v>
      </c>
      <c r="C106" s="24">
        <f t="shared" ref="C106:H106" si="49">C98</f>
        <v>-5000</v>
      </c>
      <c r="D106" s="24">
        <f t="shared" si="49"/>
        <v>0</v>
      </c>
      <c r="E106" s="24">
        <f t="shared" si="49"/>
        <v>-239.15816326530609</v>
      </c>
      <c r="F106" s="24">
        <f t="shared" si="49"/>
        <v>0</v>
      </c>
      <c r="G106" s="24">
        <f t="shared" si="49"/>
        <v>0</v>
      </c>
      <c r="H106" s="24">
        <f t="shared" si="49"/>
        <v>0</v>
      </c>
      <c r="I106" s="21">
        <f>SUM(C106:H106)</f>
        <v>-5239.158163265306</v>
      </c>
      <c r="J106"/>
      <c r="K106" s="60"/>
    </row>
    <row r="107" spans="1:11" ht="18.600000000000001" thickBot="1" x14ac:dyDescent="0.35">
      <c r="A107" s="18" t="s">
        <v>117</v>
      </c>
      <c r="C107" s="24"/>
      <c r="I107" s="92">
        <f>I105/-I106</f>
        <v>2.7843644925119637</v>
      </c>
      <c r="J107"/>
    </row>
    <row r="108" spans="1:11" ht="18" x14ac:dyDescent="0.3">
      <c r="A108" s="42" t="s">
        <v>63</v>
      </c>
    </row>
    <row r="109" spans="1:11" ht="36.6" thickBot="1" x14ac:dyDescent="0.35">
      <c r="A109" s="41" t="s">
        <v>89</v>
      </c>
      <c r="C109" s="24"/>
      <c r="I109" s="71"/>
      <c r="J109"/>
    </row>
    <row r="110" spans="1:11" ht="36.6" thickBot="1" x14ac:dyDescent="0.35">
      <c r="A110" s="64" t="s">
        <v>74</v>
      </c>
      <c r="B110" s="55" t="s">
        <v>75</v>
      </c>
      <c r="C110" s="61" t="s">
        <v>6</v>
      </c>
      <c r="D110" s="62" t="s">
        <v>1</v>
      </c>
      <c r="E110" s="62" t="s">
        <v>2</v>
      </c>
      <c r="F110" s="62" t="s">
        <v>3</v>
      </c>
      <c r="G110" s="62" t="s">
        <v>4</v>
      </c>
      <c r="H110" s="62" t="s">
        <v>5</v>
      </c>
      <c r="I110" s="70" t="s">
        <v>11</v>
      </c>
    </row>
    <row r="111" spans="1:11" ht="18.600000000000001" thickBot="1" x14ac:dyDescent="0.35">
      <c r="A111" s="38" t="s">
        <v>220</v>
      </c>
      <c r="B111" s="16">
        <v>0.12</v>
      </c>
      <c r="C111" s="24"/>
      <c r="D111" s="24">
        <f>D48</f>
        <v>3433.0357142857142</v>
      </c>
      <c r="E111" s="24">
        <f>E48</f>
        <v>-239.15816326530609</v>
      </c>
      <c r="F111" s="24">
        <f>F48</f>
        <v>4925.6379449101059</v>
      </c>
      <c r="G111" s="24">
        <f>G48</f>
        <v>5523.2452515444947</v>
      </c>
      <c r="H111" s="24">
        <f>H48</f>
        <v>5944.9652129751075</v>
      </c>
      <c r="I111" s="66">
        <f>SUM(D111:H111)</f>
        <v>19587.725960450116</v>
      </c>
    </row>
    <row r="112" spans="1:11" ht="16.2" thickBot="1" x14ac:dyDescent="0.35">
      <c r="A112" s="30" t="s">
        <v>76</v>
      </c>
      <c r="D112" s="1">
        <f>D4-1</f>
        <v>1</v>
      </c>
      <c r="E112" s="1">
        <f>E4-1</f>
        <v>2</v>
      </c>
      <c r="F112" s="1">
        <f>F4-1</f>
        <v>3</v>
      </c>
      <c r="G112" s="1">
        <f>G4-1</f>
        <v>4</v>
      </c>
      <c r="H112" s="1">
        <f>H4-1</f>
        <v>5</v>
      </c>
      <c r="J112"/>
    </row>
    <row r="113" spans="1:12" ht="18.600000000000001" thickBot="1" x14ac:dyDescent="0.35">
      <c r="A113" s="30" t="s">
        <v>219</v>
      </c>
      <c r="C113" s="24"/>
      <c r="D113" s="24">
        <f>D111*D112</f>
        <v>3433.0357142857142</v>
      </c>
      <c r="E113" s="24">
        <f t="shared" ref="E113:H113" si="50">E111*E112</f>
        <v>-478.31632653061217</v>
      </c>
      <c r="F113" s="24">
        <f t="shared" si="50"/>
        <v>14776.913834730318</v>
      </c>
      <c r="G113" s="24">
        <f t="shared" si="50"/>
        <v>22092.981006177979</v>
      </c>
      <c r="H113" s="24">
        <f t="shared" si="50"/>
        <v>29724.826064875539</v>
      </c>
      <c r="I113" s="21">
        <f>SUM(D113:H113)</f>
        <v>69549.440293538937</v>
      </c>
      <c r="J113"/>
    </row>
    <row r="114" spans="1:12" ht="46.8" customHeight="1" thickBot="1" x14ac:dyDescent="0.35">
      <c r="A114" s="18" t="s">
        <v>74</v>
      </c>
      <c r="C114" s="270" t="s">
        <v>181</v>
      </c>
      <c r="D114" s="270"/>
      <c r="I114" s="90">
        <f>I113/(I111-C111)</f>
        <v>3.5506643514396363</v>
      </c>
    </row>
    <row r="115" spans="1:12" ht="18" x14ac:dyDescent="0.3">
      <c r="A115" s="42" t="s">
        <v>63</v>
      </c>
    </row>
    <row r="116" spans="1:12" ht="42" customHeight="1" thickBot="1" x14ac:dyDescent="0.35">
      <c r="A116" s="41" t="s">
        <v>90</v>
      </c>
      <c r="C116" s="72"/>
      <c r="D116" s="72"/>
      <c r="I116" s="99"/>
    </row>
    <row r="117" spans="1:12" ht="36.6" thickBot="1" x14ac:dyDescent="0.35">
      <c r="A117" s="64" t="s">
        <v>87</v>
      </c>
      <c r="B117" s="55" t="s">
        <v>75</v>
      </c>
      <c r="C117" s="61" t="s">
        <v>6</v>
      </c>
      <c r="D117" s="62" t="s">
        <v>1</v>
      </c>
      <c r="E117" s="62" t="s">
        <v>2</v>
      </c>
      <c r="F117" s="62" t="s">
        <v>3</v>
      </c>
      <c r="G117" s="62" t="s">
        <v>4</v>
      </c>
      <c r="H117" s="62" t="s">
        <v>5</v>
      </c>
      <c r="I117" s="63" t="s">
        <v>11</v>
      </c>
    </row>
    <row r="118" spans="1:12" ht="18.600000000000001" thickBot="1" x14ac:dyDescent="0.35">
      <c r="A118" s="18" t="s">
        <v>27</v>
      </c>
      <c r="C118" s="80">
        <f t="shared" ref="C118:H118" si="51">C32</f>
        <v>-5000</v>
      </c>
      <c r="D118" s="80">
        <f t="shared" si="51"/>
        <v>3845</v>
      </c>
      <c r="E118" s="80">
        <f t="shared" si="51"/>
        <v>-300</v>
      </c>
      <c r="F118" s="80">
        <f t="shared" si="51"/>
        <v>6920.1666666666679</v>
      </c>
      <c r="G118" s="80">
        <f t="shared" si="51"/>
        <v>8690.9333333333343</v>
      </c>
      <c r="H118" s="80">
        <f t="shared" si="51"/>
        <v>10477.060000000001</v>
      </c>
      <c r="I118" s="66">
        <f>SUM(C118:H118)</f>
        <v>24633.160000000003</v>
      </c>
      <c r="J118" s="67"/>
      <c r="K118" s="67"/>
      <c r="L118" s="95"/>
    </row>
    <row r="119" spans="1:12" ht="15.6" x14ac:dyDescent="0.3">
      <c r="A119" s="30" t="s">
        <v>76</v>
      </c>
      <c r="C119" s="1">
        <f t="shared" ref="C119:H119" si="52">C4-1</f>
        <v>0</v>
      </c>
      <c r="D119" s="1">
        <f t="shared" si="52"/>
        <v>1</v>
      </c>
      <c r="E119" s="1">
        <f t="shared" si="52"/>
        <v>2</v>
      </c>
      <c r="F119" s="1">
        <f t="shared" si="52"/>
        <v>3</v>
      </c>
      <c r="G119" s="1">
        <f t="shared" si="52"/>
        <v>4</v>
      </c>
      <c r="H119" s="1">
        <f t="shared" si="52"/>
        <v>5</v>
      </c>
      <c r="J119" s="67"/>
      <c r="K119" s="67"/>
      <c r="L119" s="60"/>
    </row>
    <row r="120" spans="1:12" ht="15.6" x14ac:dyDescent="0.3">
      <c r="A120" s="38" t="s">
        <v>48</v>
      </c>
      <c r="B120" s="16">
        <v>0.12</v>
      </c>
      <c r="C120" s="20">
        <f>C87</f>
        <v>1</v>
      </c>
      <c r="D120" s="20">
        <f t="shared" ref="D120:H120" si="53">D87</f>
        <v>0.89285714285714279</v>
      </c>
      <c r="E120" s="20">
        <f t="shared" si="53"/>
        <v>0.79719387755102034</v>
      </c>
      <c r="F120" s="20">
        <f t="shared" si="53"/>
        <v>0.71178024781341087</v>
      </c>
      <c r="G120" s="20">
        <f t="shared" si="53"/>
        <v>0.63551807840483121</v>
      </c>
      <c r="H120" s="20">
        <f t="shared" si="53"/>
        <v>0.56742685571859919</v>
      </c>
      <c r="I120" s="67"/>
      <c r="J120" s="67"/>
      <c r="K120" s="85"/>
    </row>
    <row r="121" spans="1:12" ht="16.2" thickBot="1" x14ac:dyDescent="0.35">
      <c r="A121" s="30" t="s">
        <v>138</v>
      </c>
      <c r="B121" s="16">
        <v>0.1</v>
      </c>
      <c r="C121" s="20">
        <f t="shared" ref="C121:H121" si="54">(1+$B$132)^($H$130-C119)</f>
        <v>1.6105100000000006</v>
      </c>
      <c r="D121" s="20">
        <f t="shared" si="54"/>
        <v>1.4641000000000004</v>
      </c>
      <c r="E121" s="20">
        <f t="shared" si="54"/>
        <v>1.3310000000000004</v>
      </c>
      <c r="F121" s="20">
        <f t="shared" si="54"/>
        <v>1.2100000000000002</v>
      </c>
      <c r="G121" s="20">
        <f t="shared" si="54"/>
        <v>1.1000000000000001</v>
      </c>
      <c r="H121" s="20">
        <f t="shared" si="54"/>
        <v>1</v>
      </c>
      <c r="J121" s="67"/>
      <c r="K121" s="67"/>
      <c r="L121" s="85"/>
    </row>
    <row r="122" spans="1:12" ht="18.600000000000001" thickBot="1" x14ac:dyDescent="0.35">
      <c r="A122" s="18" t="s">
        <v>133</v>
      </c>
      <c r="B122" s="16"/>
      <c r="C122" s="24">
        <f>IF(C118&gt;0,C118*C121,0)</f>
        <v>0</v>
      </c>
      <c r="D122" s="24">
        <f>IF(D118&gt;0,D118*D121,0)</f>
        <v>5629.4645000000019</v>
      </c>
      <c r="E122" s="24">
        <f t="shared" ref="E122:H122" si="55">IF(E118&gt;0,E118*E121,0)</f>
        <v>0</v>
      </c>
      <c r="F122" s="24">
        <f t="shared" si="55"/>
        <v>8373.4016666666703</v>
      </c>
      <c r="G122" s="24">
        <f t="shared" si="55"/>
        <v>9560.0266666666685</v>
      </c>
      <c r="H122" s="24">
        <f t="shared" si="55"/>
        <v>10477.060000000001</v>
      </c>
      <c r="I122" s="21">
        <f>SUM(C122:H122)</f>
        <v>34039.952833333344</v>
      </c>
      <c r="J122" s="67"/>
      <c r="L122" s="57"/>
    </row>
    <row r="123" spans="1:12" ht="18.600000000000001" thickBot="1" x14ac:dyDescent="0.35">
      <c r="A123" s="14" t="s">
        <v>143</v>
      </c>
      <c r="C123" s="3">
        <f>IF(C118&lt;0,-C118*C120,0)</f>
        <v>5000</v>
      </c>
      <c r="D123" s="3">
        <f t="shared" ref="D123:H123" si="56">IF(D118&lt;0,-D118*D120,0)</f>
        <v>0</v>
      </c>
      <c r="E123" s="3">
        <f t="shared" si="56"/>
        <v>239.15816326530609</v>
      </c>
      <c r="F123" s="3">
        <f t="shared" si="56"/>
        <v>0</v>
      </c>
      <c r="G123" s="3">
        <f t="shared" si="56"/>
        <v>0</v>
      </c>
      <c r="H123" s="3">
        <f t="shared" si="56"/>
        <v>0</v>
      </c>
      <c r="I123" s="21">
        <f>SUM(C123:H123)</f>
        <v>5239.158163265306</v>
      </c>
      <c r="J123"/>
      <c r="L123" s="57"/>
    </row>
    <row r="124" spans="1:12" ht="18.600000000000001" customHeight="1" thickBot="1" x14ac:dyDescent="0.35">
      <c r="A124" s="30" t="s">
        <v>144</v>
      </c>
      <c r="B124" s="16"/>
      <c r="C124" s="276" t="s">
        <v>436</v>
      </c>
      <c r="D124" s="276"/>
      <c r="E124" s="276"/>
      <c r="F124" s="276"/>
      <c r="G124" s="276"/>
      <c r="H124" s="24"/>
      <c r="I124" s="21">
        <f>I122/(1+B120)^H119</f>
        <v>19315.183405027761</v>
      </c>
      <c r="J124" s="67"/>
      <c r="L124" s="57"/>
    </row>
    <row r="125" spans="1:12" ht="18.600000000000001" thickBot="1" x14ac:dyDescent="0.35">
      <c r="A125" s="18" t="s">
        <v>172</v>
      </c>
      <c r="I125" s="88">
        <f>I124-I123</f>
        <v>14076.025241762454</v>
      </c>
    </row>
    <row r="126" spans="1:12" ht="18" x14ac:dyDescent="0.3">
      <c r="A126" s="42" t="s">
        <v>63</v>
      </c>
    </row>
    <row r="127" spans="1:12" ht="72.599999999999994" thickBot="1" x14ac:dyDescent="0.35">
      <c r="A127" s="41" t="s">
        <v>160</v>
      </c>
    </row>
    <row r="128" spans="1:12" ht="36.6" thickBot="1" x14ac:dyDescent="0.35">
      <c r="A128" s="64" t="s">
        <v>130</v>
      </c>
      <c r="B128" s="55" t="s">
        <v>75</v>
      </c>
      <c r="C128" s="61" t="s">
        <v>6</v>
      </c>
      <c r="D128" s="62" t="s">
        <v>1</v>
      </c>
      <c r="E128" s="62" t="s">
        <v>2</v>
      </c>
      <c r="F128" s="62" t="s">
        <v>3</v>
      </c>
      <c r="G128" s="62" t="s">
        <v>4</v>
      </c>
      <c r="H128" s="62" t="s">
        <v>5</v>
      </c>
      <c r="I128" s="63" t="s">
        <v>11</v>
      </c>
    </row>
    <row r="129" spans="1:12" ht="18.600000000000001" thickBot="1" x14ac:dyDescent="0.35">
      <c r="A129" s="18" t="s">
        <v>27</v>
      </c>
      <c r="C129" s="80">
        <f t="shared" ref="C129:H129" si="57">C86</f>
        <v>-5000</v>
      </c>
      <c r="D129" s="80">
        <f t="shared" si="57"/>
        <v>3845</v>
      </c>
      <c r="E129" s="80">
        <f t="shared" si="57"/>
        <v>-300</v>
      </c>
      <c r="F129" s="80">
        <f t="shared" si="57"/>
        <v>6920.1666666666679</v>
      </c>
      <c r="G129" s="80">
        <f t="shared" si="57"/>
        <v>8690.9333333333343</v>
      </c>
      <c r="H129" s="80">
        <f t="shared" si="57"/>
        <v>10477.060000000001</v>
      </c>
      <c r="I129" s="66">
        <f>SUM(C129:H129)</f>
        <v>24633.160000000003</v>
      </c>
    </row>
    <row r="130" spans="1:12" ht="15.6" x14ac:dyDescent="0.3">
      <c r="A130" s="30" t="s">
        <v>76</v>
      </c>
      <c r="C130" s="1">
        <f t="shared" ref="C130:H130" si="58">C4-1</f>
        <v>0</v>
      </c>
      <c r="D130" s="1">
        <f t="shared" si="58"/>
        <v>1</v>
      </c>
      <c r="E130" s="1">
        <f t="shared" si="58"/>
        <v>2</v>
      </c>
      <c r="F130" s="1">
        <f t="shared" si="58"/>
        <v>3</v>
      </c>
      <c r="G130" s="1">
        <f t="shared" si="58"/>
        <v>4</v>
      </c>
      <c r="H130" s="1">
        <f t="shared" si="58"/>
        <v>5</v>
      </c>
    </row>
    <row r="131" spans="1:12" ht="15.6" x14ac:dyDescent="0.3">
      <c r="A131" s="38" t="s">
        <v>48</v>
      </c>
      <c r="B131" s="16">
        <v>0.12</v>
      </c>
      <c r="C131" s="20">
        <f t="shared" ref="C131:H131" si="59">C87</f>
        <v>1</v>
      </c>
      <c r="D131" s="20">
        <f t="shared" si="59"/>
        <v>0.89285714285714279</v>
      </c>
      <c r="E131" s="20">
        <f t="shared" si="59"/>
        <v>0.79719387755102034</v>
      </c>
      <c r="F131" s="20">
        <f t="shared" si="59"/>
        <v>0.71178024781341087</v>
      </c>
      <c r="G131" s="20">
        <f t="shared" si="59"/>
        <v>0.63551807840483121</v>
      </c>
      <c r="H131" s="20">
        <f t="shared" si="59"/>
        <v>0.56742685571859919</v>
      </c>
      <c r="J131"/>
    </row>
    <row r="132" spans="1:12" ht="16.2" thickBot="1" x14ac:dyDescent="0.35">
      <c r="A132" s="30" t="s">
        <v>138</v>
      </c>
      <c r="B132" s="16">
        <v>0.1</v>
      </c>
      <c r="C132" s="20">
        <f>(1+$B$132)^($H$130-C130)</f>
        <v>1.6105100000000006</v>
      </c>
      <c r="D132" s="20">
        <f>(1+$B$132)^($H$130-D130)</f>
        <v>1.4641000000000004</v>
      </c>
      <c r="E132" s="20">
        <f t="shared" ref="E132:H132" si="60">(1+$B$132)^($H$130-E130)</f>
        <v>1.3310000000000004</v>
      </c>
      <c r="F132" s="20">
        <f t="shared" si="60"/>
        <v>1.2100000000000002</v>
      </c>
      <c r="G132" s="20">
        <f t="shared" si="60"/>
        <v>1.1000000000000001</v>
      </c>
      <c r="H132" s="20">
        <f t="shared" si="60"/>
        <v>1</v>
      </c>
    </row>
    <row r="133" spans="1:12" ht="18.600000000000001" thickBot="1" x14ac:dyDescent="0.35">
      <c r="A133" s="18" t="s">
        <v>133</v>
      </c>
      <c r="C133" s="3">
        <f t="shared" ref="C133:H133" si="61">IF(C129&lt;0,0,C129*C132)</f>
        <v>0</v>
      </c>
      <c r="D133" s="3">
        <f t="shared" si="61"/>
        <v>5629.4645000000019</v>
      </c>
      <c r="E133" s="3">
        <f t="shared" si="61"/>
        <v>0</v>
      </c>
      <c r="F133" s="3">
        <f t="shared" si="61"/>
        <v>8373.4016666666703</v>
      </c>
      <c r="G133" s="3">
        <f t="shared" si="61"/>
        <v>9560.0266666666685</v>
      </c>
      <c r="H133" s="3">
        <f t="shared" si="61"/>
        <v>10477.060000000001</v>
      </c>
      <c r="I133" s="21">
        <f>SUM(C133:H133)</f>
        <v>34039.952833333344</v>
      </c>
    </row>
    <row r="134" spans="1:12" ht="18.600000000000001" thickBot="1" x14ac:dyDescent="0.35">
      <c r="A134" s="14" t="s">
        <v>143</v>
      </c>
      <c r="C134" s="3">
        <f>IF(C129&lt;0,-C129*C131,0)</f>
        <v>5000</v>
      </c>
      <c r="D134" s="3">
        <f t="shared" ref="D134:H134" si="62">IF(D129&lt;0,-D129*D131,0)</f>
        <v>0</v>
      </c>
      <c r="E134" s="3">
        <f t="shared" si="62"/>
        <v>239.15816326530609</v>
      </c>
      <c r="F134" s="3">
        <f t="shared" si="62"/>
        <v>0</v>
      </c>
      <c r="G134" s="3">
        <f t="shared" si="62"/>
        <v>0</v>
      </c>
      <c r="H134" s="3">
        <f t="shared" si="62"/>
        <v>0</v>
      </c>
      <c r="I134" s="21">
        <f>SUM(C134:H134)</f>
        <v>5239.158163265306</v>
      </c>
      <c r="J134"/>
    </row>
    <row r="135" spans="1:12" ht="18.600000000000001" customHeight="1" thickBot="1" x14ac:dyDescent="0.35">
      <c r="A135" s="14" t="s">
        <v>126</v>
      </c>
      <c r="C135" s="276" t="s">
        <v>437</v>
      </c>
      <c r="D135" s="276"/>
      <c r="E135" s="276"/>
      <c r="F135" s="276"/>
      <c r="G135" s="276"/>
      <c r="H135" s="279"/>
      <c r="I135" s="93">
        <f>(I133/I134)^(1/H130)-1</f>
        <v>0.45393666309282543</v>
      </c>
    </row>
    <row r="136" spans="1:12" ht="18.600000000000001" thickBot="1" x14ac:dyDescent="0.35">
      <c r="A136" s="14" t="s">
        <v>126</v>
      </c>
      <c r="C136" s="3"/>
      <c r="D136" s="3"/>
      <c r="E136" s="3"/>
      <c r="F136" s="3"/>
      <c r="G136" s="3"/>
      <c r="H136" s="3"/>
      <c r="I136" s="81">
        <f>MIRR(C129:H129,B131,B132)</f>
        <v>0.45393666309282543</v>
      </c>
      <c r="J136" s="1" t="s">
        <v>430</v>
      </c>
    </row>
    <row r="137" spans="1:12" ht="36.6" thickBot="1" x14ac:dyDescent="0.35">
      <c r="A137" s="18" t="s">
        <v>142</v>
      </c>
      <c r="B137" s="16">
        <v>0.12</v>
      </c>
      <c r="D137" s="3"/>
      <c r="E137" s="3"/>
      <c r="F137" s="3"/>
      <c r="G137" s="3"/>
      <c r="H137" s="3"/>
      <c r="I137" s="93">
        <f>MIRR(C129:H129,B131,B137)</f>
        <v>0.46155988469847808</v>
      </c>
    </row>
    <row r="138" spans="1:12" ht="36" x14ac:dyDescent="0.3">
      <c r="A138" s="98" t="s">
        <v>182</v>
      </c>
    </row>
    <row r="139" spans="1:12" ht="54" x14ac:dyDescent="0.3">
      <c r="A139" s="41" t="s">
        <v>131</v>
      </c>
      <c r="I139" s="83"/>
    </row>
    <row r="140" spans="1:12" ht="36.6" thickBot="1" x14ac:dyDescent="0.35">
      <c r="A140" s="47" t="s">
        <v>132</v>
      </c>
      <c r="I140" s="82"/>
    </row>
    <row r="141" spans="1:12" ht="36.6" thickBot="1" x14ac:dyDescent="0.35">
      <c r="A141" s="64" t="s">
        <v>165</v>
      </c>
      <c r="B141" s="55" t="s">
        <v>75</v>
      </c>
      <c r="C141" s="61" t="s">
        <v>6</v>
      </c>
      <c r="D141" s="62" t="s">
        <v>1</v>
      </c>
      <c r="E141" s="62" t="s">
        <v>2</v>
      </c>
      <c r="F141" s="62" t="s">
        <v>3</v>
      </c>
      <c r="G141" s="62" t="s">
        <v>4</v>
      </c>
      <c r="H141" s="62" t="s">
        <v>5</v>
      </c>
      <c r="I141" s="63" t="s">
        <v>11</v>
      </c>
    </row>
    <row r="142" spans="1:12" ht="18.600000000000001" thickBot="1" x14ac:dyDescent="0.35">
      <c r="A142" s="18" t="s">
        <v>172</v>
      </c>
      <c r="C142" s="80"/>
      <c r="D142" s="80"/>
      <c r="E142" s="80"/>
      <c r="F142" s="80"/>
      <c r="G142" s="80"/>
      <c r="H142" s="80"/>
      <c r="I142" s="66">
        <f>I125</f>
        <v>14076.025241762454</v>
      </c>
      <c r="J142" s="67"/>
      <c r="K142" s="67"/>
      <c r="L142" s="95"/>
    </row>
    <row r="143" spans="1:12" ht="18.600000000000001" thickBot="1" x14ac:dyDescent="0.35">
      <c r="A143" s="14" t="s">
        <v>143</v>
      </c>
      <c r="C143" s="3">
        <f t="shared" ref="C143:H143" si="63">C123</f>
        <v>5000</v>
      </c>
      <c r="D143" s="3">
        <f t="shared" si="63"/>
        <v>0</v>
      </c>
      <c r="E143" s="3">
        <f t="shared" si="63"/>
        <v>239.15816326530609</v>
      </c>
      <c r="F143" s="3">
        <f t="shared" si="63"/>
        <v>0</v>
      </c>
      <c r="G143" s="3">
        <f t="shared" si="63"/>
        <v>0</v>
      </c>
      <c r="H143" s="3">
        <f t="shared" si="63"/>
        <v>0</v>
      </c>
      <c r="I143" s="21">
        <f>SUM(C143:H143)</f>
        <v>5239.158163265306</v>
      </c>
      <c r="J143" s="67"/>
      <c r="L143" s="23"/>
    </row>
    <row r="144" spans="1:12" ht="18.600000000000001" thickBot="1" x14ac:dyDescent="0.35">
      <c r="A144" s="18" t="s">
        <v>173</v>
      </c>
      <c r="C144" s="80"/>
      <c r="D144" s="80"/>
      <c r="E144" s="80"/>
      <c r="F144" s="80"/>
      <c r="G144" s="80"/>
      <c r="H144" s="80"/>
      <c r="I144" s="96">
        <f>100%*I142/I143</f>
        <v>2.6866959925847267</v>
      </c>
      <c r="J144"/>
      <c r="L144" s="23"/>
    </row>
    <row r="145" spans="1:12" ht="18" x14ac:dyDescent="0.3">
      <c r="A145" s="42" t="s">
        <v>63</v>
      </c>
    </row>
    <row r="146" spans="1:12" ht="36.6" thickBot="1" x14ac:dyDescent="0.35">
      <c r="A146" s="41" t="s">
        <v>183</v>
      </c>
      <c r="I146" s="83"/>
    </row>
    <row r="147" spans="1:12" ht="36.6" thickBot="1" x14ac:dyDescent="0.35">
      <c r="A147" s="64" t="s">
        <v>438</v>
      </c>
      <c r="B147" s="55" t="s">
        <v>75</v>
      </c>
      <c r="C147" s="61" t="s">
        <v>6</v>
      </c>
      <c r="D147" s="62" t="s">
        <v>1</v>
      </c>
      <c r="E147" s="62" t="s">
        <v>2</v>
      </c>
      <c r="F147" s="62" t="s">
        <v>3</v>
      </c>
      <c r="G147" s="62" t="s">
        <v>4</v>
      </c>
      <c r="H147" s="62" t="s">
        <v>5</v>
      </c>
      <c r="I147" s="63" t="s">
        <v>11</v>
      </c>
    </row>
    <row r="148" spans="1:12" ht="18.600000000000001" thickBot="1" x14ac:dyDescent="0.35">
      <c r="A148" s="18" t="s">
        <v>27</v>
      </c>
      <c r="C148" s="80">
        <f>C129</f>
        <v>-5000</v>
      </c>
      <c r="D148" s="80">
        <f>-D129</f>
        <v>-3845</v>
      </c>
      <c r="E148" s="80">
        <f t="shared" ref="E148:H148" si="64">E129</f>
        <v>-300</v>
      </c>
      <c r="F148" s="80">
        <f t="shared" si="64"/>
        <v>6920.1666666666679</v>
      </c>
      <c r="G148" s="80">
        <f>-G129</f>
        <v>-8690.9333333333343</v>
      </c>
      <c r="H148" s="80">
        <f t="shared" si="64"/>
        <v>10477.060000000001</v>
      </c>
      <c r="I148" s="66">
        <f>SUM(C148:H148)</f>
        <v>-438.70666666666511</v>
      </c>
      <c r="J148"/>
    </row>
    <row r="149" spans="1:12" ht="15" thickBot="1" x14ac:dyDescent="0.35">
      <c r="A149" s="1" t="s">
        <v>141</v>
      </c>
      <c r="C149" s="84">
        <f>DATE(2016,8,19)</f>
        <v>42601</v>
      </c>
      <c r="D149" s="84">
        <f>DATE(2016,9,21)</f>
        <v>42634</v>
      </c>
      <c r="E149" s="84">
        <f>DATE(2016,9,25)</f>
        <v>42638</v>
      </c>
      <c r="F149" s="84">
        <f>DATE(2016,9,30)</f>
        <v>42643</v>
      </c>
      <c r="G149" s="84">
        <f>DATE(2016,10,7)</f>
        <v>42650</v>
      </c>
      <c r="H149" s="84">
        <f>DATE(2016,10,19)</f>
        <v>42662</v>
      </c>
    </row>
    <row r="150" spans="1:12" ht="36.6" thickBot="1" x14ac:dyDescent="0.35">
      <c r="A150" s="18" t="s">
        <v>174</v>
      </c>
      <c r="I150" s="93">
        <f>XIRR(C148:H148,C149:H149)</f>
        <v>-0.34306609258055698</v>
      </c>
      <c r="J150" s="1" t="s">
        <v>427</v>
      </c>
    </row>
    <row r="151" spans="1:12" ht="36.6" thickBot="1" x14ac:dyDescent="0.35">
      <c r="A151" s="98" t="s">
        <v>184</v>
      </c>
    </row>
    <row r="152" spans="1:12" ht="36.6" thickBot="1" x14ac:dyDescent="0.35">
      <c r="A152" s="64" t="s">
        <v>139</v>
      </c>
      <c r="B152" s="55" t="s">
        <v>75</v>
      </c>
      <c r="C152" s="61" t="s">
        <v>6</v>
      </c>
      <c r="D152" s="62" t="s">
        <v>1</v>
      </c>
      <c r="E152" s="62" t="s">
        <v>2</v>
      </c>
      <c r="F152" s="62" t="s">
        <v>3</v>
      </c>
      <c r="G152" s="62" t="s">
        <v>4</v>
      </c>
      <c r="H152" s="62" t="s">
        <v>5</v>
      </c>
      <c r="I152" s="63" t="s">
        <v>11</v>
      </c>
      <c r="J152" s="67"/>
      <c r="L152" s="23"/>
    </row>
    <row r="153" spans="1:12" ht="18.600000000000001" thickBot="1" x14ac:dyDescent="0.35">
      <c r="A153" s="18" t="s">
        <v>27</v>
      </c>
      <c r="C153" s="80">
        <f>C148</f>
        <v>-5000</v>
      </c>
      <c r="D153" s="80">
        <f t="shared" ref="D153:H153" si="65">D148</f>
        <v>-3845</v>
      </c>
      <c r="E153" s="80">
        <f t="shared" si="65"/>
        <v>-300</v>
      </c>
      <c r="F153" s="80">
        <f t="shared" si="65"/>
        <v>6920.1666666666679</v>
      </c>
      <c r="G153" s="80">
        <f t="shared" si="65"/>
        <v>-8690.9333333333343</v>
      </c>
      <c r="H153" s="80">
        <f t="shared" si="65"/>
        <v>10477.060000000001</v>
      </c>
      <c r="I153" s="66">
        <f>SUM(C153:H153)</f>
        <v>-438.70666666666511</v>
      </c>
      <c r="J153"/>
      <c r="L153" s="23"/>
    </row>
    <row r="154" spans="1:12" ht="18" x14ac:dyDescent="0.3">
      <c r="A154" s="30" t="s">
        <v>141</v>
      </c>
      <c r="C154" s="84">
        <f>DATE(2016,8,19)</f>
        <v>42601</v>
      </c>
      <c r="D154" s="84">
        <f>DATE(2016,9,21)</f>
        <v>42634</v>
      </c>
      <c r="E154" s="84">
        <f>DATE(2016,9,25)</f>
        <v>42638</v>
      </c>
      <c r="F154" s="84">
        <f>DATE(2016,9,30)</f>
        <v>42643</v>
      </c>
      <c r="G154" s="84">
        <f>DATE(2016,10,7)</f>
        <v>42650</v>
      </c>
      <c r="H154" s="84">
        <f>DATE(2016,10,19)</f>
        <v>42662</v>
      </c>
      <c r="I154" s="27"/>
      <c r="J154" s="67"/>
      <c r="L154" s="23"/>
    </row>
    <row r="155" spans="1:12" ht="16.2" thickBot="1" x14ac:dyDescent="0.35">
      <c r="A155" s="30" t="s">
        <v>34</v>
      </c>
      <c r="B155" s="16">
        <v>0.12</v>
      </c>
    </row>
    <row r="156" spans="1:12" ht="36.6" thickBot="1" x14ac:dyDescent="0.35">
      <c r="A156" s="18" t="s">
        <v>175</v>
      </c>
      <c r="E156" s="80"/>
      <c r="F156" s="80"/>
      <c r="G156" s="80"/>
      <c r="H156" s="80"/>
      <c r="I156" s="97">
        <f>XNPV(B155,C153:H153,C154:H154)</f>
        <v>-551.08534282105575</v>
      </c>
      <c r="J156" s="1" t="s">
        <v>428</v>
      </c>
      <c r="L156" s="23"/>
    </row>
    <row r="157" spans="1:12" ht="36.6" thickBot="1" x14ac:dyDescent="0.35">
      <c r="A157" s="98" t="s">
        <v>185</v>
      </c>
    </row>
    <row r="158" spans="1:12" ht="36.6" thickBot="1" x14ac:dyDescent="0.35">
      <c r="A158" s="64" t="s">
        <v>177</v>
      </c>
      <c r="B158" s="55" t="s">
        <v>75</v>
      </c>
      <c r="C158" s="61" t="s">
        <v>6</v>
      </c>
      <c r="D158" s="62" t="s">
        <v>1</v>
      </c>
      <c r="E158" s="62" t="s">
        <v>2</v>
      </c>
      <c r="F158" s="62" t="s">
        <v>3</v>
      </c>
      <c r="G158" s="62" t="s">
        <v>4</v>
      </c>
      <c r="H158" s="62" t="s">
        <v>5</v>
      </c>
      <c r="I158" s="63" t="s">
        <v>11</v>
      </c>
      <c r="L158" s="23"/>
    </row>
    <row r="159" spans="1:12" ht="18.600000000000001" thickBot="1" x14ac:dyDescent="0.35">
      <c r="A159" s="18" t="s">
        <v>27</v>
      </c>
      <c r="C159" s="80">
        <f t="shared" ref="C159:H159" si="66">C32</f>
        <v>-5000</v>
      </c>
      <c r="D159" s="80">
        <f t="shared" si="66"/>
        <v>3845</v>
      </c>
      <c r="E159" s="80">
        <f t="shared" si="66"/>
        <v>-300</v>
      </c>
      <c r="F159" s="80">
        <f t="shared" si="66"/>
        <v>6920.1666666666679</v>
      </c>
      <c r="G159" s="80">
        <f t="shared" si="66"/>
        <v>8690.9333333333343</v>
      </c>
      <c r="H159" s="80">
        <f t="shared" si="66"/>
        <v>10477.060000000001</v>
      </c>
      <c r="I159" s="66">
        <f>SUM(C159:H159)</f>
        <v>24633.160000000003</v>
      </c>
      <c r="L159" s="23"/>
    </row>
    <row r="160" spans="1:12" ht="18" x14ac:dyDescent="0.3">
      <c r="A160" s="30" t="s">
        <v>214</v>
      </c>
      <c r="B160" s="16">
        <v>0.12</v>
      </c>
      <c r="C160" s="23">
        <f>1</f>
        <v>1</v>
      </c>
      <c r="D160" s="23">
        <f>(1+$B$59)^(D4-1)</f>
        <v>1.1200000000000001</v>
      </c>
      <c r="E160" s="23">
        <f>(1+$B$59)^(E4-1)</f>
        <v>1.2544000000000002</v>
      </c>
      <c r="F160" s="23">
        <f>(1+$B$59)^(F4-1)</f>
        <v>1.4049280000000004</v>
      </c>
      <c r="G160" s="23">
        <f>(1+$B$59)^(G4-1)</f>
        <v>1.5735193600000004</v>
      </c>
      <c r="H160" s="23">
        <f>(1+$B$59)^(H4-1)</f>
        <v>1.7623416832000005</v>
      </c>
      <c r="I160" s="27"/>
      <c r="J160"/>
      <c r="L160" s="23"/>
    </row>
    <row r="161" spans="1:12" ht="18.600000000000001" thickBot="1" x14ac:dyDescent="0.35">
      <c r="A161" s="38" t="s">
        <v>50</v>
      </c>
      <c r="B161" s="16"/>
      <c r="C161" s="80">
        <f t="shared" ref="C161:H161" si="67">C105</f>
        <v>-5000</v>
      </c>
      <c r="D161" s="80">
        <f t="shared" si="67"/>
        <v>-1566.9642857142858</v>
      </c>
      <c r="E161" s="80">
        <f t="shared" si="67"/>
        <v>-1806.1224489795918</v>
      </c>
      <c r="F161" s="80">
        <f t="shared" si="67"/>
        <v>3119.5154959305141</v>
      </c>
      <c r="G161" s="80">
        <f t="shared" si="67"/>
        <v>8642.7607474750093</v>
      </c>
      <c r="H161" s="80">
        <f t="shared" si="67"/>
        <v>14587.725960450116</v>
      </c>
      <c r="I161" s="27"/>
      <c r="L161" s="23"/>
    </row>
    <row r="162" spans="1:12" ht="18.600000000000001" thickBot="1" x14ac:dyDescent="0.35">
      <c r="A162" s="18" t="s">
        <v>178</v>
      </c>
      <c r="C162" s="80">
        <f>C160*C159</f>
        <v>-5000</v>
      </c>
      <c r="D162" s="80">
        <f t="shared" ref="D162:H162" si="68">D160*D159</f>
        <v>4306.4000000000005</v>
      </c>
      <c r="E162" s="80">
        <f t="shared" si="68"/>
        <v>-376.32000000000005</v>
      </c>
      <c r="F162" s="80">
        <f t="shared" si="68"/>
        <v>9722.3359146666717</v>
      </c>
      <c r="G162" s="80">
        <f t="shared" si="68"/>
        <v>13675.351856469339</v>
      </c>
      <c r="H162" s="80">
        <f t="shared" si="68"/>
        <v>18464.159555387399</v>
      </c>
      <c r="I162" s="88">
        <f>SUM(C162:H162)</f>
        <v>40791.927326523408</v>
      </c>
      <c r="J162"/>
      <c r="L162" s="23"/>
    </row>
    <row r="163" spans="1:12" ht="46.8" customHeight="1" x14ac:dyDescent="0.3">
      <c r="A163" s="42" t="s">
        <v>63</v>
      </c>
      <c r="C163" s="270" t="s">
        <v>181</v>
      </c>
      <c r="D163" s="270"/>
      <c r="I163" s="120" t="s">
        <v>213</v>
      </c>
      <c r="J163" s="121"/>
    </row>
    <row r="164" spans="1:12" ht="18.600000000000001" thickBot="1" x14ac:dyDescent="0.35">
      <c r="A164" s="41" t="s">
        <v>186</v>
      </c>
      <c r="I164" s="83"/>
    </row>
    <row r="165" spans="1:12" ht="36.6" thickBot="1" x14ac:dyDescent="0.35">
      <c r="A165" s="64" t="s">
        <v>195</v>
      </c>
      <c r="B165" s="55" t="s">
        <v>75</v>
      </c>
      <c r="C165" s="61" t="s">
        <v>6</v>
      </c>
      <c r="D165" s="62" t="s">
        <v>1</v>
      </c>
      <c r="E165" s="62" t="s">
        <v>2</v>
      </c>
      <c r="F165" s="62" t="s">
        <v>3</v>
      </c>
      <c r="G165" s="62" t="s">
        <v>4</v>
      </c>
      <c r="H165" s="62" t="s">
        <v>5</v>
      </c>
      <c r="I165" s="63" t="s">
        <v>11</v>
      </c>
      <c r="L165" s="23"/>
    </row>
    <row r="166" spans="1:12" ht="18.600000000000001" thickBot="1" x14ac:dyDescent="0.35">
      <c r="A166" s="18" t="s">
        <v>27</v>
      </c>
      <c r="C166" s="80">
        <f>C159</f>
        <v>-5000</v>
      </c>
      <c r="D166" s="80">
        <f t="shared" ref="D166:H166" si="69">D159</f>
        <v>3845</v>
      </c>
      <c r="E166" s="80">
        <f t="shared" si="69"/>
        <v>-300</v>
      </c>
      <c r="F166" s="80">
        <f t="shared" si="69"/>
        <v>6920.1666666666679</v>
      </c>
      <c r="G166" s="80">
        <f t="shared" si="69"/>
        <v>8690.9333333333343</v>
      </c>
      <c r="H166" s="80">
        <f t="shared" si="69"/>
        <v>10477.060000000001</v>
      </c>
      <c r="I166" s="66">
        <f>SUM(C166:H166)</f>
        <v>24633.160000000003</v>
      </c>
      <c r="L166" s="23"/>
    </row>
    <row r="167" spans="1:12" ht="18.600000000000001" thickBot="1" x14ac:dyDescent="0.35">
      <c r="A167" s="30" t="s">
        <v>420</v>
      </c>
      <c r="B167" s="16">
        <v>0.12</v>
      </c>
      <c r="C167" s="23">
        <f>1</f>
        <v>1</v>
      </c>
      <c r="D167" s="23">
        <f>(1+$B$59)^(D4-1)</f>
        <v>1.1200000000000001</v>
      </c>
      <c r="E167" s="23">
        <f>(1+$B$59)^(E4-1)</f>
        <v>1.2544000000000002</v>
      </c>
      <c r="F167" s="23">
        <f>(1+$B$59)^(F4-1)</f>
        <v>1.4049280000000004</v>
      </c>
      <c r="G167" s="23">
        <f>(1+$B$59)^(G4-1)</f>
        <v>1.5735193600000004</v>
      </c>
      <c r="H167" s="23">
        <f>(1+$B$59)^(H4-1)</f>
        <v>1.7623416832000005</v>
      </c>
      <c r="I167" s="21"/>
      <c r="J167"/>
      <c r="L167" s="23"/>
    </row>
    <row r="168" spans="1:12" ht="18.600000000000001" thickBot="1" x14ac:dyDescent="0.35">
      <c r="A168" s="38" t="s">
        <v>48</v>
      </c>
      <c r="B168" s="16">
        <v>0.12</v>
      </c>
      <c r="C168" s="23">
        <f>1/C167</f>
        <v>1</v>
      </c>
      <c r="D168" s="114">
        <f t="shared" ref="D168:H168" si="70">1/D167</f>
        <v>0.89285714285714279</v>
      </c>
      <c r="E168" s="114">
        <f t="shared" si="70"/>
        <v>0.79719387755102034</v>
      </c>
      <c r="F168" s="114">
        <f t="shared" si="70"/>
        <v>0.71178024781341087</v>
      </c>
      <c r="G168" s="114">
        <f t="shared" si="70"/>
        <v>0.63551807840483121</v>
      </c>
      <c r="H168" s="114">
        <f t="shared" si="70"/>
        <v>0.56742685571859919</v>
      </c>
      <c r="I168" s="21">
        <f>SUM(D168:H168)</f>
        <v>3.6047762023450045</v>
      </c>
      <c r="J168" s="251" t="s">
        <v>435</v>
      </c>
      <c r="K168" s="39"/>
      <c r="L168" s="114"/>
    </row>
    <row r="169" spans="1:12" ht="18.600000000000001" thickBot="1" x14ac:dyDescent="0.35">
      <c r="A169" s="56" t="s">
        <v>39</v>
      </c>
      <c r="B169" s="16"/>
      <c r="C169" s="80"/>
      <c r="D169" s="80"/>
      <c r="E169" s="80"/>
      <c r="F169" s="80"/>
      <c r="G169" s="80"/>
      <c r="H169" s="80"/>
      <c r="I169" s="21">
        <f>H161</f>
        <v>14587.725960450116</v>
      </c>
      <c r="L169" s="23"/>
    </row>
    <row r="170" spans="1:12" ht="18.600000000000001" thickBot="1" x14ac:dyDescent="0.35">
      <c r="A170" s="18" t="s">
        <v>197</v>
      </c>
      <c r="C170" s="80"/>
      <c r="D170" s="80">
        <f>$I$170</f>
        <v>4046.7771483179472</v>
      </c>
      <c r="E170" s="80">
        <f t="shared" ref="E170:H170" si="71">$I$170</f>
        <v>4046.7771483179472</v>
      </c>
      <c r="F170" s="80">
        <f t="shared" si="71"/>
        <v>4046.7771483179472</v>
      </c>
      <c r="G170" s="80">
        <f t="shared" si="71"/>
        <v>4046.7771483179472</v>
      </c>
      <c r="H170" s="80">
        <f t="shared" si="71"/>
        <v>4046.7771483179472</v>
      </c>
      <c r="I170" s="88">
        <f>I169/I168</f>
        <v>4046.7771483179472</v>
      </c>
      <c r="L170" s="23"/>
    </row>
    <row r="171" spans="1:12" ht="18.600000000000001" thickBot="1" x14ac:dyDescent="0.35">
      <c r="A171" s="101" t="s">
        <v>421</v>
      </c>
      <c r="C171" s="80"/>
      <c r="D171" s="20">
        <f>D170*D168</f>
        <v>3613.1938824267381</v>
      </c>
      <c r="E171" s="20">
        <f t="shared" ref="E171:H171" si="72">E170*E168</f>
        <v>3226.0659664524451</v>
      </c>
      <c r="F171" s="20">
        <f t="shared" si="72"/>
        <v>2880.4160414753965</v>
      </c>
      <c r="G171" s="20">
        <f t="shared" si="72"/>
        <v>2571.8000370316045</v>
      </c>
      <c r="H171" s="20">
        <f t="shared" si="72"/>
        <v>2296.2500330639323</v>
      </c>
      <c r="I171" s="21">
        <f>SUM(D171:H171)</f>
        <v>14587.725960450116</v>
      </c>
      <c r="L171" s="23"/>
    </row>
    <row r="172" spans="1:12" ht="54.6" thickBot="1" x14ac:dyDescent="0.35">
      <c r="A172" s="98" t="s">
        <v>202</v>
      </c>
      <c r="I172" s="88">
        <f>-PMT(B167,5,I169,,0)</f>
        <v>4046.7771483179472</v>
      </c>
      <c r="J172" s="1" t="s">
        <v>429</v>
      </c>
    </row>
    <row r="173" spans="1:12" ht="36" x14ac:dyDescent="0.3">
      <c r="A173" s="41" t="s">
        <v>196</v>
      </c>
      <c r="D173" s="23"/>
      <c r="F173"/>
      <c r="I173" s="83"/>
    </row>
    <row r="174" spans="1:12" ht="54" x14ac:dyDescent="0.3">
      <c r="A174" s="47" t="s">
        <v>199</v>
      </c>
      <c r="I174" s="82"/>
    </row>
    <row r="175" spans="1:12" s="67" customFormat="1" x14ac:dyDescent="0.3">
      <c r="A175" s="145"/>
      <c r="I175" s="146"/>
    </row>
    <row r="176" spans="1:12" ht="31.8" thickBot="1" x14ac:dyDescent="0.35">
      <c r="A176" s="120" t="s">
        <v>212</v>
      </c>
      <c r="B176" s="121"/>
    </row>
    <row r="177" spans="1:9" ht="36.6" thickBot="1" x14ac:dyDescent="0.35">
      <c r="A177" s="64" t="s">
        <v>74</v>
      </c>
      <c r="B177" s="55" t="s">
        <v>75</v>
      </c>
      <c r="C177" s="61" t="s">
        <v>6</v>
      </c>
      <c r="D177" s="62" t="s">
        <v>1</v>
      </c>
      <c r="E177" s="62" t="s">
        <v>2</v>
      </c>
      <c r="F177" s="62" t="s">
        <v>3</v>
      </c>
      <c r="G177" s="62" t="s">
        <v>4</v>
      </c>
      <c r="H177" s="62" t="s">
        <v>5</v>
      </c>
      <c r="I177" s="70" t="s">
        <v>11</v>
      </c>
    </row>
    <row r="178" spans="1:9" ht="18.600000000000001" thickBot="1" x14ac:dyDescent="0.35">
      <c r="A178" s="18" t="s">
        <v>27</v>
      </c>
      <c r="B178" s="16">
        <v>0.12</v>
      </c>
      <c r="C178" s="24">
        <v>-500</v>
      </c>
      <c r="D178" s="24">
        <v>100</v>
      </c>
      <c r="E178" s="24">
        <v>200</v>
      </c>
      <c r="F178" s="24">
        <v>300</v>
      </c>
      <c r="G178" s="24">
        <v>400</v>
      </c>
      <c r="H178" s="24">
        <v>500</v>
      </c>
      <c r="I178" s="66">
        <f>SUM(D178:H178)</f>
        <v>1500</v>
      </c>
    </row>
    <row r="179" spans="1:9" ht="16.2" thickBot="1" x14ac:dyDescent="0.35">
      <c r="A179" s="30" t="s">
        <v>76</v>
      </c>
      <c r="D179" s="1">
        <f>D4-1</f>
        <v>1</v>
      </c>
      <c r="E179" s="1">
        <f>E4-1</f>
        <v>2</v>
      </c>
      <c r="F179" s="1">
        <f>F4-1</f>
        <v>3</v>
      </c>
      <c r="G179" s="1">
        <f>G4-1</f>
        <v>4</v>
      </c>
      <c r="H179" s="1">
        <f>H4-1</f>
        <v>5</v>
      </c>
    </row>
    <row r="180" spans="1:9" ht="18.600000000000001" thickBot="1" x14ac:dyDescent="0.35">
      <c r="A180" s="30" t="s">
        <v>219</v>
      </c>
      <c r="C180" s="24">
        <f>C178*D179</f>
        <v>-500</v>
      </c>
      <c r="D180" s="24">
        <f>D179*D181</f>
        <v>89.285714285714278</v>
      </c>
      <c r="E180" s="24">
        <f t="shared" ref="E180:H180" si="73">E179*E181</f>
        <v>318.87755102040813</v>
      </c>
      <c r="F180" s="24">
        <f t="shared" si="73"/>
        <v>640.60222303206979</v>
      </c>
      <c r="G180" s="24">
        <f t="shared" si="73"/>
        <v>1016.8289254477298</v>
      </c>
      <c r="H180" s="24">
        <f t="shared" si="73"/>
        <v>1418.567139296498</v>
      </c>
      <c r="I180" s="21">
        <f>SUM(D180:H180)</f>
        <v>3484.1615530824201</v>
      </c>
    </row>
    <row r="181" spans="1:9" ht="18.600000000000001" thickBot="1" x14ac:dyDescent="0.35">
      <c r="A181" s="38" t="s">
        <v>220</v>
      </c>
      <c r="B181" s="16">
        <v>0.12</v>
      </c>
      <c r="C181" s="24"/>
      <c r="D181" s="24">
        <f>D178/((1+$B$181)^D179)</f>
        <v>89.285714285714278</v>
      </c>
      <c r="E181" s="24">
        <f t="shared" ref="E181:H181" si="74">E178/((1+$B$181)^E179)</f>
        <v>159.43877551020407</v>
      </c>
      <c r="F181" s="24">
        <f t="shared" si="74"/>
        <v>213.53407434402325</v>
      </c>
      <c r="G181" s="24">
        <f t="shared" si="74"/>
        <v>254.20723136193246</v>
      </c>
      <c r="H181" s="24">
        <f t="shared" si="74"/>
        <v>283.7134278592996</v>
      </c>
      <c r="I181" s="66">
        <f>SUM(D181:H181)</f>
        <v>1000.1792233611736</v>
      </c>
    </row>
    <row r="182" spans="1:9" ht="18.600000000000001" thickBot="1" x14ac:dyDescent="0.35">
      <c r="A182" s="18" t="s">
        <v>74</v>
      </c>
      <c r="I182" s="88">
        <f>I180/I181</f>
        <v>3.4835372218327501</v>
      </c>
    </row>
    <row r="183" spans="1:9" ht="36.6" thickBot="1" x14ac:dyDescent="0.35">
      <c r="A183" s="64" t="s">
        <v>177</v>
      </c>
      <c r="B183" s="55" t="s">
        <v>75</v>
      </c>
      <c r="C183" s="61" t="s">
        <v>6</v>
      </c>
      <c r="D183" s="62" t="s">
        <v>1</v>
      </c>
      <c r="E183" s="62" t="s">
        <v>2</v>
      </c>
      <c r="F183" s="62" t="s">
        <v>3</v>
      </c>
      <c r="G183" s="62" t="s">
        <v>4</v>
      </c>
      <c r="H183" s="62" t="s">
        <v>5</v>
      </c>
      <c r="I183" s="63" t="s">
        <v>11</v>
      </c>
    </row>
    <row r="184" spans="1:9" ht="18.600000000000001" thickBot="1" x14ac:dyDescent="0.35">
      <c r="A184" s="18" t="s">
        <v>27</v>
      </c>
      <c r="C184" s="80">
        <f>C178</f>
        <v>-500</v>
      </c>
      <c r="D184" s="80">
        <f t="shared" ref="D184:H184" si="75">D178</f>
        <v>100</v>
      </c>
      <c r="E184" s="80">
        <f t="shared" si="75"/>
        <v>200</v>
      </c>
      <c r="F184" s="80">
        <f t="shared" si="75"/>
        <v>300</v>
      </c>
      <c r="G184" s="80">
        <f t="shared" si="75"/>
        <v>400</v>
      </c>
      <c r="H184" s="80">
        <f t="shared" si="75"/>
        <v>500</v>
      </c>
      <c r="I184" s="66">
        <f>SUM(C184:H184)</f>
        <v>1000</v>
      </c>
    </row>
    <row r="185" spans="1:9" ht="18.600000000000001" thickBot="1" x14ac:dyDescent="0.35">
      <c r="A185" s="56" t="s">
        <v>216</v>
      </c>
      <c r="B185" s="16"/>
      <c r="C185" s="80"/>
      <c r="D185" s="24">
        <f>D181</f>
        <v>89.285714285714278</v>
      </c>
      <c r="E185" s="24">
        <f t="shared" ref="E185:H185" si="76">E181</f>
        <v>159.43877551020407</v>
      </c>
      <c r="F185" s="24">
        <f t="shared" si="76"/>
        <v>213.53407434402325</v>
      </c>
      <c r="G185" s="24">
        <f t="shared" si="76"/>
        <v>254.20723136193246</v>
      </c>
      <c r="H185" s="24">
        <f t="shared" si="76"/>
        <v>283.7134278592996</v>
      </c>
      <c r="I185" s="21">
        <f>NPV(B187,D184:H184)</f>
        <v>1000.1792233611737</v>
      </c>
    </row>
    <row r="186" spans="1:9" ht="15.6" x14ac:dyDescent="0.3">
      <c r="A186" s="30" t="s">
        <v>76</v>
      </c>
      <c r="D186" s="1">
        <f>D4-1</f>
        <v>1</v>
      </c>
      <c r="E186" s="1">
        <f>E4-1</f>
        <v>2</v>
      </c>
      <c r="F186" s="1">
        <f>F4-1</f>
        <v>3</v>
      </c>
      <c r="G186" s="1">
        <f>G4-1</f>
        <v>4</v>
      </c>
      <c r="H186" s="1">
        <f>H4-1</f>
        <v>5</v>
      </c>
      <c r="I186" s="1">
        <f>H186</f>
        <v>5</v>
      </c>
    </row>
    <row r="187" spans="1:9" ht="16.2" thickBot="1" x14ac:dyDescent="0.35">
      <c r="A187" s="30" t="s">
        <v>214</v>
      </c>
      <c r="B187" s="16">
        <v>0.12</v>
      </c>
      <c r="C187" s="23">
        <f t="shared" ref="C187:H187" si="77">C167</f>
        <v>1</v>
      </c>
      <c r="D187" s="23">
        <f t="shared" si="77"/>
        <v>1.1200000000000001</v>
      </c>
      <c r="E187" s="23">
        <f t="shared" si="77"/>
        <v>1.2544000000000002</v>
      </c>
      <c r="F187" s="23">
        <f t="shared" si="77"/>
        <v>1.4049280000000004</v>
      </c>
      <c r="G187" s="23">
        <f t="shared" si="77"/>
        <v>1.5735193600000004</v>
      </c>
      <c r="H187" s="23">
        <f t="shared" si="77"/>
        <v>1.7623416832000005</v>
      </c>
    </row>
    <row r="188" spans="1:9" ht="18.600000000000001" thickBot="1" x14ac:dyDescent="0.35">
      <c r="A188" s="18" t="s">
        <v>178</v>
      </c>
      <c r="D188" s="1">
        <f>D184*(1+$B$187)^($I$186-D186)</f>
        <v>157.35193600000002</v>
      </c>
      <c r="E188" s="1">
        <f t="shared" ref="E188:H188" si="78">E184*(1+$B$187)^($I$186-E186)</f>
        <v>280.98560000000009</v>
      </c>
      <c r="F188" s="1">
        <f t="shared" si="78"/>
        <v>376.32000000000005</v>
      </c>
      <c r="G188" s="1">
        <f t="shared" si="78"/>
        <v>448.00000000000006</v>
      </c>
      <c r="H188" s="1">
        <f t="shared" si="78"/>
        <v>500</v>
      </c>
      <c r="I188" s="88">
        <f>SUM(D188:H188)</f>
        <v>1762.6575360000002</v>
      </c>
    </row>
    <row r="189" spans="1:9" ht="18.600000000000001" customHeight="1" thickBot="1" x14ac:dyDescent="0.35">
      <c r="A189" s="18" t="s">
        <v>215</v>
      </c>
      <c r="C189" s="88">
        <f>I185*(1+B187)^I186</f>
        <v>1762.6575360000002</v>
      </c>
      <c r="D189" s="276" t="s">
        <v>439</v>
      </c>
      <c r="E189" s="276"/>
      <c r="F189" s="276"/>
      <c r="G189" s="276"/>
    </row>
  </sheetData>
  <mergeCells count="11">
    <mergeCell ref="D189:G189"/>
    <mergeCell ref="C163:D163"/>
    <mergeCell ref="C124:G124"/>
    <mergeCell ref="C114:D114"/>
    <mergeCell ref="C67:H67"/>
    <mergeCell ref="C135:H135"/>
    <mergeCell ref="C43:H43"/>
    <mergeCell ref="C100:D100"/>
    <mergeCell ref="C101:D101"/>
    <mergeCell ref="E99:H99"/>
    <mergeCell ref="E100:H100"/>
  </mergeCells>
  <hyperlinks>
    <hyperlink ref="F1" r:id="rId1"/>
    <hyperlink ref="F2"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topLeftCell="A94" workbookViewId="0">
      <selection activeCell="D23" sqref="D23:H23"/>
    </sheetView>
  </sheetViews>
  <sheetFormatPr defaultRowHeight="14.4" x14ac:dyDescent="0.3"/>
  <cols>
    <col min="1" max="1" width="51.5546875" style="1" customWidth="1"/>
    <col min="2" max="2" width="8.5546875" style="1" customWidth="1"/>
    <col min="3" max="8" width="12.77734375" style="1" customWidth="1"/>
    <col min="9" max="9" width="17.109375" style="1" customWidth="1"/>
    <col min="10" max="16384" width="8.88671875" style="1"/>
  </cols>
  <sheetData>
    <row r="1" spans="1:10" ht="28.8" x14ac:dyDescent="0.3">
      <c r="A1" s="230" t="s">
        <v>246</v>
      </c>
      <c r="C1" s="6"/>
      <c r="E1" s="46"/>
    </row>
    <row r="2" spans="1:10" ht="18.600000000000001" thickBot="1" x14ac:dyDescent="0.35">
      <c r="A2" s="12" t="s">
        <v>402</v>
      </c>
      <c r="C2" s="6"/>
      <c r="E2" s="46"/>
    </row>
    <row r="3" spans="1:10" ht="47.4" thickBot="1" x14ac:dyDescent="0.35">
      <c r="A3" s="33" t="s">
        <v>206</v>
      </c>
      <c r="B3" s="55" t="s">
        <v>75</v>
      </c>
      <c r="C3" s="61" t="s">
        <v>6</v>
      </c>
      <c r="D3" s="62" t="s">
        <v>1</v>
      </c>
      <c r="E3" s="62" t="s">
        <v>2</v>
      </c>
      <c r="F3" s="62" t="s">
        <v>3</v>
      </c>
      <c r="G3" s="62" t="s">
        <v>4</v>
      </c>
      <c r="H3" s="62" t="s">
        <v>5</v>
      </c>
      <c r="I3" s="63" t="s">
        <v>11</v>
      </c>
    </row>
    <row r="4" spans="1:10" ht="18" x14ac:dyDescent="0.3">
      <c r="A4" s="22" t="s">
        <v>33</v>
      </c>
      <c r="B4" s="12"/>
      <c r="C4" s="2">
        <v>1</v>
      </c>
      <c r="D4" s="2">
        <v>2</v>
      </c>
      <c r="E4" s="2">
        <v>3</v>
      </c>
      <c r="F4" s="2">
        <v>4</v>
      </c>
      <c r="G4" s="2">
        <v>5</v>
      </c>
      <c r="H4" s="2">
        <v>6</v>
      </c>
      <c r="I4" s="8">
        <v>6</v>
      </c>
    </row>
    <row r="5" spans="1:10" ht="16.2" thickBot="1" x14ac:dyDescent="0.35">
      <c r="A5" s="1" t="s">
        <v>7</v>
      </c>
      <c r="C5" s="7">
        <v>5000</v>
      </c>
      <c r="D5" s="7">
        <v>2000</v>
      </c>
      <c r="E5" s="7">
        <v>5000</v>
      </c>
      <c r="F5" s="7"/>
      <c r="G5" s="7"/>
      <c r="H5" s="7"/>
      <c r="I5" s="8">
        <f>SUM(C5:H5)</f>
        <v>12000</v>
      </c>
    </row>
    <row r="6" spans="1:10" ht="16.2" thickBot="1" x14ac:dyDescent="0.35">
      <c r="A6" s="1" t="s">
        <v>80</v>
      </c>
      <c r="C6" s="7">
        <f>-C5</f>
        <v>-5000</v>
      </c>
      <c r="D6" s="7">
        <f>-D5</f>
        <v>-2000</v>
      </c>
      <c r="E6" s="7">
        <f t="shared" ref="E6:H6" si="0">-E5</f>
        <v>-5000</v>
      </c>
      <c r="F6" s="7">
        <f t="shared" si="0"/>
        <v>0</v>
      </c>
      <c r="G6" s="7">
        <f t="shared" si="0"/>
        <v>0</v>
      </c>
      <c r="H6" s="7">
        <f t="shared" si="0"/>
        <v>0</v>
      </c>
      <c r="I6" s="51">
        <f>SUM(C6:H6)</f>
        <v>-12000</v>
      </c>
    </row>
    <row r="7" spans="1:10" ht="15.6" x14ac:dyDescent="0.3">
      <c r="A7" s="1" t="s">
        <v>79</v>
      </c>
      <c r="C7" s="7"/>
      <c r="D7" s="7">
        <f>'Adj Cash Flow'!D7</f>
        <v>75</v>
      </c>
      <c r="E7" s="7">
        <f>'Adj Cash Flow'!E7</f>
        <v>30</v>
      </c>
      <c r="F7" s="7">
        <f>'Adj Cash Flow'!F7</f>
        <v>125</v>
      </c>
      <c r="G7" s="7">
        <f>'Adj Cash Flow'!G7</f>
        <v>150</v>
      </c>
      <c r="H7" s="7">
        <f>'Adj Cash Flow'!H7</f>
        <v>175</v>
      </c>
      <c r="I7" s="8">
        <f t="shared" ref="I7" si="1">SUM(D7:H7)</f>
        <v>555</v>
      </c>
    </row>
    <row r="8" spans="1:10" s="6" customFormat="1" ht="15.6" x14ac:dyDescent="0.3">
      <c r="A8" s="104" t="s">
        <v>203</v>
      </c>
      <c r="B8" s="104"/>
      <c r="C8" s="105"/>
      <c r="D8" s="106">
        <v>0.06</v>
      </c>
      <c r="E8" s="106">
        <v>0.05</v>
      </c>
      <c r="F8" s="106">
        <v>4.4999999999999998E-2</v>
      </c>
      <c r="G8" s="106">
        <v>0.04</v>
      </c>
      <c r="H8" s="106">
        <v>0.04</v>
      </c>
      <c r="I8" s="107"/>
    </row>
    <row r="9" spans="1:10" ht="15.6" x14ac:dyDescent="0.3">
      <c r="A9" s="1" t="s">
        <v>12</v>
      </c>
      <c r="C9" s="7">
        <f>D9/(1+D8)</f>
        <v>188.67924528301887</v>
      </c>
      <c r="D9" s="7">
        <v>200</v>
      </c>
      <c r="E9" s="7">
        <f>D9*(1+E8)</f>
        <v>210</v>
      </c>
      <c r="F9" s="7">
        <f t="shared" ref="F9:H9" si="2">E9*(1+F8)</f>
        <v>219.45</v>
      </c>
      <c r="G9" s="7">
        <f t="shared" si="2"/>
        <v>228.22800000000001</v>
      </c>
      <c r="H9" s="7">
        <f t="shared" si="2"/>
        <v>237.35712000000001</v>
      </c>
      <c r="I9" s="8">
        <f>SUM(D9:H9)/COUNTA(D9:H9)</f>
        <v>219.007024</v>
      </c>
      <c r="J9" s="1" t="s">
        <v>15</v>
      </c>
    </row>
    <row r="10" spans="1:10" ht="15.6" x14ac:dyDescent="0.3">
      <c r="A10" s="4" t="s">
        <v>0</v>
      </c>
      <c r="B10" s="4"/>
      <c r="C10" s="11"/>
      <c r="D10" s="11">
        <f>D9*D7</f>
        <v>15000</v>
      </c>
      <c r="E10" s="11">
        <f>E9*E7</f>
        <v>6300</v>
      </c>
      <c r="F10" s="11">
        <f>F9*F7</f>
        <v>27431.25</v>
      </c>
      <c r="G10" s="11">
        <f>G9*G7</f>
        <v>34234.200000000004</v>
      </c>
      <c r="H10" s="11">
        <f>H9*H7</f>
        <v>41537.495999999999</v>
      </c>
      <c r="I10" s="8">
        <f>SUM(D10:H10)</f>
        <v>124502.94600000001</v>
      </c>
    </row>
    <row r="11" spans="1:10" s="6" customFormat="1" ht="15.6" x14ac:dyDescent="0.3">
      <c r="A11" s="104" t="s">
        <v>204</v>
      </c>
      <c r="B11" s="104"/>
      <c r="C11" s="105"/>
      <c r="D11" s="106">
        <v>0.08</v>
      </c>
      <c r="E11" s="106">
        <v>7.0000000000000007E-2</v>
      </c>
      <c r="F11" s="106">
        <v>0.06</v>
      </c>
      <c r="G11" s="106">
        <v>0.05</v>
      </c>
      <c r="H11" s="106">
        <v>4.4999999999999998E-2</v>
      </c>
      <c r="I11" s="107"/>
    </row>
    <row r="12" spans="1:10" ht="15.6" x14ac:dyDescent="0.3">
      <c r="A12" s="4" t="s">
        <v>8</v>
      </c>
      <c r="B12" s="4"/>
      <c r="C12" s="11"/>
      <c r="D12" s="11">
        <f>D13+D14</f>
        <v>-10250</v>
      </c>
      <c r="E12" s="11">
        <f t="shared" ref="E12:H12" si="3">E13+E14</f>
        <v>-6531</v>
      </c>
      <c r="F12" s="11">
        <f t="shared" si="3"/>
        <v>-18775.25</v>
      </c>
      <c r="G12" s="11">
        <f t="shared" si="3"/>
        <v>-22989.015000000003</v>
      </c>
      <c r="H12" s="11">
        <f t="shared" si="3"/>
        <v>-27445.898287500007</v>
      </c>
      <c r="I12" s="8">
        <f t="shared" ref="I12:I14" si="4">SUM(D12:H12)</f>
        <v>-85991.163287500007</v>
      </c>
    </row>
    <row r="13" spans="1:10" s="6" customFormat="1" ht="15.6" x14ac:dyDescent="0.3">
      <c r="A13" s="6" t="s">
        <v>9</v>
      </c>
      <c r="C13" s="10"/>
      <c r="D13" s="10">
        <v>-2000</v>
      </c>
      <c r="E13" s="10">
        <v>-3000</v>
      </c>
      <c r="F13" s="7">
        <f>E13*(1+F11)</f>
        <v>-3180</v>
      </c>
      <c r="G13" s="7">
        <f t="shared" ref="G13:H13" si="5">F13*(1+G11)</f>
        <v>-3339</v>
      </c>
      <c r="H13" s="7">
        <f t="shared" si="5"/>
        <v>-3489.2549999999997</v>
      </c>
      <c r="I13" s="8">
        <f t="shared" si="4"/>
        <v>-15008.254999999999</v>
      </c>
    </row>
    <row r="14" spans="1:10" s="6" customFormat="1" ht="15.6" x14ac:dyDescent="0.3">
      <c r="A14" s="6" t="s">
        <v>10</v>
      </c>
      <c r="C14" s="10"/>
      <c r="D14" s="10">
        <f>-D15*D7</f>
        <v>-8250</v>
      </c>
      <c r="E14" s="10">
        <f>-E15*E7</f>
        <v>-3531</v>
      </c>
      <c r="F14" s="10">
        <f>-F15*F7</f>
        <v>-15595.250000000002</v>
      </c>
      <c r="G14" s="10">
        <f>-G15*G7</f>
        <v>-19650.015000000003</v>
      </c>
      <c r="H14" s="10">
        <f>-H15*H7</f>
        <v>-23956.643287500006</v>
      </c>
      <c r="I14" s="8">
        <f t="shared" si="4"/>
        <v>-70982.908287500002</v>
      </c>
    </row>
    <row r="15" spans="1:10" s="6" customFormat="1" ht="15.6" x14ac:dyDescent="0.3">
      <c r="A15" s="6" t="s">
        <v>13</v>
      </c>
      <c r="C15" s="10"/>
      <c r="D15" s="10">
        <v>110</v>
      </c>
      <c r="E15" s="10">
        <f>D15*(1+E11)</f>
        <v>117.7</v>
      </c>
      <c r="F15" s="10">
        <f t="shared" ref="F15:H15" si="6">E15*(1+F11)</f>
        <v>124.76200000000001</v>
      </c>
      <c r="G15" s="10">
        <f t="shared" si="6"/>
        <v>131.00010000000003</v>
      </c>
      <c r="H15" s="10">
        <f t="shared" si="6"/>
        <v>136.89510450000003</v>
      </c>
      <c r="I15" s="8">
        <f>SUM(D15:H15)/COUNTA(D15:H15)</f>
        <v>124.07144090000001</v>
      </c>
      <c r="J15" s="1" t="s">
        <v>16</v>
      </c>
    </row>
    <row r="16" spans="1:10" s="6" customFormat="1" ht="15.6" x14ac:dyDescent="0.3">
      <c r="A16" s="6" t="s">
        <v>14</v>
      </c>
      <c r="C16" s="10"/>
      <c r="D16" s="10">
        <f>-D12/D7</f>
        <v>136.66666666666666</v>
      </c>
      <c r="E16" s="10">
        <f>-E12/E7</f>
        <v>217.7</v>
      </c>
      <c r="F16" s="10">
        <f>-F12/F7</f>
        <v>150.202</v>
      </c>
      <c r="G16" s="10">
        <f>-G12/G7</f>
        <v>153.26010000000002</v>
      </c>
      <c r="H16" s="10">
        <f>-H12/H7</f>
        <v>156.83370450000004</v>
      </c>
      <c r="I16" s="8">
        <f>SUM(D16:H16)/COUNTA(D16:H16)</f>
        <v>162.93249423333336</v>
      </c>
      <c r="J16" s="1" t="s">
        <v>16</v>
      </c>
    </row>
    <row r="17" spans="1:9" s="5" customFormat="1" ht="28.8" x14ac:dyDescent="0.3">
      <c r="A17" s="111" t="s">
        <v>207</v>
      </c>
      <c r="B17" s="108"/>
      <c r="C17" s="109"/>
      <c r="D17" s="109">
        <v>5000</v>
      </c>
      <c r="E17" s="109">
        <v>6000</v>
      </c>
      <c r="F17" s="109">
        <v>7000</v>
      </c>
      <c r="G17" s="109">
        <v>8000</v>
      </c>
      <c r="H17" s="109">
        <v>9000</v>
      </c>
      <c r="I17" s="110">
        <f t="shared" ref="I17:I27" si="7">SUM(D17:H17)</f>
        <v>35000</v>
      </c>
    </row>
    <row r="18" spans="1:9" s="152" customFormat="1" ht="15.6" x14ac:dyDescent="0.3">
      <c r="A18" s="128" t="s">
        <v>21</v>
      </c>
      <c r="B18" s="128"/>
      <c r="C18" s="129"/>
      <c r="D18" s="129">
        <f>-D17</f>
        <v>-5000</v>
      </c>
      <c r="E18" s="129">
        <f t="shared" ref="E18:H18" si="8">-E17</f>
        <v>-6000</v>
      </c>
      <c r="F18" s="129">
        <f t="shared" si="8"/>
        <v>-7000</v>
      </c>
      <c r="G18" s="129">
        <f t="shared" si="8"/>
        <v>-8000</v>
      </c>
      <c r="H18" s="129">
        <f t="shared" si="8"/>
        <v>-9000</v>
      </c>
      <c r="I18" s="130">
        <f t="shared" si="7"/>
        <v>-35000</v>
      </c>
    </row>
    <row r="19" spans="1:9" s="6" customFormat="1" ht="16.2" thickBot="1" x14ac:dyDescent="0.35">
      <c r="A19" s="104" t="s">
        <v>205</v>
      </c>
      <c r="B19" s="104"/>
      <c r="C19" s="105"/>
      <c r="D19" s="106">
        <v>0.08</v>
      </c>
      <c r="E19" s="106">
        <v>7.0000000000000007E-2</v>
      </c>
      <c r="F19" s="106">
        <v>0.06</v>
      </c>
      <c r="G19" s="106">
        <v>0.05</v>
      </c>
      <c r="H19" s="106">
        <v>4.4999999999999998E-2</v>
      </c>
      <c r="I19" s="107"/>
    </row>
    <row r="20" spans="1:9" s="3" customFormat="1" ht="31.8" thickBot="1" x14ac:dyDescent="0.35">
      <c r="A20" s="13" t="s">
        <v>23</v>
      </c>
      <c r="B20" s="13"/>
      <c r="C20" s="8">
        <f>C10+C12</f>
        <v>0</v>
      </c>
      <c r="D20" s="8">
        <f>D10+D12</f>
        <v>4750</v>
      </c>
      <c r="E20" s="8">
        <f t="shared" ref="E20:H20" si="9">E10+E12</f>
        <v>-231</v>
      </c>
      <c r="F20" s="8">
        <f t="shared" si="9"/>
        <v>8656</v>
      </c>
      <c r="G20" s="8">
        <f t="shared" si="9"/>
        <v>11245.185000000001</v>
      </c>
      <c r="H20" s="8">
        <f t="shared" si="9"/>
        <v>14091.597712499992</v>
      </c>
      <c r="I20" s="51">
        <f t="shared" si="7"/>
        <v>38511.782712499989</v>
      </c>
    </row>
    <row r="21" spans="1:9" s="5" customFormat="1" ht="15.6" x14ac:dyDescent="0.3">
      <c r="A21" s="5" t="s">
        <v>19</v>
      </c>
      <c r="B21" s="16"/>
      <c r="C21" s="9">
        <v>0</v>
      </c>
      <c r="D21" s="9">
        <f>'Adj Cash Flow'!D21</f>
        <v>-225</v>
      </c>
      <c r="E21" s="9">
        <f>'Adj Cash Flow'!E21</f>
        <v>-1025</v>
      </c>
      <c r="F21" s="9">
        <f>'Adj Cash Flow'!F21</f>
        <v>-1600.8333333333333</v>
      </c>
      <c r="G21" s="9">
        <f>'Adj Cash Flow'!G21</f>
        <v>-1454.6666666666667</v>
      </c>
      <c r="H21" s="9">
        <f>'Adj Cash Flow'!H21</f>
        <v>-1385.3</v>
      </c>
      <c r="I21" s="8">
        <f t="shared" si="7"/>
        <v>-5690.8</v>
      </c>
    </row>
    <row r="22" spans="1:9" s="5" customFormat="1" ht="15.6" x14ac:dyDescent="0.3">
      <c r="A22" s="3" t="s">
        <v>24</v>
      </c>
      <c r="B22" s="17"/>
      <c r="C22" s="8">
        <f>C20+C21</f>
        <v>0</v>
      </c>
      <c r="D22" s="8">
        <f>D20+D21</f>
        <v>4525</v>
      </c>
      <c r="E22" s="8">
        <f t="shared" ref="E22:H22" si="10">E20+E21</f>
        <v>-1256</v>
      </c>
      <c r="F22" s="8">
        <f t="shared" si="10"/>
        <v>7055.166666666667</v>
      </c>
      <c r="G22" s="8">
        <f t="shared" si="10"/>
        <v>9790.5183333333352</v>
      </c>
      <c r="H22" s="8">
        <f t="shared" si="10"/>
        <v>12706.297712499992</v>
      </c>
      <c r="I22" s="8">
        <f t="shared" si="7"/>
        <v>32820.982712500001</v>
      </c>
    </row>
    <row r="23" spans="1:9" s="152" customFormat="1" ht="15.6" x14ac:dyDescent="0.3">
      <c r="A23" s="152" t="s">
        <v>208</v>
      </c>
      <c r="B23" s="117"/>
      <c r="D23" s="153">
        <f>-D17*D19</f>
        <v>-400</v>
      </c>
      <c r="E23" s="153">
        <f t="shared" ref="E23:H23" si="11">-E17*E19</f>
        <v>-420.00000000000006</v>
      </c>
      <c r="F23" s="153">
        <f t="shared" si="11"/>
        <v>-420</v>
      </c>
      <c r="G23" s="153">
        <f t="shared" si="11"/>
        <v>-400</v>
      </c>
      <c r="H23" s="153">
        <f t="shared" si="11"/>
        <v>-405</v>
      </c>
      <c r="I23" s="154">
        <f t="shared" si="7"/>
        <v>-2045</v>
      </c>
    </row>
    <row r="24" spans="1:9" s="5" customFormat="1" ht="16.2" thickBot="1" x14ac:dyDescent="0.35">
      <c r="A24" s="5" t="s">
        <v>25</v>
      </c>
      <c r="B24" s="16">
        <v>0.2</v>
      </c>
      <c r="C24" s="9">
        <f t="shared" ref="C24:D24" si="12">IF(C22+C23&lt;0,0,-(C22+C23)*$B$24)</f>
        <v>0</v>
      </c>
      <c r="D24" s="9">
        <f t="shared" si="12"/>
        <v>-825</v>
      </c>
      <c r="E24" s="9">
        <f>IF(E22+E23&lt;0,0,-(E22+E23)*$B$24)</f>
        <v>0</v>
      </c>
      <c r="F24" s="9">
        <f t="shared" ref="F24:H24" si="13">IF(F22+F23&lt;0,0,-(F22+F23)*$B$24)</f>
        <v>-1327.0333333333335</v>
      </c>
      <c r="G24" s="9">
        <f t="shared" si="13"/>
        <v>-1878.1036666666671</v>
      </c>
      <c r="H24" s="9">
        <f t="shared" si="13"/>
        <v>-2460.2595424999986</v>
      </c>
      <c r="I24" s="8">
        <f t="shared" si="7"/>
        <v>-6490.3965424999988</v>
      </c>
    </row>
    <row r="25" spans="1:9" s="3" customFormat="1" ht="16.2" thickBot="1" x14ac:dyDescent="0.35">
      <c r="A25" s="3" t="s">
        <v>29</v>
      </c>
      <c r="C25" s="8">
        <f>C22+C23+C24</f>
        <v>0</v>
      </c>
      <c r="D25" s="8">
        <f>D22+D23+D24</f>
        <v>3300</v>
      </c>
      <c r="E25" s="8">
        <f t="shared" ref="E25:H25" si="14">E22+E23+E24</f>
        <v>-1676</v>
      </c>
      <c r="F25" s="8">
        <f t="shared" si="14"/>
        <v>5308.1333333333332</v>
      </c>
      <c r="G25" s="8">
        <f t="shared" si="14"/>
        <v>7512.4146666666684</v>
      </c>
      <c r="H25" s="8">
        <f t="shared" si="14"/>
        <v>9841.0381699999944</v>
      </c>
      <c r="I25" s="51">
        <f t="shared" si="7"/>
        <v>24285.586169999995</v>
      </c>
    </row>
    <row r="26" spans="1:9" s="5" customFormat="1" x14ac:dyDescent="0.3">
      <c r="A26" s="5" t="s">
        <v>17</v>
      </c>
      <c r="C26" s="9">
        <f>C5</f>
        <v>5000</v>
      </c>
      <c r="D26" s="9">
        <f>C30</f>
        <v>0</v>
      </c>
      <c r="E26" s="9">
        <f t="shared" ref="E26:H26" si="15">D30</f>
        <v>3525</v>
      </c>
      <c r="F26" s="9">
        <f t="shared" si="15"/>
        <v>2874</v>
      </c>
      <c r="G26" s="9">
        <f t="shared" si="15"/>
        <v>9782.9666666666672</v>
      </c>
      <c r="H26" s="9">
        <f t="shared" si="15"/>
        <v>18750.048000000003</v>
      </c>
      <c r="I26" s="9">
        <f>C26</f>
        <v>5000</v>
      </c>
    </row>
    <row r="27" spans="1:9" s="4" customFormat="1" x14ac:dyDescent="0.3">
      <c r="A27" s="4" t="s">
        <v>60</v>
      </c>
      <c r="C27" s="11">
        <f>C10</f>
        <v>0</v>
      </c>
      <c r="D27" s="11">
        <f>D10+D5+D17</f>
        <v>22000</v>
      </c>
      <c r="E27" s="11">
        <f t="shared" ref="E27:H27" si="16">E10+E5+E17</f>
        <v>17300</v>
      </c>
      <c r="F27" s="11">
        <f t="shared" si="16"/>
        <v>34431.25</v>
      </c>
      <c r="G27" s="11">
        <f t="shared" si="16"/>
        <v>42234.200000000004</v>
      </c>
      <c r="H27" s="11">
        <f t="shared" si="16"/>
        <v>50537.495999999999</v>
      </c>
      <c r="I27" s="11">
        <f t="shared" si="7"/>
        <v>166502.946</v>
      </c>
    </row>
    <row r="28" spans="1:9" s="4" customFormat="1" ht="15" thickBot="1" x14ac:dyDescent="0.35">
      <c r="A28" s="4" t="s">
        <v>61</v>
      </c>
      <c r="C28" s="11">
        <f t="shared" ref="C28" si="17">C6+C12+C23+C24</f>
        <v>-5000</v>
      </c>
      <c r="D28" s="11">
        <f>D6+D12+D23+D24+D18</f>
        <v>-18475</v>
      </c>
      <c r="E28" s="11">
        <f t="shared" ref="E28:H28" si="18">E6+E12+E23+E24+E18</f>
        <v>-17951</v>
      </c>
      <c r="F28" s="11">
        <f t="shared" si="18"/>
        <v>-27522.283333333333</v>
      </c>
      <c r="G28" s="11">
        <f t="shared" si="18"/>
        <v>-33267.118666666669</v>
      </c>
      <c r="H28" s="11">
        <f t="shared" si="18"/>
        <v>-39311.157830000011</v>
      </c>
      <c r="I28" s="11">
        <f>SUM(C28:H28)</f>
        <v>-141526.55983000001</v>
      </c>
    </row>
    <row r="29" spans="1:9" s="4" customFormat="1" ht="15" thickBot="1" x14ac:dyDescent="0.35">
      <c r="A29" s="4" t="s">
        <v>26</v>
      </c>
      <c r="C29" s="11">
        <f>C28+C27</f>
        <v>-5000</v>
      </c>
      <c r="D29" s="11">
        <f>D28+D27</f>
        <v>3525</v>
      </c>
      <c r="E29" s="11">
        <f t="shared" ref="E29:H29" si="19">E28+E27</f>
        <v>-651</v>
      </c>
      <c r="F29" s="11">
        <f t="shared" si="19"/>
        <v>6908.9666666666672</v>
      </c>
      <c r="G29" s="11">
        <f t="shared" si="19"/>
        <v>8967.0813333333354</v>
      </c>
      <c r="H29" s="11">
        <f t="shared" si="19"/>
        <v>11226.338169999988</v>
      </c>
      <c r="I29" s="44">
        <f>SUM(C29:H29)</f>
        <v>24976.386169999991</v>
      </c>
    </row>
    <row r="30" spans="1:9" s="5" customFormat="1" x14ac:dyDescent="0.3">
      <c r="A30" s="5" t="s">
        <v>18</v>
      </c>
      <c r="C30" s="9">
        <f>C29+C26</f>
        <v>0</v>
      </c>
      <c r="D30" s="9">
        <f>D29+D26</f>
        <v>3525</v>
      </c>
      <c r="E30" s="9">
        <f t="shared" ref="E30:H30" si="20">E29+E26</f>
        <v>2874</v>
      </c>
      <c r="F30" s="9">
        <f t="shared" si="20"/>
        <v>9782.9666666666672</v>
      </c>
      <c r="G30" s="9">
        <f t="shared" si="20"/>
        <v>18750.048000000003</v>
      </c>
      <c r="H30" s="9">
        <f t="shared" si="20"/>
        <v>29976.386169999991</v>
      </c>
      <c r="I30" s="9">
        <f>H30</f>
        <v>29976.386169999991</v>
      </c>
    </row>
    <row r="31" spans="1:9" s="5" customFormat="1" ht="15" thickBot="1" x14ac:dyDescent="0.35">
      <c r="A31" s="5" t="s">
        <v>30</v>
      </c>
      <c r="C31" s="9">
        <f>C29</f>
        <v>-5000</v>
      </c>
      <c r="D31" s="9">
        <f>C31+D29</f>
        <v>-1475</v>
      </c>
      <c r="E31" s="9">
        <f t="shared" ref="E31:H31" si="21">D31+E29</f>
        <v>-2126</v>
      </c>
      <c r="F31" s="9">
        <f t="shared" si="21"/>
        <v>4782.9666666666672</v>
      </c>
      <c r="G31" s="9">
        <f t="shared" si="21"/>
        <v>13750.048000000003</v>
      </c>
      <c r="H31" s="9">
        <f t="shared" si="21"/>
        <v>24976.386169999991</v>
      </c>
      <c r="I31" s="48">
        <f>H31</f>
        <v>24976.386169999991</v>
      </c>
    </row>
    <row r="32" spans="1:9" ht="16.2" thickBot="1" x14ac:dyDescent="0.35">
      <c r="A32" s="113" t="s">
        <v>209</v>
      </c>
      <c r="B32" s="112">
        <v>0.25</v>
      </c>
      <c r="C32" s="114"/>
      <c r="D32" s="115">
        <f>IF(D25&gt;0,D25*$B$32,0)</f>
        <v>825</v>
      </c>
      <c r="E32" s="115">
        <f>IF(E25&gt;0,E25*$B$32,0)</f>
        <v>0</v>
      </c>
      <c r="F32" s="115">
        <f>IF(F25&gt;0,F25*$B$32,0)</f>
        <v>1327.0333333333333</v>
      </c>
      <c r="G32" s="115">
        <f>IF(G25&gt;0,G25*$B$32,0)</f>
        <v>1878.1036666666671</v>
      </c>
      <c r="H32" s="115">
        <f>IF(H25&gt;0,H25*$B$32,0)</f>
        <v>2460.2595424999986</v>
      </c>
      <c r="I32" s="116">
        <f>SUM(C32:H32)</f>
        <v>6490.3965424999988</v>
      </c>
    </row>
    <row r="33" spans="1:11" s="67" customFormat="1" ht="16.2" thickBot="1" x14ac:dyDescent="0.35">
      <c r="A33" s="123" t="s">
        <v>226</v>
      </c>
      <c r="B33" s="124">
        <v>0.05</v>
      </c>
      <c r="C33" s="125"/>
      <c r="D33" s="126"/>
      <c r="E33" s="126"/>
      <c r="F33" s="126"/>
      <c r="G33" s="126"/>
      <c r="H33" s="126"/>
      <c r="I33" s="127"/>
    </row>
    <row r="34" spans="1:11" s="67" customFormat="1" ht="15" thickBot="1" x14ac:dyDescent="0.35">
      <c r="A34" s="114" t="s">
        <v>227</v>
      </c>
      <c r="B34" s="39"/>
      <c r="C34" s="39"/>
      <c r="D34" s="39"/>
      <c r="E34" s="122">
        <f>(E20-D20)/D20</f>
        <v>-1.0486315789473684</v>
      </c>
      <c r="F34" s="122">
        <f>(F20-E20)/E20</f>
        <v>-38.471861471861473</v>
      </c>
      <c r="G34" s="122">
        <f>(G20-F20)/F20</f>
        <v>0.2991202634011092</v>
      </c>
      <c r="H34" s="122">
        <f>(H20-G20)/G20</f>
        <v>0.25312279989168612</v>
      </c>
      <c r="I34" s="132">
        <f>AVERAGE(E34:H34)</f>
        <v>-9.7420624968790115</v>
      </c>
    </row>
    <row r="35" spans="1:11" s="67" customFormat="1" ht="15" thickBot="1" x14ac:dyDescent="0.35">
      <c r="A35" s="125" t="s">
        <v>228</v>
      </c>
      <c r="B35" s="126"/>
      <c r="C35" s="126"/>
      <c r="D35" s="126"/>
      <c r="E35" s="131">
        <f>(E22-D22)/D22</f>
        <v>-1.2775690607734806</v>
      </c>
      <c r="F35" s="131">
        <f t="shared" ref="F35:H35" si="22">(F22-E22)/E22</f>
        <v>-6.6171709129511687</v>
      </c>
      <c r="G35" s="131">
        <f t="shared" si="22"/>
        <v>0.38770900758309534</v>
      </c>
      <c r="H35" s="131">
        <f t="shared" si="22"/>
        <v>0.29781665075274255</v>
      </c>
      <c r="I35" s="133">
        <f t="shared" ref="I35:I36" si="23">AVERAGE(E35:H35)</f>
        <v>-1.8023035788472028</v>
      </c>
    </row>
    <row r="36" spans="1:11" s="67" customFormat="1" ht="15" thickBot="1" x14ac:dyDescent="0.35">
      <c r="A36" s="114" t="s">
        <v>229</v>
      </c>
      <c r="B36" s="39"/>
      <c r="C36" s="39"/>
      <c r="D36" s="39"/>
      <c r="E36" s="122">
        <f>(E25-D25)/D25</f>
        <v>-1.5078787878787878</v>
      </c>
      <c r="F36" s="122">
        <f t="shared" ref="F36:H36" si="24">(F25-E25)/E25</f>
        <v>-4.1671439936356407</v>
      </c>
      <c r="G36" s="122">
        <f t="shared" si="24"/>
        <v>0.41526487654165972</v>
      </c>
      <c r="H36" s="122">
        <f t="shared" si="24"/>
        <v>0.30997004380837234</v>
      </c>
      <c r="I36" s="132">
        <f t="shared" si="23"/>
        <v>-1.2374469652910993</v>
      </c>
    </row>
    <row r="37" spans="1:11" s="67" customFormat="1" ht="36.6" thickBot="1" x14ac:dyDescent="0.35">
      <c r="A37" s="64" t="s">
        <v>39</v>
      </c>
      <c r="B37" s="55" t="s">
        <v>75</v>
      </c>
      <c r="C37" s="61" t="s">
        <v>6</v>
      </c>
      <c r="D37" s="62" t="s">
        <v>1</v>
      </c>
      <c r="E37" s="62" t="s">
        <v>2</v>
      </c>
      <c r="F37" s="62" t="s">
        <v>3</v>
      </c>
      <c r="G37" s="62" t="s">
        <v>4</v>
      </c>
      <c r="H37" s="62" t="s">
        <v>5</v>
      </c>
      <c r="I37" s="63" t="s">
        <v>11</v>
      </c>
    </row>
    <row r="38" spans="1:11" s="67" customFormat="1" ht="18.600000000000001" thickBot="1" x14ac:dyDescent="0.35">
      <c r="A38" s="14" t="s">
        <v>27</v>
      </c>
      <c r="B38" s="53"/>
      <c r="C38" s="8">
        <f>C29</f>
        <v>-5000</v>
      </c>
      <c r="D38" s="8">
        <f t="shared" ref="D38:H38" si="25">D29</f>
        <v>3525</v>
      </c>
      <c r="E38" s="8">
        <f t="shared" si="25"/>
        <v>-651</v>
      </c>
      <c r="F38" s="8">
        <f t="shared" si="25"/>
        <v>6908.9666666666672</v>
      </c>
      <c r="G38" s="8">
        <f t="shared" si="25"/>
        <v>8967.0813333333354</v>
      </c>
      <c r="H38" s="8">
        <f t="shared" si="25"/>
        <v>11226.338169999988</v>
      </c>
      <c r="I38" s="21">
        <f>SUM(C38:H38)</f>
        <v>24976.386169999991</v>
      </c>
    </row>
    <row r="39" spans="1:11" s="67" customFormat="1" ht="15.6" x14ac:dyDescent="0.3">
      <c r="A39" s="50" t="s">
        <v>34</v>
      </c>
      <c r="B39" s="16">
        <v>0.12</v>
      </c>
      <c r="C39" s="23">
        <f>1</f>
        <v>1</v>
      </c>
      <c r="D39" s="23">
        <f>(1+$B$39)^(D4-1)</f>
        <v>1.1200000000000001</v>
      </c>
      <c r="E39" s="23">
        <f>(1+$B$39)^(E4-1)</f>
        <v>1.2544000000000002</v>
      </c>
      <c r="F39" s="23">
        <f>(1+$B$39)^(F4-1)</f>
        <v>1.4049280000000004</v>
      </c>
      <c r="G39" s="23">
        <f>(1+$B$39)^(G4-1)</f>
        <v>1.5735193600000004</v>
      </c>
      <c r="H39" s="23">
        <f>(1+$B$39)^(H4-1)</f>
        <v>1.7623416832000005</v>
      </c>
      <c r="I39" s="1"/>
    </row>
    <row r="40" spans="1:11" s="67" customFormat="1" ht="16.2" thickBot="1" x14ac:dyDescent="0.35">
      <c r="A40" s="50" t="s">
        <v>48</v>
      </c>
      <c r="B40" s="16"/>
      <c r="C40" s="23">
        <f>1/C39</f>
        <v>1</v>
      </c>
      <c r="D40" s="23">
        <f t="shared" ref="D40:H40" si="26">1/D39</f>
        <v>0.89285714285714279</v>
      </c>
      <c r="E40" s="23">
        <f t="shared" si="26"/>
        <v>0.79719387755102034</v>
      </c>
      <c r="F40" s="23">
        <f t="shared" si="26"/>
        <v>0.71178024781341087</v>
      </c>
      <c r="G40" s="23">
        <f t="shared" si="26"/>
        <v>0.63551807840483121</v>
      </c>
      <c r="H40" s="23">
        <f t="shared" si="26"/>
        <v>0.56742685571859919</v>
      </c>
      <c r="I40" s="1"/>
    </row>
    <row r="41" spans="1:11" s="67" customFormat="1" ht="18.600000000000001" thickBot="1" x14ac:dyDescent="0.35">
      <c r="A41" s="18" t="s">
        <v>225</v>
      </c>
      <c r="B41" s="117"/>
      <c r="C41" s="8">
        <f>C38*C40</f>
        <v>-5000</v>
      </c>
      <c r="D41" s="8">
        <f t="shared" ref="D41:H41" si="27">D38*D40</f>
        <v>3147.3214285714284</v>
      </c>
      <c r="E41" s="8">
        <f t="shared" si="27"/>
        <v>-518.97321428571422</v>
      </c>
      <c r="F41" s="8">
        <f t="shared" si="27"/>
        <v>4917.6660061345956</v>
      </c>
      <c r="G41" s="8">
        <f t="shared" si="27"/>
        <v>5698.7422978598333</v>
      </c>
      <c r="H41" s="8">
        <f t="shared" si="27"/>
        <v>6370.1257690367866</v>
      </c>
      <c r="I41" s="88">
        <f>SUM(C41:H41)</f>
        <v>14614.88228731693</v>
      </c>
    </row>
    <row r="42" spans="1:11" ht="36.6" thickBot="1" x14ac:dyDescent="0.35">
      <c r="A42" s="64" t="s">
        <v>45</v>
      </c>
      <c r="B42" s="55" t="s">
        <v>75</v>
      </c>
      <c r="C42" s="61" t="s">
        <v>6</v>
      </c>
      <c r="D42" s="62" t="s">
        <v>1</v>
      </c>
      <c r="E42" s="62" t="s">
        <v>2</v>
      </c>
      <c r="F42" s="62" t="s">
        <v>3</v>
      </c>
      <c r="G42" s="62" t="s">
        <v>4</v>
      </c>
      <c r="H42" s="62" t="s">
        <v>5</v>
      </c>
      <c r="I42" s="63" t="s">
        <v>11</v>
      </c>
    </row>
    <row r="43" spans="1:11" ht="33" thickBot="1" x14ac:dyDescent="0.35">
      <c r="A43" s="18" t="s">
        <v>31</v>
      </c>
      <c r="B43" s="14"/>
      <c r="C43" s="8">
        <f>IF(C31&lt;0,0,1)</f>
        <v>0</v>
      </c>
      <c r="D43" s="8">
        <f t="shared" ref="D43:H43" si="28">IF(D31&lt;0,0,1)</f>
        <v>0</v>
      </c>
      <c r="E43" s="8">
        <f t="shared" si="28"/>
        <v>0</v>
      </c>
      <c r="F43" s="8">
        <f t="shared" si="28"/>
        <v>1</v>
      </c>
      <c r="G43" s="8">
        <f t="shared" si="28"/>
        <v>1</v>
      </c>
      <c r="H43" s="8">
        <f t="shared" si="28"/>
        <v>1</v>
      </c>
      <c r="I43" s="87">
        <f>I4-SUM(C43:H43)-SUM(C44:H44)</f>
        <v>2.3077160598063386</v>
      </c>
      <c r="K43"/>
    </row>
    <row r="44" spans="1:11" ht="15" thickBot="1" x14ac:dyDescent="0.35">
      <c r="A44" s="19" t="s">
        <v>32</v>
      </c>
      <c r="C44" s="20">
        <f>IF(AND(B43=0,C43=1),C35/E12,0)</f>
        <v>0</v>
      </c>
      <c r="D44" s="20">
        <f>IF(AND(C43=0,D43=1),D35/F12,0)</f>
        <v>0</v>
      </c>
      <c r="E44" s="20">
        <f>IF(AND(D43=0,E43=1),E35/G12,0)</f>
        <v>0</v>
      </c>
      <c r="F44" s="20">
        <f>IF(AND(E43=0,F43=1),F31/F29,0)</f>
        <v>0.69228394019366135</v>
      </c>
      <c r="G44" s="20">
        <f>IF(AND(F43=0,G43=1),G35/G33,0)</f>
        <v>0</v>
      </c>
      <c r="H44" s="20">
        <f>IF(AND(G43=0,H43=1),H35/J12,0)</f>
        <v>0</v>
      </c>
    </row>
    <row r="45" spans="1:11" ht="36.6" thickBot="1" x14ac:dyDescent="0.35">
      <c r="A45" s="64" t="s">
        <v>221</v>
      </c>
      <c r="B45" s="55" t="s">
        <v>75</v>
      </c>
      <c r="C45" s="61" t="s">
        <v>6</v>
      </c>
      <c r="D45" s="62" t="s">
        <v>1</v>
      </c>
      <c r="E45" s="62" t="s">
        <v>2</v>
      </c>
      <c r="F45" s="62" t="s">
        <v>3</v>
      </c>
      <c r="G45" s="62" t="s">
        <v>4</v>
      </c>
      <c r="H45" s="62" t="s">
        <v>5</v>
      </c>
      <c r="I45" s="63" t="s">
        <v>11</v>
      </c>
    </row>
    <row r="46" spans="1:11" ht="18.600000000000001" thickBot="1" x14ac:dyDescent="0.35">
      <c r="A46" s="18" t="s">
        <v>222</v>
      </c>
      <c r="C46" s="80"/>
      <c r="D46" s="80"/>
      <c r="E46" s="80"/>
      <c r="F46" s="80"/>
      <c r="G46" s="80"/>
      <c r="H46" s="80"/>
      <c r="I46" s="66">
        <f>H41</f>
        <v>6370.1257690367866</v>
      </c>
    </row>
    <row r="47" spans="1:11" ht="18" x14ac:dyDescent="0.3">
      <c r="A47" s="101" t="s">
        <v>34</v>
      </c>
      <c r="B47" s="16">
        <v>0.12</v>
      </c>
      <c r="C47" s="80"/>
      <c r="D47" s="80"/>
      <c r="E47" s="80"/>
      <c r="F47" s="80"/>
      <c r="G47" s="80"/>
      <c r="H47" s="80"/>
      <c r="I47" s="27"/>
      <c r="J47"/>
    </row>
    <row r="48" spans="1:11" ht="18.600000000000001" thickBot="1" x14ac:dyDescent="0.35">
      <c r="A48" s="101" t="s">
        <v>223</v>
      </c>
      <c r="B48" s="16">
        <f>B33</f>
        <v>0.05</v>
      </c>
      <c r="C48" s="80"/>
      <c r="D48" s="80"/>
      <c r="E48" s="80"/>
      <c r="F48" s="80"/>
      <c r="G48" s="80"/>
      <c r="H48" s="80"/>
      <c r="I48" s="27"/>
    </row>
    <row r="49" spans="1:10" ht="18.600000000000001" thickBot="1" x14ac:dyDescent="0.35">
      <c r="A49" s="18" t="s">
        <v>224</v>
      </c>
      <c r="C49" s="80"/>
      <c r="D49" s="80"/>
      <c r="E49" s="80"/>
      <c r="F49" s="80"/>
      <c r="G49" s="80"/>
      <c r="H49" s="80"/>
      <c r="I49" s="88">
        <f>(I46*(1+$B$48))/($B$47-$B$48)</f>
        <v>95551.886535551806</v>
      </c>
    </row>
    <row r="50" spans="1:10" s="67" customFormat="1" ht="36.6" thickBot="1" x14ac:dyDescent="0.35">
      <c r="A50" s="41" t="s">
        <v>239</v>
      </c>
      <c r="B50" s="117"/>
      <c r="C50" s="95"/>
      <c r="D50" s="118"/>
      <c r="E50" s="118"/>
      <c r="F50" s="118"/>
      <c r="G50" s="118"/>
      <c r="H50" s="118"/>
      <c r="I50" s="119"/>
    </row>
    <row r="51" spans="1:10" ht="36.6" thickBot="1" x14ac:dyDescent="0.35">
      <c r="A51" s="64" t="s">
        <v>176</v>
      </c>
      <c r="B51" s="55" t="s">
        <v>75</v>
      </c>
      <c r="C51" s="61" t="s">
        <v>6</v>
      </c>
      <c r="D51" s="62" t="s">
        <v>1</v>
      </c>
      <c r="E51" s="62" t="s">
        <v>2</v>
      </c>
      <c r="F51" s="62" t="s">
        <v>3</v>
      </c>
      <c r="G51" s="62" t="s">
        <v>4</v>
      </c>
      <c r="H51" s="62" t="s">
        <v>5</v>
      </c>
      <c r="I51" s="63" t="s">
        <v>11</v>
      </c>
    </row>
    <row r="52" spans="1:10" ht="18" x14ac:dyDescent="0.3">
      <c r="A52" s="18" t="s">
        <v>230</v>
      </c>
      <c r="C52" s="80">
        <f>C5</f>
        <v>5000</v>
      </c>
      <c r="D52" s="80">
        <f>C52+D5</f>
        <v>7000</v>
      </c>
      <c r="E52" s="80">
        <f>D52+E5</f>
        <v>12000</v>
      </c>
      <c r="F52" s="80">
        <f>E52+F5</f>
        <v>12000</v>
      </c>
      <c r="G52" s="80">
        <f>F52+G5</f>
        <v>12000</v>
      </c>
      <c r="H52" s="80">
        <f>G52+H5</f>
        <v>12000</v>
      </c>
    </row>
    <row r="53" spans="1:10" ht="18" x14ac:dyDescent="0.3">
      <c r="A53" s="18" t="s">
        <v>231</v>
      </c>
      <c r="C53" s="80">
        <f>C17*360/365</f>
        <v>0</v>
      </c>
      <c r="D53" s="80">
        <f>D17*360/365</f>
        <v>4931.5068493150684</v>
      </c>
      <c r="E53" s="80">
        <f t="shared" ref="E53:H53" si="29">E17*360/365</f>
        <v>5917.8082191780823</v>
      </c>
      <c r="F53" s="80">
        <f t="shared" si="29"/>
        <v>6904.1095890410961</v>
      </c>
      <c r="G53" s="80">
        <f t="shared" si="29"/>
        <v>7890.41095890411</v>
      </c>
      <c r="H53" s="80">
        <f t="shared" si="29"/>
        <v>8876.7123287671238</v>
      </c>
      <c r="I53" s="27"/>
    </row>
    <row r="54" spans="1:10" ht="18" x14ac:dyDescent="0.3">
      <c r="A54" s="18" t="s">
        <v>236</v>
      </c>
      <c r="C54" s="80">
        <f>C52+C53</f>
        <v>5000</v>
      </c>
      <c r="D54" s="80">
        <f t="shared" ref="D54:H54" si="30">D52+D53</f>
        <v>11931.506849315068</v>
      </c>
      <c r="E54" s="80">
        <f t="shared" si="30"/>
        <v>17917.808219178081</v>
      </c>
      <c r="F54" s="80">
        <f t="shared" si="30"/>
        <v>18904.109589041094</v>
      </c>
      <c r="G54" s="80">
        <f t="shared" si="30"/>
        <v>19890.410958904111</v>
      </c>
      <c r="H54" s="80">
        <f t="shared" si="30"/>
        <v>20876.712328767124</v>
      </c>
      <c r="I54" s="27"/>
      <c r="J54"/>
    </row>
    <row r="55" spans="1:10" ht="18" x14ac:dyDescent="0.3">
      <c r="A55" s="101" t="s">
        <v>232</v>
      </c>
      <c r="B55" s="16">
        <f>B32</f>
        <v>0.25</v>
      </c>
      <c r="C55" s="249">
        <f>B55</f>
        <v>0.25</v>
      </c>
      <c r="D55" s="249">
        <f t="shared" ref="D55:H55" si="31">C55</f>
        <v>0.25</v>
      </c>
      <c r="E55" s="249">
        <f t="shared" si="31"/>
        <v>0.25</v>
      </c>
      <c r="F55" s="249">
        <f t="shared" si="31"/>
        <v>0.25</v>
      </c>
      <c r="G55" s="249">
        <f t="shared" si="31"/>
        <v>0.25</v>
      </c>
      <c r="H55" s="249">
        <f t="shared" si="31"/>
        <v>0.25</v>
      </c>
      <c r="I55" s="27"/>
    </row>
    <row r="56" spans="1:10" ht="18" x14ac:dyDescent="0.3">
      <c r="A56" s="101" t="s">
        <v>233</v>
      </c>
      <c r="B56" s="136">
        <f>AVERAGEIF(C56:H56,"&gt;0")</f>
        <v>6.0999999999999999E-2</v>
      </c>
      <c r="C56" s="249">
        <f>C19</f>
        <v>0</v>
      </c>
      <c r="D56" s="249">
        <f>D19</f>
        <v>0.08</v>
      </c>
      <c r="E56" s="249">
        <f t="shared" ref="E56:H56" si="32">E19</f>
        <v>7.0000000000000007E-2</v>
      </c>
      <c r="F56" s="249">
        <f t="shared" si="32"/>
        <v>0.06</v>
      </c>
      <c r="G56" s="249">
        <f t="shared" si="32"/>
        <v>0.05</v>
      </c>
      <c r="H56" s="249">
        <f t="shared" si="32"/>
        <v>4.4999999999999998E-2</v>
      </c>
      <c r="I56" s="27"/>
    </row>
    <row r="57" spans="1:10" ht="18.600000000000001" thickBot="1" x14ac:dyDescent="0.35">
      <c r="A57" s="101" t="s">
        <v>235</v>
      </c>
      <c r="B57" s="16">
        <f>B24</f>
        <v>0.2</v>
      </c>
      <c r="C57" s="80"/>
      <c r="D57" s="80"/>
      <c r="E57" s="80"/>
      <c r="F57" s="80"/>
      <c r="G57" s="80"/>
      <c r="H57" s="80"/>
      <c r="I57" s="27"/>
    </row>
    <row r="58" spans="1:10" ht="18.600000000000001" thickBot="1" x14ac:dyDescent="0.35">
      <c r="A58" s="18" t="s">
        <v>234</v>
      </c>
      <c r="C58" s="134">
        <f>(C52/C54)*C55+(C53/C54)*C56*(1-$B$57)</f>
        <v>0.25</v>
      </c>
      <c r="D58" s="134">
        <f t="shared" ref="D58:H58" si="33">(D52/D54)*D55+(D53/D54)*D56*(1-$B$57)</f>
        <v>0.17312284730195179</v>
      </c>
      <c r="E58" s="134">
        <f t="shared" si="33"/>
        <v>0.18592660550458714</v>
      </c>
      <c r="F58" s="134">
        <f t="shared" si="33"/>
        <v>0.17622608695652175</v>
      </c>
      <c r="G58" s="134">
        <f t="shared" si="33"/>
        <v>0.16669421487603306</v>
      </c>
      <c r="H58" s="134">
        <f t="shared" si="33"/>
        <v>0.15900787401574804</v>
      </c>
      <c r="I58" s="250">
        <f>AVERAGE(C58:H58)</f>
        <v>0.18516293810914031</v>
      </c>
      <c r="J58" s="1" t="s">
        <v>237</v>
      </c>
    </row>
    <row r="59" spans="1:10" ht="36.6" thickBot="1" x14ac:dyDescent="0.35">
      <c r="A59" s="41" t="s">
        <v>238</v>
      </c>
      <c r="C59" s="134"/>
      <c r="D59" s="134"/>
      <c r="E59" s="134"/>
      <c r="F59" s="134"/>
      <c r="G59" s="134"/>
      <c r="H59" s="134"/>
      <c r="I59" s="135"/>
    </row>
    <row r="60" spans="1:10" ht="67.8" thickBot="1" x14ac:dyDescent="0.35">
      <c r="A60" s="141" t="s">
        <v>241</v>
      </c>
      <c r="B60" s="142" t="s">
        <v>75</v>
      </c>
      <c r="C60" s="138" t="s">
        <v>6</v>
      </c>
      <c r="D60" s="139" t="s">
        <v>1</v>
      </c>
      <c r="E60" s="139" t="s">
        <v>2</v>
      </c>
      <c r="F60" s="139" t="s">
        <v>3</v>
      </c>
      <c r="G60" s="139" t="s">
        <v>4</v>
      </c>
      <c r="H60" s="139" t="s">
        <v>5</v>
      </c>
      <c r="I60" s="140" t="s">
        <v>11</v>
      </c>
    </row>
    <row r="61" spans="1:10" ht="18.600000000000001" thickBot="1" x14ac:dyDescent="0.35">
      <c r="A61" s="18" t="s">
        <v>234</v>
      </c>
      <c r="B61" s="136">
        <f>I58</f>
        <v>0.18516293810914031</v>
      </c>
      <c r="C61" s="134"/>
      <c r="D61" s="134"/>
      <c r="E61" s="134"/>
      <c r="F61" s="134"/>
      <c r="G61" s="134"/>
      <c r="H61" s="134"/>
      <c r="I61" s="135"/>
    </row>
    <row r="62" spans="1:10" ht="36.6" thickBot="1" x14ac:dyDescent="0.35">
      <c r="A62" s="137" t="s">
        <v>39</v>
      </c>
      <c r="B62" s="55" t="s">
        <v>75</v>
      </c>
      <c r="C62" s="138" t="s">
        <v>6</v>
      </c>
      <c r="D62" s="139" t="s">
        <v>1</v>
      </c>
      <c r="E62" s="139" t="s">
        <v>2</v>
      </c>
      <c r="F62" s="139" t="s">
        <v>3</v>
      </c>
      <c r="G62" s="139" t="s">
        <v>4</v>
      </c>
      <c r="H62" s="139" t="s">
        <v>5</v>
      </c>
      <c r="I62" s="140" t="s">
        <v>11</v>
      </c>
    </row>
    <row r="63" spans="1:10" ht="18.600000000000001" thickBot="1" x14ac:dyDescent="0.35">
      <c r="A63" s="14" t="s">
        <v>27</v>
      </c>
      <c r="B63" s="53"/>
      <c r="C63" s="8">
        <f>C29</f>
        <v>-5000</v>
      </c>
      <c r="D63" s="8">
        <f t="shared" ref="D63:H63" si="34">D29</f>
        <v>3525</v>
      </c>
      <c r="E63" s="8">
        <f t="shared" si="34"/>
        <v>-651</v>
      </c>
      <c r="F63" s="8">
        <f t="shared" si="34"/>
        <v>6908.9666666666672</v>
      </c>
      <c r="G63" s="8">
        <f t="shared" si="34"/>
        <v>8967.0813333333354</v>
      </c>
      <c r="H63" s="8">
        <f t="shared" si="34"/>
        <v>11226.338169999988</v>
      </c>
      <c r="I63" s="100">
        <f>SUM(C63:H63)</f>
        <v>24976.386169999991</v>
      </c>
    </row>
    <row r="64" spans="1:10" ht="15.6" x14ac:dyDescent="0.3">
      <c r="A64" s="50" t="s">
        <v>34</v>
      </c>
      <c r="B64" s="136">
        <f>B61</f>
        <v>0.18516293810914031</v>
      </c>
      <c r="C64" s="23">
        <v>1</v>
      </c>
      <c r="D64" s="23">
        <f>(1+$B$64)^(D4-1)</f>
        <v>1.1851629381091402</v>
      </c>
      <c r="E64" s="23">
        <f>(1+$B$64)^(E4-1)</f>
        <v>1.4046111898674898</v>
      </c>
      <c r="F64" s="23">
        <f>(1+$B$64)^(F4-1)</f>
        <v>1.6646931246843295</v>
      </c>
      <c r="G64" s="23">
        <f>(1+$B$64)^(G4-1)</f>
        <v>1.9729325947009655</v>
      </c>
      <c r="H64" s="23">
        <f>(1+$B$64)^(H4-1)</f>
        <v>2.3382465906270857</v>
      </c>
    </row>
    <row r="65" spans="1:9" ht="16.2" thickBot="1" x14ac:dyDescent="0.35">
      <c r="A65" s="50" t="s">
        <v>48</v>
      </c>
      <c r="B65" s="16"/>
      <c r="C65" s="23">
        <f>1/C64</f>
        <v>1</v>
      </c>
      <c r="D65" s="23">
        <f t="shared" ref="D65:H65" si="35">1/D64</f>
        <v>0.84376583830358631</v>
      </c>
      <c r="E65" s="23">
        <f t="shared" si="35"/>
        <v>0.71194078988815357</v>
      </c>
      <c r="F65" s="23">
        <f t="shared" si="35"/>
        <v>0.60071131740249528</v>
      </c>
      <c r="G65" s="23">
        <f t="shared" si="35"/>
        <v>0.50685968830656813</v>
      </c>
      <c r="H65" s="23">
        <f t="shared" si="35"/>
        <v>0.42767088980628587</v>
      </c>
    </row>
    <row r="66" spans="1:9" ht="18.600000000000001" thickBot="1" x14ac:dyDescent="0.35">
      <c r="A66" s="18" t="s">
        <v>225</v>
      </c>
      <c r="B66" s="117"/>
      <c r="C66" s="8">
        <f>C63*C65</f>
        <v>-5000</v>
      </c>
      <c r="D66" s="8">
        <f t="shared" ref="D66" si="36">D63*D65</f>
        <v>2974.2745800201419</v>
      </c>
      <c r="E66" s="8">
        <f t="shared" ref="E66" si="37">E63*E65</f>
        <v>-463.47345421718796</v>
      </c>
      <c r="F66" s="8">
        <f t="shared" ref="F66" si="38">F63*F65</f>
        <v>4150.2944682232601</v>
      </c>
      <c r="G66" s="8">
        <f t="shared" ref="G66" si="39">G63*G65</f>
        <v>4545.05204963298</v>
      </c>
      <c r="H66" s="8">
        <f t="shared" ref="H66" si="40">H63*H65</f>
        <v>4801.178034430166</v>
      </c>
      <c r="I66" s="88">
        <f>SUM(C66:H66)</f>
        <v>11007.325678089361</v>
      </c>
    </row>
    <row r="67" spans="1:9" ht="36.6" thickBot="1" x14ac:dyDescent="0.35">
      <c r="A67" s="137" t="s">
        <v>46</v>
      </c>
      <c r="B67" s="55" t="s">
        <v>75</v>
      </c>
      <c r="C67" s="138" t="s">
        <v>6</v>
      </c>
      <c r="D67" s="139" t="s">
        <v>1</v>
      </c>
      <c r="E67" s="139" t="s">
        <v>2</v>
      </c>
      <c r="F67" s="139" t="s">
        <v>3</v>
      </c>
      <c r="G67" s="139" t="s">
        <v>4</v>
      </c>
      <c r="H67" s="139" t="s">
        <v>5</v>
      </c>
      <c r="I67" s="140" t="s">
        <v>11</v>
      </c>
    </row>
    <row r="68" spans="1:9" ht="34.200000000000003" thickBot="1" x14ac:dyDescent="0.35">
      <c r="A68" s="18" t="s">
        <v>169</v>
      </c>
      <c r="I68" s="89">
        <f>IRR(C29:H29,0.0001)</f>
        <v>0.71462228398451022</v>
      </c>
    </row>
    <row r="69" spans="1:9" ht="36.6" thickBot="1" x14ac:dyDescent="0.35">
      <c r="A69" s="137" t="s">
        <v>47</v>
      </c>
      <c r="B69" s="55" t="s">
        <v>75</v>
      </c>
      <c r="C69" s="138" t="s">
        <v>6</v>
      </c>
      <c r="D69" s="139" t="s">
        <v>1</v>
      </c>
      <c r="E69" s="139" t="s">
        <v>2</v>
      </c>
      <c r="F69" s="139" t="s">
        <v>3</v>
      </c>
      <c r="G69" s="139" t="s">
        <v>4</v>
      </c>
      <c r="H69" s="139" t="s">
        <v>5</v>
      </c>
      <c r="I69" s="140" t="s">
        <v>11</v>
      </c>
    </row>
    <row r="70" spans="1:9" ht="33" thickBot="1" x14ac:dyDescent="0.35">
      <c r="A70" s="18" t="s">
        <v>410</v>
      </c>
      <c r="C70" s="8">
        <f t="shared" ref="C70:H70" si="41">IF(C71&lt;0,0,1)</f>
        <v>0</v>
      </c>
      <c r="D70" s="8">
        <f t="shared" si="41"/>
        <v>0</v>
      </c>
      <c r="E70" s="8">
        <f t="shared" si="41"/>
        <v>0</v>
      </c>
      <c r="F70" s="8">
        <f t="shared" si="41"/>
        <v>1</v>
      </c>
      <c r="G70" s="8">
        <f t="shared" si="41"/>
        <v>1</v>
      </c>
      <c r="H70" s="8">
        <f t="shared" si="41"/>
        <v>1</v>
      </c>
      <c r="I70" s="143">
        <f>I4-SUM(C70:H70)-SUM(C72:H72)</f>
        <v>2.5997644006360523</v>
      </c>
    </row>
    <row r="71" spans="1:9" ht="18" x14ac:dyDescent="0.3">
      <c r="A71" s="38" t="s">
        <v>50</v>
      </c>
      <c r="C71" s="24">
        <f>C66</f>
        <v>-5000</v>
      </c>
      <c r="D71" s="24">
        <f>C71+D66</f>
        <v>-2025.7254199798581</v>
      </c>
      <c r="E71" s="24">
        <f t="shared" ref="E71:H71" si="42">D71+E66</f>
        <v>-2489.1988741970463</v>
      </c>
      <c r="F71" s="24">
        <f t="shared" si="42"/>
        <v>1661.0955940262138</v>
      </c>
      <c r="G71" s="24">
        <f t="shared" si="42"/>
        <v>6206.1476436591938</v>
      </c>
      <c r="H71" s="24">
        <f t="shared" si="42"/>
        <v>11007.325678089361</v>
      </c>
      <c r="I71" s="135"/>
    </row>
    <row r="72" spans="1:9" ht="18.600000000000001" thickBot="1" x14ac:dyDescent="0.35">
      <c r="A72" s="19" t="s">
        <v>32</v>
      </c>
      <c r="C72" s="20">
        <f t="shared" ref="C72:H72" si="43">IF(AND(B70=0,C70=1),C71/C66,0)</f>
        <v>0</v>
      </c>
      <c r="D72" s="20">
        <f t="shared" si="43"/>
        <v>0</v>
      </c>
      <c r="E72" s="20">
        <f t="shared" si="43"/>
        <v>0</v>
      </c>
      <c r="F72" s="20">
        <f t="shared" si="43"/>
        <v>0.40023559936394787</v>
      </c>
      <c r="G72" s="20">
        <f t="shared" si="43"/>
        <v>0</v>
      </c>
      <c r="H72" s="20">
        <f t="shared" si="43"/>
        <v>0</v>
      </c>
      <c r="I72" s="135"/>
    </row>
    <row r="73" spans="1:9" ht="36.6" thickBot="1" x14ac:dyDescent="0.35">
      <c r="A73" s="137" t="s">
        <v>87</v>
      </c>
      <c r="B73" s="55" t="s">
        <v>75</v>
      </c>
      <c r="C73" s="138" t="s">
        <v>6</v>
      </c>
      <c r="D73" s="139" t="s">
        <v>1</v>
      </c>
      <c r="E73" s="139" t="s">
        <v>2</v>
      </c>
      <c r="F73" s="139" t="s">
        <v>3</v>
      </c>
      <c r="G73" s="139" t="s">
        <v>4</v>
      </c>
      <c r="H73" s="139" t="s">
        <v>5</v>
      </c>
      <c r="I73" s="140" t="s">
        <v>11</v>
      </c>
    </row>
    <row r="74" spans="1:9" ht="18.600000000000001" thickBot="1" x14ac:dyDescent="0.35">
      <c r="A74" s="14" t="s">
        <v>27</v>
      </c>
      <c r="B74" s="53"/>
      <c r="C74" s="8">
        <f>C29</f>
        <v>-5000</v>
      </c>
      <c r="D74" s="8">
        <f t="shared" ref="D74:H74" si="44">D29</f>
        <v>3525</v>
      </c>
      <c r="E74" s="8">
        <f t="shared" si="44"/>
        <v>-651</v>
      </c>
      <c r="F74" s="8">
        <f t="shared" si="44"/>
        <v>6908.9666666666672</v>
      </c>
      <c r="G74" s="8">
        <f t="shared" si="44"/>
        <v>8967.0813333333354</v>
      </c>
      <c r="H74" s="8">
        <f t="shared" si="44"/>
        <v>11226.338169999988</v>
      </c>
      <c r="I74" s="100">
        <f>SUM(C74:H74)</f>
        <v>24976.386169999991</v>
      </c>
    </row>
    <row r="75" spans="1:9" ht="18" x14ac:dyDescent="0.3">
      <c r="A75" s="30" t="s">
        <v>138</v>
      </c>
      <c r="B75" s="136">
        <v>0.1</v>
      </c>
      <c r="C75" s="20">
        <f t="shared" ref="C75:H75" si="45">(1+$B$75)^($H$4-C4)</f>
        <v>1.6105100000000006</v>
      </c>
      <c r="D75" s="20">
        <f t="shared" si="45"/>
        <v>1.4641000000000004</v>
      </c>
      <c r="E75" s="20">
        <f t="shared" si="45"/>
        <v>1.3310000000000004</v>
      </c>
      <c r="F75" s="20">
        <f t="shared" si="45"/>
        <v>1.2100000000000002</v>
      </c>
      <c r="G75" s="20">
        <f t="shared" si="45"/>
        <v>1.1000000000000001</v>
      </c>
      <c r="H75" s="20">
        <f t="shared" si="45"/>
        <v>1</v>
      </c>
      <c r="I75" s="135"/>
    </row>
    <row r="76" spans="1:9" ht="18.600000000000001" thickBot="1" x14ac:dyDescent="0.35">
      <c r="A76" s="38" t="s">
        <v>48</v>
      </c>
      <c r="B76" s="136">
        <f>B64</f>
        <v>0.18516293810914031</v>
      </c>
      <c r="C76" s="31">
        <f>C65</f>
        <v>1</v>
      </c>
      <c r="D76" s="31">
        <f t="shared" ref="D76:H76" si="46">D65</f>
        <v>0.84376583830358631</v>
      </c>
      <c r="E76" s="31">
        <f t="shared" si="46"/>
        <v>0.71194078988815357</v>
      </c>
      <c r="F76" s="31">
        <f t="shared" si="46"/>
        <v>0.60071131740249528</v>
      </c>
      <c r="G76" s="31">
        <f t="shared" si="46"/>
        <v>0.50685968830656813</v>
      </c>
      <c r="H76" s="31">
        <f t="shared" si="46"/>
        <v>0.42767088980628587</v>
      </c>
      <c r="I76" s="135"/>
    </row>
    <row r="77" spans="1:9" ht="18.600000000000001" thickBot="1" x14ac:dyDescent="0.35">
      <c r="A77" s="18" t="s">
        <v>133</v>
      </c>
      <c r="B77" s="16"/>
      <c r="C77" s="24">
        <f>IF(C74&gt;0,C74*C75,0)</f>
        <v>0</v>
      </c>
      <c r="D77" s="24">
        <f>IF(D74&gt;0,D74*D75,0)</f>
        <v>5160.9525000000012</v>
      </c>
      <c r="E77" s="24">
        <f t="shared" ref="E77:H77" si="47">IF(E74&gt;0,E74*E75,0)</f>
        <v>0</v>
      </c>
      <c r="F77" s="24">
        <f t="shared" si="47"/>
        <v>8359.8496666666688</v>
      </c>
      <c r="G77" s="24">
        <f t="shared" si="47"/>
        <v>9863.7894666666689</v>
      </c>
      <c r="H77" s="24">
        <f t="shared" si="47"/>
        <v>11226.338169999988</v>
      </c>
      <c r="I77" s="21">
        <f>SUM(C77:H77)</f>
        <v>34610.929803333325</v>
      </c>
    </row>
    <row r="78" spans="1:9" ht="18.600000000000001" thickBot="1" x14ac:dyDescent="0.35">
      <c r="A78" s="14" t="s">
        <v>143</v>
      </c>
      <c r="C78" s="102">
        <f>IF(C74&lt;0,-C74*C76,0)</f>
        <v>5000</v>
      </c>
      <c r="D78" s="102">
        <f>IF(D74&lt;0,-D74*D76,0)</f>
        <v>0</v>
      </c>
      <c r="E78" s="102">
        <f>IF(E74&lt;0,-E74*E76,0)</f>
        <v>463.47345421718796</v>
      </c>
      <c r="F78" s="102">
        <f t="shared" ref="F78:H78" si="48">IF(F74&lt;0,-F74*F76,0)</f>
        <v>0</v>
      </c>
      <c r="G78" s="102">
        <f t="shared" si="48"/>
        <v>0</v>
      </c>
      <c r="H78" s="102">
        <f t="shared" si="48"/>
        <v>0</v>
      </c>
      <c r="I78" s="21">
        <f>SUM(C78:H78)</f>
        <v>5463.4734542171882</v>
      </c>
    </row>
    <row r="79" spans="1:9" s="67" customFormat="1" ht="18.600000000000001" thickBot="1" x14ac:dyDescent="0.35">
      <c r="A79" s="30" t="s">
        <v>144</v>
      </c>
      <c r="B79" s="117"/>
      <c r="C79" s="95"/>
      <c r="D79" s="118"/>
      <c r="E79" s="118"/>
      <c r="F79" s="118"/>
      <c r="G79" s="118"/>
      <c r="H79" s="118"/>
      <c r="I79" s="144">
        <f>I77/((1+B76)^G4)</f>
        <v>14802.087146014463</v>
      </c>
    </row>
    <row r="80" spans="1:9" s="67" customFormat="1" ht="18.600000000000001" thickBot="1" x14ac:dyDescent="0.35">
      <c r="A80" s="18" t="s">
        <v>172</v>
      </c>
      <c r="B80" s="1"/>
      <c r="C80" s="1"/>
      <c r="D80" s="1"/>
      <c r="E80" s="1"/>
      <c r="F80" s="1"/>
      <c r="G80" s="1"/>
      <c r="H80" s="1"/>
      <c r="I80" s="88">
        <f>I79-I78</f>
        <v>9338.6136917972744</v>
      </c>
    </row>
    <row r="81" spans="1:9" ht="36.6" thickBot="1" x14ac:dyDescent="0.35">
      <c r="A81" s="137" t="s">
        <v>130</v>
      </c>
      <c r="B81" s="55" t="s">
        <v>75</v>
      </c>
      <c r="C81" s="138" t="s">
        <v>6</v>
      </c>
      <c r="D81" s="139" t="s">
        <v>1</v>
      </c>
      <c r="E81" s="139" t="s">
        <v>2</v>
      </c>
      <c r="F81" s="139" t="s">
        <v>3</v>
      </c>
      <c r="G81" s="139" t="s">
        <v>4</v>
      </c>
      <c r="H81" s="139" t="s">
        <v>5</v>
      </c>
      <c r="I81" s="140" t="s">
        <v>11</v>
      </c>
    </row>
    <row r="82" spans="1:9" s="67" customFormat="1" ht="18.600000000000001" thickBot="1" x14ac:dyDescent="0.35">
      <c r="A82" s="14" t="s">
        <v>126</v>
      </c>
      <c r="B82" s="1"/>
      <c r="C82" s="3"/>
      <c r="D82" s="3"/>
      <c r="E82" s="3"/>
      <c r="F82" s="3"/>
      <c r="G82" s="3"/>
      <c r="H82" s="3"/>
      <c r="I82" s="93">
        <f>MIRR(C29:H29,B76,B75)</f>
        <v>0.44660141593824876</v>
      </c>
    </row>
    <row r="83" spans="1:9" s="67" customFormat="1" ht="16.2" thickBot="1" x14ac:dyDescent="0.35">
      <c r="A83" s="30"/>
      <c r="B83" s="117"/>
      <c r="C83" s="95"/>
      <c r="D83" s="118"/>
      <c r="E83" s="118"/>
      <c r="F83" s="118"/>
      <c r="G83" s="118"/>
      <c r="H83" s="118"/>
      <c r="I83" s="119"/>
    </row>
    <row r="84" spans="1:9" ht="67.8" thickBot="1" x14ac:dyDescent="0.35">
      <c r="A84" s="141" t="s">
        <v>242</v>
      </c>
      <c r="B84" s="142" t="s">
        <v>75</v>
      </c>
      <c r="C84" s="138" t="s">
        <v>6</v>
      </c>
      <c r="D84" s="139" t="s">
        <v>1</v>
      </c>
      <c r="E84" s="139" t="s">
        <v>2</v>
      </c>
      <c r="F84" s="139" t="s">
        <v>3</v>
      </c>
      <c r="G84" s="139" t="s">
        <v>4</v>
      </c>
      <c r="H84" s="139" t="s">
        <v>5</v>
      </c>
      <c r="I84" s="140" t="s">
        <v>11</v>
      </c>
    </row>
    <row r="85" spans="1:9" ht="18.600000000000001" thickBot="1" x14ac:dyDescent="0.35">
      <c r="A85" s="18" t="s">
        <v>234</v>
      </c>
      <c r="B85" s="136">
        <f>B61</f>
        <v>0.18516293810914031</v>
      </c>
      <c r="C85" s="134">
        <f>C58</f>
        <v>0.25</v>
      </c>
      <c r="D85" s="134">
        <f t="shared" ref="D85:H85" si="49">D58</f>
        <v>0.17312284730195179</v>
      </c>
      <c r="E85" s="134">
        <f t="shared" si="49"/>
        <v>0.18592660550458714</v>
      </c>
      <c r="F85" s="134">
        <f t="shared" si="49"/>
        <v>0.17622608695652175</v>
      </c>
      <c r="G85" s="134">
        <f t="shared" si="49"/>
        <v>0.16669421487603306</v>
      </c>
      <c r="H85" s="134">
        <f t="shared" si="49"/>
        <v>0.15900787401574804</v>
      </c>
      <c r="I85" s="135"/>
    </row>
    <row r="86" spans="1:9" ht="36.6" thickBot="1" x14ac:dyDescent="0.35">
      <c r="A86" s="137" t="s">
        <v>39</v>
      </c>
      <c r="B86" s="55" t="s">
        <v>75</v>
      </c>
      <c r="C86" s="138" t="s">
        <v>6</v>
      </c>
      <c r="D86" s="139" t="s">
        <v>1</v>
      </c>
      <c r="E86" s="139" t="s">
        <v>2</v>
      </c>
      <c r="F86" s="139" t="s">
        <v>3</v>
      </c>
      <c r="G86" s="139" t="s">
        <v>4</v>
      </c>
      <c r="H86" s="139" t="s">
        <v>5</v>
      </c>
      <c r="I86" s="140" t="s">
        <v>11</v>
      </c>
    </row>
    <row r="87" spans="1:9" ht="18.600000000000001" thickBot="1" x14ac:dyDescent="0.35">
      <c r="A87" s="14" t="s">
        <v>27</v>
      </c>
      <c r="B87" s="53"/>
      <c r="C87" s="8">
        <f>C63</f>
        <v>-5000</v>
      </c>
      <c r="D87" s="8">
        <f t="shared" ref="D87:H87" si="50">D63</f>
        <v>3525</v>
      </c>
      <c r="E87" s="8">
        <f t="shared" si="50"/>
        <v>-651</v>
      </c>
      <c r="F87" s="8">
        <f t="shared" si="50"/>
        <v>6908.9666666666672</v>
      </c>
      <c r="G87" s="8">
        <f t="shared" si="50"/>
        <v>8967.0813333333354</v>
      </c>
      <c r="H87" s="8">
        <f t="shared" si="50"/>
        <v>11226.338169999988</v>
      </c>
      <c r="I87" s="100">
        <f>SUM(C87:H87)</f>
        <v>24976.386169999991</v>
      </c>
    </row>
    <row r="88" spans="1:9" ht="15.6" x14ac:dyDescent="0.3">
      <c r="A88" s="50" t="s">
        <v>34</v>
      </c>
      <c r="B88" s="136"/>
      <c r="C88" s="103">
        <v>0</v>
      </c>
      <c r="D88" s="103">
        <f t="shared" ref="D88:H88" si="51">D85</f>
        <v>0.17312284730195179</v>
      </c>
      <c r="E88" s="103">
        <f t="shared" si="51"/>
        <v>0.18592660550458714</v>
      </c>
      <c r="F88" s="103">
        <f t="shared" si="51"/>
        <v>0.17622608695652175</v>
      </c>
      <c r="G88" s="103">
        <f t="shared" si="51"/>
        <v>0.16669421487603306</v>
      </c>
      <c r="H88" s="103">
        <f t="shared" si="51"/>
        <v>0.15900787401574804</v>
      </c>
    </row>
    <row r="89" spans="1:9" ht="16.2" thickBot="1" x14ac:dyDescent="0.35">
      <c r="A89" s="50" t="s">
        <v>48</v>
      </c>
      <c r="B89" s="16"/>
      <c r="C89" s="23">
        <f>1/(1+C88)</f>
        <v>1</v>
      </c>
      <c r="D89" s="23">
        <f>C89*(1/(1+D88))</f>
        <v>0.85242564519128206</v>
      </c>
      <c r="E89" s="23">
        <f t="shared" ref="E89:H89" si="52">D89*(1/(1+E88))</f>
        <v>0.71878448567952702</v>
      </c>
      <c r="F89" s="23">
        <f t="shared" si="52"/>
        <v>0.61109381406373819</v>
      </c>
      <c r="G89" s="23">
        <f t="shared" si="52"/>
        <v>0.52378232982724604</v>
      </c>
      <c r="H89" s="23">
        <f t="shared" si="52"/>
        <v>0.45192301240580618</v>
      </c>
    </row>
    <row r="90" spans="1:9" ht="18.600000000000001" thickBot="1" x14ac:dyDescent="0.35">
      <c r="A90" s="18" t="s">
        <v>225</v>
      </c>
      <c r="B90" s="117"/>
      <c r="C90" s="8">
        <f>C87*C89</f>
        <v>-5000</v>
      </c>
      <c r="D90" s="8">
        <f t="shared" ref="D90" si="53">D87*D89</f>
        <v>3004.8003992992694</v>
      </c>
      <c r="E90" s="8">
        <f t="shared" ref="E90" si="54">E87*E89</f>
        <v>-467.92870017737209</v>
      </c>
      <c r="F90" s="8">
        <f t="shared" ref="F90" si="55">F87*F89</f>
        <v>4222.0267915725653</v>
      </c>
      <c r="G90" s="8">
        <f t="shared" ref="G90" si="56">G87*G89</f>
        <v>4696.7987525237422</v>
      </c>
      <c r="H90" s="8">
        <f t="shared" ref="H90" si="57">H87*H89</f>
        <v>5073.44056407268</v>
      </c>
      <c r="I90" s="88">
        <f>SUM(C90:H90)</f>
        <v>11529.137807290885</v>
      </c>
    </row>
    <row r="91" spans="1:9" ht="36.6" thickBot="1" x14ac:dyDescent="0.35">
      <c r="A91" s="137" t="s">
        <v>47</v>
      </c>
      <c r="B91" s="55" t="s">
        <v>75</v>
      </c>
      <c r="C91" s="138" t="s">
        <v>6</v>
      </c>
      <c r="D91" s="139" t="s">
        <v>1</v>
      </c>
      <c r="E91" s="139" t="s">
        <v>2</v>
      </c>
      <c r="F91" s="139" t="s">
        <v>3</v>
      </c>
      <c r="G91" s="139" t="s">
        <v>4</v>
      </c>
      <c r="H91" s="139" t="s">
        <v>5</v>
      </c>
      <c r="I91" s="140" t="s">
        <v>11</v>
      </c>
    </row>
    <row r="92" spans="1:9" ht="33" thickBot="1" x14ac:dyDescent="0.35">
      <c r="A92" s="18" t="s">
        <v>410</v>
      </c>
      <c r="C92" s="8">
        <f>IF(C93&lt;0,0,1)</f>
        <v>0</v>
      </c>
      <c r="D92" s="8">
        <f t="shared" ref="D92:H92" si="58">IF(D93&lt;0,0,1)</f>
        <v>0</v>
      </c>
      <c r="E92" s="8">
        <f t="shared" si="58"/>
        <v>0</v>
      </c>
      <c r="F92" s="8">
        <f t="shared" si="58"/>
        <v>1</v>
      </c>
      <c r="G92" s="8">
        <f t="shared" si="58"/>
        <v>1</v>
      </c>
      <c r="H92" s="8">
        <f t="shared" si="58"/>
        <v>1</v>
      </c>
      <c r="I92" s="143">
        <f>I4-SUM(C92:H92)-SUM(C94:H94)</f>
        <v>2.5833994956627619</v>
      </c>
    </row>
    <row r="93" spans="1:9" ht="18" x14ac:dyDescent="0.3">
      <c r="A93" s="38" t="s">
        <v>50</v>
      </c>
      <c r="C93" s="24">
        <f>C90</f>
        <v>-5000</v>
      </c>
      <c r="D93" s="24">
        <f>C93+D90</f>
        <v>-1995.1996007007306</v>
      </c>
      <c r="E93" s="24">
        <f t="shared" ref="E93:H93" si="59">D93+E90</f>
        <v>-2463.1283008781029</v>
      </c>
      <c r="F93" s="24">
        <f t="shared" si="59"/>
        <v>1758.8984906944625</v>
      </c>
      <c r="G93" s="24">
        <f t="shared" si="59"/>
        <v>6455.6972432182047</v>
      </c>
      <c r="H93" s="24">
        <f t="shared" si="59"/>
        <v>11529.137807290885</v>
      </c>
      <c r="I93" s="135"/>
    </row>
    <row r="94" spans="1:9" ht="18.600000000000001" thickBot="1" x14ac:dyDescent="0.35">
      <c r="A94" s="19" t="s">
        <v>32</v>
      </c>
      <c r="C94" s="20">
        <f t="shared" ref="C94:H94" si="60">IF(AND(B92=0,C92=1),C93/C90,0)</f>
        <v>0</v>
      </c>
      <c r="D94" s="20">
        <f t="shared" si="60"/>
        <v>0</v>
      </c>
      <c r="E94" s="20">
        <f t="shared" si="60"/>
        <v>0</v>
      </c>
      <c r="F94" s="20">
        <f t="shared" si="60"/>
        <v>0.41660050433723822</v>
      </c>
      <c r="G94" s="20">
        <f t="shared" si="60"/>
        <v>0</v>
      </c>
      <c r="H94" s="20">
        <f t="shared" si="60"/>
        <v>0</v>
      </c>
      <c r="I94" s="135"/>
    </row>
    <row r="95" spans="1:9" ht="36.6" thickBot="1" x14ac:dyDescent="0.35">
      <c r="A95" s="137" t="s">
        <v>87</v>
      </c>
      <c r="B95" s="55" t="s">
        <v>75</v>
      </c>
      <c r="C95" s="138" t="s">
        <v>6</v>
      </c>
      <c r="D95" s="139" t="s">
        <v>1</v>
      </c>
      <c r="E95" s="139" t="s">
        <v>2</v>
      </c>
      <c r="F95" s="139" t="s">
        <v>3</v>
      </c>
      <c r="G95" s="139" t="s">
        <v>4</v>
      </c>
      <c r="H95" s="139" t="s">
        <v>5</v>
      </c>
      <c r="I95" s="140" t="s">
        <v>11</v>
      </c>
    </row>
    <row r="96" spans="1:9" ht="18.600000000000001" thickBot="1" x14ac:dyDescent="0.35">
      <c r="A96" s="14" t="s">
        <v>27</v>
      </c>
      <c r="B96" s="53"/>
      <c r="C96" s="8">
        <f>C87</f>
        <v>-5000</v>
      </c>
      <c r="D96" s="8">
        <f t="shared" ref="D96:H96" si="61">D87</f>
        <v>3525</v>
      </c>
      <c r="E96" s="8">
        <f t="shared" si="61"/>
        <v>-651</v>
      </c>
      <c r="F96" s="8">
        <f t="shared" si="61"/>
        <v>6908.9666666666672</v>
      </c>
      <c r="G96" s="8">
        <f t="shared" si="61"/>
        <v>8967.0813333333354</v>
      </c>
      <c r="H96" s="8">
        <f t="shared" si="61"/>
        <v>11226.338169999988</v>
      </c>
      <c r="I96" s="100">
        <f>SUM(C96:H96)</f>
        <v>24976.386169999991</v>
      </c>
    </row>
    <row r="97" spans="1:10" ht="18" x14ac:dyDescent="0.3">
      <c r="A97" s="30" t="s">
        <v>138</v>
      </c>
      <c r="B97" s="136">
        <f>B75</f>
        <v>0.1</v>
      </c>
      <c r="C97" s="20">
        <f>C75</f>
        <v>1.6105100000000006</v>
      </c>
      <c r="D97" s="20">
        <f t="shared" ref="D97:H97" si="62">D75</f>
        <v>1.4641000000000004</v>
      </c>
      <c r="E97" s="20">
        <f t="shared" si="62"/>
        <v>1.3310000000000004</v>
      </c>
      <c r="F97" s="20">
        <f t="shared" si="62"/>
        <v>1.2100000000000002</v>
      </c>
      <c r="G97" s="20">
        <f t="shared" si="62"/>
        <v>1.1000000000000001</v>
      </c>
      <c r="H97" s="20">
        <f t="shared" si="62"/>
        <v>1</v>
      </c>
      <c r="I97" s="135"/>
    </row>
    <row r="98" spans="1:10" ht="18.600000000000001" thickBot="1" x14ac:dyDescent="0.35">
      <c r="A98" s="38" t="s">
        <v>48</v>
      </c>
      <c r="B98" s="136">
        <f>B106</f>
        <v>0.18516293810914031</v>
      </c>
      <c r="C98" s="147">
        <f>C89</f>
        <v>1</v>
      </c>
      <c r="D98" s="147">
        <f t="shared" ref="D98:H98" si="63">D89</f>
        <v>0.85242564519128206</v>
      </c>
      <c r="E98" s="147">
        <f t="shared" si="63"/>
        <v>0.71878448567952702</v>
      </c>
      <c r="F98" s="147">
        <f t="shared" si="63"/>
        <v>0.61109381406373819</v>
      </c>
      <c r="G98" s="147">
        <f t="shared" si="63"/>
        <v>0.52378232982724604</v>
      </c>
      <c r="H98" s="147">
        <f t="shared" si="63"/>
        <v>0.45192301240580618</v>
      </c>
      <c r="I98" s="135"/>
    </row>
    <row r="99" spans="1:10" ht="18.600000000000001" thickBot="1" x14ac:dyDescent="0.35">
      <c r="A99" s="18" t="s">
        <v>133</v>
      </c>
      <c r="B99" s="16"/>
      <c r="C99" s="24">
        <f>IF(C96&gt;0,C96*C97,0)</f>
        <v>0</v>
      </c>
      <c r="D99" s="24">
        <f>IF(D96&gt;0,D96*D97,0)</f>
        <v>5160.9525000000012</v>
      </c>
      <c r="E99" s="24">
        <f t="shared" ref="E99:H99" si="64">IF(E96&gt;0,E96*E97,0)</f>
        <v>0</v>
      </c>
      <c r="F99" s="24">
        <f t="shared" si="64"/>
        <v>8359.8496666666688</v>
      </c>
      <c r="G99" s="24">
        <f t="shared" si="64"/>
        <v>9863.7894666666689</v>
      </c>
      <c r="H99" s="24">
        <f t="shared" si="64"/>
        <v>11226.338169999988</v>
      </c>
      <c r="I99" s="21">
        <f>SUM(C99:H99)</f>
        <v>34610.929803333325</v>
      </c>
    </row>
    <row r="100" spans="1:10" ht="18.600000000000001" thickBot="1" x14ac:dyDescent="0.35">
      <c r="A100" s="14" t="s">
        <v>143</v>
      </c>
      <c r="C100" s="102">
        <f>IF(C96&lt;0,-C96*C98,0)</f>
        <v>5000</v>
      </c>
      <c r="D100" s="102">
        <f>IF(D96&lt;0,-D96*D98,0)</f>
        <v>0</v>
      </c>
      <c r="E100" s="102">
        <f>IF(E96&lt;0,-E96*E98,0)</f>
        <v>467.92870017737209</v>
      </c>
      <c r="F100" s="102">
        <f t="shared" ref="F100:H100" si="65">IF(F96&lt;0,-F96*F98,0)</f>
        <v>0</v>
      </c>
      <c r="G100" s="102">
        <f t="shared" si="65"/>
        <v>0</v>
      </c>
      <c r="H100" s="102">
        <f t="shared" si="65"/>
        <v>0</v>
      </c>
      <c r="I100" s="21">
        <f>SUM(C100:H100)</f>
        <v>5467.9287001773719</v>
      </c>
    </row>
    <row r="101" spans="1:10" s="67" customFormat="1" ht="18.600000000000001" thickBot="1" x14ac:dyDescent="0.35">
      <c r="A101" s="30" t="s">
        <v>144</v>
      </c>
      <c r="B101" s="117"/>
      <c r="C101" s="95"/>
      <c r="D101" s="118"/>
      <c r="E101" s="118"/>
      <c r="F101" s="118"/>
      <c r="G101" s="118"/>
      <c r="H101" s="118"/>
      <c r="I101" s="144">
        <f>I99/((1+B98)^G4)</f>
        <v>14802.087146014463</v>
      </c>
    </row>
    <row r="102" spans="1:10" s="67" customFormat="1" ht="18.600000000000001" thickBot="1" x14ac:dyDescent="0.35">
      <c r="A102" s="18" t="s">
        <v>172</v>
      </c>
      <c r="B102" s="1"/>
      <c r="C102" s="1"/>
      <c r="D102" s="1"/>
      <c r="E102" s="1"/>
      <c r="F102" s="1"/>
      <c r="G102" s="1"/>
      <c r="H102" s="1"/>
      <c r="I102" s="88">
        <f>I101-I100</f>
        <v>9334.1584458370908</v>
      </c>
    </row>
    <row r="103" spans="1:10" s="67" customFormat="1" ht="36.6" thickBot="1" x14ac:dyDescent="0.35">
      <c r="A103" s="137" t="s">
        <v>130</v>
      </c>
      <c r="B103" s="55" t="s">
        <v>75</v>
      </c>
      <c r="C103" s="138" t="s">
        <v>6</v>
      </c>
      <c r="D103" s="139" t="s">
        <v>1</v>
      </c>
      <c r="E103" s="139" t="s">
        <v>2</v>
      </c>
      <c r="F103" s="139" t="s">
        <v>3</v>
      </c>
      <c r="G103" s="139" t="s">
        <v>4</v>
      </c>
      <c r="H103" s="139" t="s">
        <v>5</v>
      </c>
      <c r="I103" s="140" t="s">
        <v>11</v>
      </c>
    </row>
    <row r="104" spans="1:10" s="67" customFormat="1" ht="18.600000000000001" thickBot="1" x14ac:dyDescent="0.35">
      <c r="A104" s="14" t="s">
        <v>27</v>
      </c>
      <c r="B104" s="1"/>
      <c r="C104" s="8">
        <f>C96</f>
        <v>-5000</v>
      </c>
      <c r="D104" s="8">
        <f t="shared" ref="D104:H104" si="66">D96</f>
        <v>3525</v>
      </c>
      <c r="E104" s="8">
        <f t="shared" si="66"/>
        <v>-651</v>
      </c>
      <c r="F104" s="8">
        <f t="shared" si="66"/>
        <v>6908.9666666666672</v>
      </c>
      <c r="G104" s="8">
        <f t="shared" si="66"/>
        <v>8967.0813333333354</v>
      </c>
      <c r="H104" s="8">
        <f t="shared" si="66"/>
        <v>11226.338169999988</v>
      </c>
      <c r="I104" s="100">
        <f>SUM(C104:H104)</f>
        <v>24976.386169999991</v>
      </c>
    </row>
    <row r="105" spans="1:10" s="67" customFormat="1" ht="18" x14ac:dyDescent="0.3">
      <c r="A105" s="30" t="s">
        <v>244</v>
      </c>
      <c r="B105" s="1"/>
      <c r="C105" s="5">
        <f>C4-1</f>
        <v>0</v>
      </c>
      <c r="D105" s="5">
        <f t="shared" ref="D105:H105" si="67">D4-1</f>
        <v>1</v>
      </c>
      <c r="E105" s="5">
        <f t="shared" si="67"/>
        <v>2</v>
      </c>
      <c r="F105" s="5">
        <f t="shared" si="67"/>
        <v>3</v>
      </c>
      <c r="G105" s="5">
        <f t="shared" si="67"/>
        <v>4</v>
      </c>
      <c r="H105" s="5">
        <f t="shared" si="67"/>
        <v>5</v>
      </c>
      <c r="I105" s="148"/>
    </row>
    <row r="106" spans="1:10" s="67" customFormat="1" ht="18" x14ac:dyDescent="0.3">
      <c r="A106" s="38" t="s">
        <v>243</v>
      </c>
      <c r="B106" s="136">
        <f>B85</f>
        <v>0.18516293810914031</v>
      </c>
      <c r="C106" s="149">
        <f>C85</f>
        <v>0.25</v>
      </c>
      <c r="D106" s="149">
        <f t="shared" ref="D106:H106" si="68">D85</f>
        <v>0.17312284730195179</v>
      </c>
      <c r="E106" s="149">
        <f t="shared" si="68"/>
        <v>0.18592660550458714</v>
      </c>
      <c r="F106" s="149">
        <f t="shared" si="68"/>
        <v>0.17622608695652175</v>
      </c>
      <c r="G106" s="149">
        <f t="shared" si="68"/>
        <v>0.16669421487603306</v>
      </c>
      <c r="H106" s="149">
        <f t="shared" si="68"/>
        <v>0.15900787401574804</v>
      </c>
      <c r="I106" s="148"/>
      <c r="J106"/>
    </row>
    <row r="107" spans="1:10" s="67" customFormat="1" ht="18" x14ac:dyDescent="0.3">
      <c r="A107" s="38" t="s">
        <v>48</v>
      </c>
      <c r="B107" s="1"/>
      <c r="C107" s="147">
        <f>C98</f>
        <v>1</v>
      </c>
      <c r="D107" s="147">
        <f>C107*(1/(1+D106))</f>
        <v>0.85242564519128206</v>
      </c>
      <c r="E107" s="147">
        <f t="shared" ref="E107:H107" si="69">D107*(1/(1+E106))</f>
        <v>0.71878448567952702</v>
      </c>
      <c r="F107" s="147">
        <f t="shared" si="69"/>
        <v>0.61109381406373819</v>
      </c>
      <c r="G107" s="147">
        <f t="shared" si="69"/>
        <v>0.52378232982724604</v>
      </c>
      <c r="H107" s="147">
        <f t="shared" si="69"/>
        <v>0.45192301240580618</v>
      </c>
      <c r="I107" s="148"/>
      <c r="J107"/>
    </row>
    <row r="108" spans="1:10" s="67" customFormat="1" ht="18.600000000000001" thickBot="1" x14ac:dyDescent="0.35">
      <c r="A108" s="30" t="s">
        <v>135</v>
      </c>
      <c r="B108" s="1"/>
      <c r="C108" s="147"/>
      <c r="D108" s="147">
        <f t="shared" ref="D108:F108" si="70">E108*(1+D106)</f>
        <v>2.2127662733449074</v>
      </c>
      <c r="E108" s="147">
        <f t="shared" si="70"/>
        <v>1.8862187182135413</v>
      </c>
      <c r="F108" s="147">
        <f t="shared" si="70"/>
        <v>1.5905020677152228</v>
      </c>
      <c r="G108" s="147">
        <f>H108*(1+G106)</f>
        <v>1.3522077816099436</v>
      </c>
      <c r="H108" s="147">
        <f>(1+H106)</f>
        <v>1.1590078740157481</v>
      </c>
      <c r="I108" s="148"/>
    </row>
    <row r="109" spans="1:10" s="67" customFormat="1" ht="18.600000000000001" thickBot="1" x14ac:dyDescent="0.35">
      <c r="A109" s="18" t="s">
        <v>133</v>
      </c>
      <c r="B109" s="16"/>
      <c r="C109" s="150">
        <f>IF(C96&gt;0,C96*C108,0)</f>
        <v>0</v>
      </c>
      <c r="D109" s="150">
        <f t="shared" ref="D109:H109" si="71">IF(D96&gt;0,D96*D108,0)</f>
        <v>7800.0011135407985</v>
      </c>
      <c r="E109" s="150">
        <f t="shared" si="71"/>
        <v>0</v>
      </c>
      <c r="F109" s="150">
        <f t="shared" si="71"/>
        <v>10988.725769108885</v>
      </c>
      <c r="G109" s="150">
        <f t="shared" si="71"/>
        <v>12125.357157262604</v>
      </c>
      <c r="H109" s="150">
        <f t="shared" si="71"/>
        <v>13011.414335393531</v>
      </c>
      <c r="I109" s="100">
        <f>SUM(C109:H109)</f>
        <v>43925.498375305819</v>
      </c>
    </row>
    <row r="110" spans="1:10" s="67" customFormat="1" ht="18.600000000000001" thickBot="1" x14ac:dyDescent="0.35">
      <c r="A110" s="14" t="s">
        <v>143</v>
      </c>
      <c r="B110" s="16"/>
      <c r="C110" s="150">
        <f>IF(C104&lt;0,C107*C104,0)</f>
        <v>-5000</v>
      </c>
      <c r="D110" s="150">
        <f t="shared" ref="D110:H110" si="72">IF(D104&lt;0,D107*D104,0)</f>
        <v>0</v>
      </c>
      <c r="E110" s="150">
        <f t="shared" si="72"/>
        <v>-467.92870017737209</v>
      </c>
      <c r="F110" s="150">
        <f t="shared" si="72"/>
        <v>0</v>
      </c>
      <c r="G110" s="150">
        <f t="shared" si="72"/>
        <v>0</v>
      </c>
      <c r="H110" s="150">
        <f t="shared" si="72"/>
        <v>0</v>
      </c>
      <c r="I110" s="100">
        <f>SUM(C110:H110)</f>
        <v>-5467.9287001773719</v>
      </c>
    </row>
    <row r="111" spans="1:10" s="67" customFormat="1" ht="18.600000000000001" thickBot="1" x14ac:dyDescent="0.35">
      <c r="A111" s="18" t="s">
        <v>126</v>
      </c>
      <c r="B111" s="16"/>
      <c r="C111" s="150"/>
      <c r="D111" s="150"/>
      <c r="E111" s="150"/>
      <c r="F111" s="150"/>
      <c r="G111" s="150"/>
      <c r="H111" s="150"/>
      <c r="I111" s="93">
        <f>(I109/-I110)^(1/H105)</f>
        <v>1.516976213299307</v>
      </c>
    </row>
    <row r="112" spans="1:10" s="67" customFormat="1" ht="18.600000000000001" thickBot="1" x14ac:dyDescent="0.35">
      <c r="A112" s="18"/>
      <c r="B112" s="16"/>
      <c r="C112" s="150"/>
      <c r="D112" s="150"/>
      <c r="E112" s="150"/>
      <c r="F112" s="150"/>
      <c r="G112" s="150"/>
      <c r="H112" s="150"/>
      <c r="I112" s="119"/>
    </row>
    <row r="113" spans="1:9" ht="55.2" thickBot="1" x14ac:dyDescent="0.35">
      <c r="A113" s="156" t="s">
        <v>250</v>
      </c>
    </row>
    <row r="114" spans="1:9" ht="18.600000000000001" thickBot="1" x14ac:dyDescent="0.35">
      <c r="A114" s="18" t="s">
        <v>253</v>
      </c>
      <c r="C114" s="80">
        <f>C38</f>
        <v>-5000</v>
      </c>
      <c r="D114" s="80">
        <f t="shared" ref="D114:H114" si="73">D38</f>
        <v>3525</v>
      </c>
      <c r="E114" s="80">
        <f t="shared" si="73"/>
        <v>-651</v>
      </c>
      <c r="F114" s="80">
        <f t="shared" si="73"/>
        <v>6908.9666666666672</v>
      </c>
      <c r="G114" s="80">
        <f t="shared" si="73"/>
        <v>8967.0813333333354</v>
      </c>
      <c r="H114" s="80">
        <f t="shared" si="73"/>
        <v>11226.338169999988</v>
      </c>
      <c r="I114" s="21">
        <f>SUM(C114:H114)</f>
        <v>24976.386169999991</v>
      </c>
    </row>
    <row r="115" spans="1:9" ht="18.600000000000001" thickBot="1" x14ac:dyDescent="0.35">
      <c r="A115" s="14" t="s">
        <v>234</v>
      </c>
      <c r="C115" s="134">
        <f t="shared" ref="C115:I115" si="74">C58</f>
        <v>0.25</v>
      </c>
      <c r="D115" s="134">
        <f t="shared" si="74"/>
        <v>0.17312284730195179</v>
      </c>
      <c r="E115" s="134">
        <f t="shared" si="74"/>
        <v>0.18592660550458714</v>
      </c>
      <c r="F115" s="134">
        <f t="shared" si="74"/>
        <v>0.17622608695652175</v>
      </c>
      <c r="G115" s="134">
        <f t="shared" si="74"/>
        <v>0.16669421487603306</v>
      </c>
      <c r="H115" s="134">
        <f t="shared" si="74"/>
        <v>0.15900787401574804</v>
      </c>
      <c r="I115" s="157">
        <f t="shared" si="74"/>
        <v>0.18516293810914031</v>
      </c>
    </row>
    <row r="116" spans="1:9" ht="18.600000000000001" thickBot="1" x14ac:dyDescent="0.35">
      <c r="A116" s="14" t="s">
        <v>251</v>
      </c>
      <c r="I116" s="158">
        <f>(I46*(1+$B$118))/($B$117-$B$118)</f>
        <v>49485.695938983961</v>
      </c>
    </row>
    <row r="117" spans="1:9" ht="15.6" x14ac:dyDescent="0.3">
      <c r="A117" s="101" t="s">
        <v>34</v>
      </c>
      <c r="B117" s="136">
        <f>I115</f>
        <v>0.18516293810914031</v>
      </c>
    </row>
    <row r="118" spans="1:9" ht="15.6" x14ac:dyDescent="0.3">
      <c r="A118" s="101" t="s">
        <v>223</v>
      </c>
      <c r="B118" s="16">
        <f>B48</f>
        <v>0.05</v>
      </c>
    </row>
    <row r="119" spans="1:9" ht="15.6" x14ac:dyDescent="0.3">
      <c r="A119" s="30" t="s">
        <v>244</v>
      </c>
      <c r="C119" s="5">
        <f>C105+1</f>
        <v>1</v>
      </c>
      <c r="D119" s="5">
        <f t="shared" ref="D119:H119" si="75">D105+1</f>
        <v>2</v>
      </c>
      <c r="E119" s="5">
        <f t="shared" si="75"/>
        <v>3</v>
      </c>
      <c r="F119" s="5">
        <f t="shared" si="75"/>
        <v>4</v>
      </c>
      <c r="G119" s="5">
        <f t="shared" si="75"/>
        <v>5</v>
      </c>
      <c r="H119" s="5">
        <f t="shared" si="75"/>
        <v>6</v>
      </c>
    </row>
    <row r="120" spans="1:9" ht="16.2" thickBot="1" x14ac:dyDescent="0.35">
      <c r="A120" s="101" t="s">
        <v>254</v>
      </c>
      <c r="B120" s="16"/>
      <c r="C120" s="23">
        <f>1/((1+$B$117)^(C119-0.5))</f>
        <v>0.9185672747837178</v>
      </c>
      <c r="D120" s="23">
        <f t="shared" ref="D120:H120" si="76">1/((1+$B$117)^(D119-0.5))</f>
        <v>0.77505568664612434</v>
      </c>
      <c r="E120" s="23">
        <f t="shared" si="76"/>
        <v>0.65396551117492885</v>
      </c>
      <c r="F120" s="23">
        <f t="shared" si="76"/>
        <v>0.5517937577581471</v>
      </c>
      <c r="G120" s="23">
        <f t="shared" si="76"/>
        <v>0.465584722585489</v>
      </c>
      <c r="H120" s="23">
        <f t="shared" si="76"/>
        <v>0.3928444837536878</v>
      </c>
    </row>
    <row r="121" spans="1:9" ht="18.600000000000001" thickBot="1" x14ac:dyDescent="0.35">
      <c r="A121" s="14" t="s">
        <v>255</v>
      </c>
      <c r="B121" s="16"/>
      <c r="C121" s="24">
        <f>C120*C114</f>
        <v>-4592.8363739185888</v>
      </c>
      <c r="D121" s="24">
        <f t="shared" ref="D121:H121" si="77">D120*D114</f>
        <v>2732.0712954275882</v>
      </c>
      <c r="E121" s="24">
        <f t="shared" si="77"/>
        <v>-425.73154777487866</v>
      </c>
      <c r="F121" s="24">
        <f t="shared" si="77"/>
        <v>3812.3246792257801</v>
      </c>
      <c r="G121" s="24">
        <f t="shared" si="77"/>
        <v>4174.9360749815178</v>
      </c>
      <c r="H121" s="24">
        <f t="shared" si="77"/>
        <v>4410.2050228379658</v>
      </c>
      <c r="I121" s="21">
        <f>SUM(C121:H121)</f>
        <v>10110.969150779383</v>
      </c>
    </row>
    <row r="122" spans="1:9" ht="24" thickBot="1" x14ac:dyDescent="0.35">
      <c r="A122" s="159" t="s">
        <v>252</v>
      </c>
      <c r="I122" s="181">
        <f>I121+I116/((1+B117)^(H119-0.5))</f>
        <v>29551.151825121502</v>
      </c>
    </row>
    <row r="124" spans="1:9" x14ac:dyDescent="0.3">
      <c r="G124" s="68"/>
    </row>
    <row r="126" spans="1:9" ht="29.4" customHeight="1" x14ac:dyDescent="0.3"/>
    <row r="128" spans="1:9" x14ac:dyDescent="0.3">
      <c r="A128" s="19"/>
      <c r="E128"/>
    </row>
    <row r="129" spans="1:11" x14ac:dyDescent="0.3">
      <c r="A129" s="79"/>
      <c r="E129"/>
      <c r="G129" s="68"/>
    </row>
    <row r="130" spans="1:11" x14ac:dyDescent="0.3">
      <c r="A130" s="46"/>
      <c r="E130" s="68"/>
      <c r="G130" s="69"/>
    </row>
    <row r="131" spans="1:11" ht="30.6" customHeight="1" x14ac:dyDescent="0.3">
      <c r="A131" s="14"/>
      <c r="E131" s="68"/>
      <c r="G131" s="68"/>
    </row>
    <row r="132" spans="1:11" x14ac:dyDescent="0.3">
      <c r="G132" s="68"/>
      <c r="J132" s="68"/>
      <c r="K132" s="6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4"/>
  <sheetViews>
    <sheetView topLeftCell="A202" workbookViewId="0">
      <selection activeCell="B23" sqref="B23"/>
    </sheetView>
  </sheetViews>
  <sheetFormatPr defaultRowHeight="14.4" x14ac:dyDescent="0.3"/>
  <cols>
    <col min="1" max="1" width="51.5546875" style="1" customWidth="1"/>
    <col min="2" max="2" width="10.44140625" style="1" customWidth="1"/>
    <col min="3" max="8" width="10.77734375" style="1" customWidth="1"/>
    <col min="9" max="10" width="12.77734375" style="1" customWidth="1"/>
    <col min="11" max="16384" width="8.88671875" style="1"/>
  </cols>
  <sheetData>
    <row r="1" spans="1:10" ht="28.8" x14ac:dyDescent="0.3">
      <c r="A1" s="230" t="s">
        <v>403</v>
      </c>
      <c r="C1" s="6"/>
      <c r="E1" s="46"/>
    </row>
    <row r="2" spans="1:10" ht="18.600000000000001" thickBot="1" x14ac:dyDescent="0.35">
      <c r="A2" s="12" t="s">
        <v>402</v>
      </c>
      <c r="C2" s="6"/>
      <c r="E2" s="46"/>
    </row>
    <row r="3" spans="1:10" ht="36.6" thickBot="1" x14ac:dyDescent="0.35">
      <c r="A3" s="231" t="s">
        <v>404</v>
      </c>
      <c r="B3" s="55" t="s">
        <v>75</v>
      </c>
      <c r="C3" s="61" t="s">
        <v>6</v>
      </c>
      <c r="D3" s="62" t="s">
        <v>1</v>
      </c>
      <c r="E3" s="62" t="s">
        <v>2</v>
      </c>
      <c r="F3" s="62" t="s">
        <v>3</v>
      </c>
      <c r="G3" s="62" t="s">
        <v>4</v>
      </c>
      <c r="H3" s="62" t="s">
        <v>5</v>
      </c>
      <c r="I3" s="63" t="s">
        <v>11</v>
      </c>
    </row>
    <row r="4" spans="1:10" ht="18" x14ac:dyDescent="0.3">
      <c r="A4" s="22" t="s">
        <v>33</v>
      </c>
      <c r="B4" s="12"/>
      <c r="C4" s="2">
        <v>1</v>
      </c>
      <c r="D4" s="2">
        <v>2</v>
      </c>
      <c r="E4" s="2">
        <v>3</v>
      </c>
      <c r="F4" s="2">
        <v>4</v>
      </c>
      <c r="G4" s="2">
        <v>5</v>
      </c>
      <c r="H4" s="2">
        <v>6</v>
      </c>
      <c r="I4" s="8">
        <v>6</v>
      </c>
    </row>
    <row r="5" spans="1:10" ht="16.2" thickBot="1" x14ac:dyDescent="0.35">
      <c r="A5" s="1" t="s">
        <v>7</v>
      </c>
      <c r="C5" s="7">
        <v>5000</v>
      </c>
      <c r="D5" s="7">
        <v>2000</v>
      </c>
      <c r="E5" s="7">
        <v>5000</v>
      </c>
      <c r="F5" s="7"/>
      <c r="G5" s="7"/>
      <c r="H5" s="7"/>
      <c r="I5" s="8">
        <f>SUM(C5:H5)</f>
        <v>12000</v>
      </c>
    </row>
    <row r="6" spans="1:10" ht="16.2" thickBot="1" x14ac:dyDescent="0.35">
      <c r="A6" s="1" t="s">
        <v>80</v>
      </c>
      <c r="C6" s="7">
        <f>-C5</f>
        <v>-5000</v>
      </c>
      <c r="D6" s="7">
        <f>-D5</f>
        <v>-2000</v>
      </c>
      <c r="E6" s="7">
        <f t="shared" ref="E6:H6" si="0">-E5</f>
        <v>-5000</v>
      </c>
      <c r="F6" s="7">
        <f t="shared" si="0"/>
        <v>0</v>
      </c>
      <c r="G6" s="7">
        <f t="shared" si="0"/>
        <v>0</v>
      </c>
      <c r="H6" s="7">
        <f t="shared" si="0"/>
        <v>0</v>
      </c>
      <c r="I6" s="51">
        <f>SUM(C6:H6)</f>
        <v>-12000</v>
      </c>
    </row>
    <row r="7" spans="1:10" ht="15.6" x14ac:dyDescent="0.3">
      <c r="A7" s="1" t="s">
        <v>79</v>
      </c>
      <c r="C7" s="7"/>
      <c r="D7" s="7">
        <v>75</v>
      </c>
      <c r="E7" s="7">
        <v>30</v>
      </c>
      <c r="F7" s="7">
        <v>125</v>
      </c>
      <c r="G7" s="7">
        <v>150</v>
      </c>
      <c r="H7" s="7">
        <v>175</v>
      </c>
      <c r="I7" s="8">
        <f t="shared" ref="I7" si="1">SUM(D7:H7)</f>
        <v>555</v>
      </c>
    </row>
    <row r="8" spans="1:10" s="6" customFormat="1" ht="15.6" x14ac:dyDescent="0.3">
      <c r="A8" s="104" t="s">
        <v>203</v>
      </c>
      <c r="B8" s="104"/>
      <c r="C8" s="105"/>
      <c r="D8" s="106">
        <v>0.06</v>
      </c>
      <c r="E8" s="106">
        <v>0.05</v>
      </c>
      <c r="F8" s="106">
        <v>4.4999999999999998E-2</v>
      </c>
      <c r="G8" s="106">
        <v>0.04</v>
      </c>
      <c r="H8" s="106">
        <v>0.04</v>
      </c>
      <c r="I8" s="107"/>
    </row>
    <row r="9" spans="1:10" ht="15.6" x14ac:dyDescent="0.3">
      <c r="A9" s="1" t="s">
        <v>12</v>
      </c>
      <c r="C9" s="7">
        <f>D9/(1+D8)</f>
        <v>188.67924528301887</v>
      </c>
      <c r="D9" s="7">
        <v>200</v>
      </c>
      <c r="E9" s="7">
        <f>D9*(1+E8)</f>
        <v>210</v>
      </c>
      <c r="F9" s="7">
        <f t="shared" ref="F9:H9" si="2">E9*(1+F8)</f>
        <v>219.45</v>
      </c>
      <c r="G9" s="7">
        <f t="shared" si="2"/>
        <v>228.22800000000001</v>
      </c>
      <c r="H9" s="7">
        <f t="shared" si="2"/>
        <v>237.35712000000001</v>
      </c>
      <c r="I9" s="8">
        <f>SUM(D9:H9)/COUNTA(D9:H9)</f>
        <v>219.007024</v>
      </c>
      <c r="J9" s="1" t="s">
        <v>15</v>
      </c>
    </row>
    <row r="10" spans="1:10" ht="15.6" x14ac:dyDescent="0.3">
      <c r="A10" s="4" t="s">
        <v>0</v>
      </c>
      <c r="B10" s="4"/>
      <c r="C10" s="11"/>
      <c r="D10" s="11">
        <f>D9*D7</f>
        <v>15000</v>
      </c>
      <c r="E10" s="11">
        <f>E9*E7</f>
        <v>6300</v>
      </c>
      <c r="F10" s="11">
        <f>F9*F7</f>
        <v>27431.25</v>
      </c>
      <c r="G10" s="11">
        <f>G9*G7</f>
        <v>34234.200000000004</v>
      </c>
      <c r="H10" s="11">
        <f>H9*H7</f>
        <v>41537.495999999999</v>
      </c>
      <c r="I10" s="8">
        <f>SUM(D10:H10)</f>
        <v>124502.94600000001</v>
      </c>
    </row>
    <row r="11" spans="1:10" s="6" customFormat="1" ht="15.6" x14ac:dyDescent="0.3">
      <c r="A11" s="104" t="s">
        <v>204</v>
      </c>
      <c r="B11" s="104"/>
      <c r="C11" s="105"/>
      <c r="D11" s="106">
        <v>0.08</v>
      </c>
      <c r="E11" s="106">
        <v>7.0000000000000007E-2</v>
      </c>
      <c r="F11" s="106">
        <v>0.06</v>
      </c>
      <c r="G11" s="106">
        <v>0.05</v>
      </c>
      <c r="H11" s="106">
        <v>4.4999999999999998E-2</v>
      </c>
      <c r="I11" s="107"/>
    </row>
    <row r="12" spans="1:10" ht="15.6" x14ac:dyDescent="0.3">
      <c r="A12" s="4" t="s">
        <v>8</v>
      </c>
      <c r="B12" s="4"/>
      <c r="C12" s="11"/>
      <c r="D12" s="11">
        <f>D13+D14</f>
        <v>-10250</v>
      </c>
      <c r="E12" s="11">
        <f t="shared" ref="E12:H12" si="3">E13+E14</f>
        <v>-6531</v>
      </c>
      <c r="F12" s="11">
        <f t="shared" si="3"/>
        <v>-18775.25</v>
      </c>
      <c r="G12" s="11">
        <f t="shared" si="3"/>
        <v>-22989.015000000003</v>
      </c>
      <c r="H12" s="11">
        <f t="shared" si="3"/>
        <v>-27445.898287500007</v>
      </c>
      <c r="I12" s="8">
        <f t="shared" ref="I12:I14" si="4">SUM(D12:H12)</f>
        <v>-85991.163287500007</v>
      </c>
    </row>
    <row r="13" spans="1:10" s="6" customFormat="1" ht="15.6" x14ac:dyDescent="0.3">
      <c r="A13" s="6" t="s">
        <v>9</v>
      </c>
      <c r="C13" s="10"/>
      <c r="D13" s="10">
        <v>-2000</v>
      </c>
      <c r="E13" s="10">
        <v>-3000</v>
      </c>
      <c r="F13" s="7">
        <f>E13*(1+F11)</f>
        <v>-3180</v>
      </c>
      <c r="G13" s="7">
        <f t="shared" ref="G13:H13" si="5">F13*(1+G11)</f>
        <v>-3339</v>
      </c>
      <c r="H13" s="7">
        <f t="shared" si="5"/>
        <v>-3489.2549999999997</v>
      </c>
      <c r="I13" s="8">
        <f t="shared" si="4"/>
        <v>-15008.254999999999</v>
      </c>
    </row>
    <row r="14" spans="1:10" s="6" customFormat="1" ht="15.6" x14ac:dyDescent="0.3">
      <c r="A14" s="6" t="s">
        <v>10</v>
      </c>
      <c r="C14" s="10"/>
      <c r="D14" s="10">
        <f>-D15*D7</f>
        <v>-8250</v>
      </c>
      <c r="E14" s="10">
        <f>-E15*E7</f>
        <v>-3531</v>
      </c>
      <c r="F14" s="10">
        <f>-F15*F7</f>
        <v>-15595.250000000002</v>
      </c>
      <c r="G14" s="10">
        <f>-G15*G7</f>
        <v>-19650.015000000003</v>
      </c>
      <c r="H14" s="10">
        <f>-H15*H7</f>
        <v>-23956.643287500006</v>
      </c>
      <c r="I14" s="8">
        <f t="shared" si="4"/>
        <v>-70982.908287500002</v>
      </c>
    </row>
    <row r="15" spans="1:10" s="6" customFormat="1" ht="15.6" x14ac:dyDescent="0.3">
      <c r="A15" s="6" t="s">
        <v>13</v>
      </c>
      <c r="C15" s="10"/>
      <c r="D15" s="10">
        <v>110</v>
      </c>
      <c r="E15" s="10">
        <f>D15*(1+E11)</f>
        <v>117.7</v>
      </c>
      <c r="F15" s="10">
        <f t="shared" ref="F15:H15" si="6">E15*(1+F11)</f>
        <v>124.76200000000001</v>
      </c>
      <c r="G15" s="10">
        <f t="shared" si="6"/>
        <v>131.00010000000003</v>
      </c>
      <c r="H15" s="10">
        <f t="shared" si="6"/>
        <v>136.89510450000003</v>
      </c>
      <c r="I15" s="8">
        <f>SUM(D15:H15)/COUNTA(D15:H15)</f>
        <v>124.07144090000001</v>
      </c>
      <c r="J15" s="1" t="s">
        <v>16</v>
      </c>
    </row>
    <row r="16" spans="1:10" s="6" customFormat="1" ht="15.6" x14ac:dyDescent="0.3">
      <c r="A16" s="6" t="s">
        <v>14</v>
      </c>
      <c r="C16" s="10"/>
      <c r="D16" s="10">
        <f>-D12/D7</f>
        <v>136.66666666666666</v>
      </c>
      <c r="E16" s="10">
        <f>-E12/E7</f>
        <v>217.7</v>
      </c>
      <c r="F16" s="10">
        <f>-F12/F7</f>
        <v>150.202</v>
      </c>
      <c r="G16" s="10">
        <f>-G12/G7</f>
        <v>153.26010000000002</v>
      </c>
      <c r="H16" s="10">
        <f>-H12/H7</f>
        <v>156.83370450000004</v>
      </c>
      <c r="I16" s="8">
        <f>SUM(D16:H16)/COUNTA(D16:H16)</f>
        <v>162.93249423333336</v>
      </c>
      <c r="J16" s="1" t="s">
        <v>16</v>
      </c>
    </row>
    <row r="17" spans="1:9" s="5" customFormat="1" ht="28.8" x14ac:dyDescent="0.3">
      <c r="A17" s="111" t="s">
        <v>207</v>
      </c>
      <c r="B17" s="108"/>
      <c r="C17" s="109"/>
      <c r="D17" s="109">
        <v>5000</v>
      </c>
      <c r="E17" s="109">
        <v>6000</v>
      </c>
      <c r="F17" s="109">
        <v>7000</v>
      </c>
      <c r="G17" s="109">
        <v>8000</v>
      </c>
      <c r="H17" s="109">
        <v>9000</v>
      </c>
      <c r="I17" s="110">
        <f t="shared" ref="I17:I27" si="7">SUM(D17:H17)</f>
        <v>35000</v>
      </c>
    </row>
    <row r="18" spans="1:9" s="152" customFormat="1" ht="15.6" x14ac:dyDescent="0.3">
      <c r="A18" s="128" t="s">
        <v>21</v>
      </c>
      <c r="B18" s="128"/>
      <c r="C18" s="129"/>
      <c r="D18" s="129">
        <f>-D17</f>
        <v>-5000</v>
      </c>
      <c r="E18" s="129">
        <f t="shared" ref="E18:H18" si="8">-E17</f>
        <v>-6000</v>
      </c>
      <c r="F18" s="129">
        <f t="shared" si="8"/>
        <v>-7000</v>
      </c>
      <c r="G18" s="129">
        <f t="shared" si="8"/>
        <v>-8000</v>
      </c>
      <c r="H18" s="129">
        <f t="shared" si="8"/>
        <v>-9000</v>
      </c>
      <c r="I18" s="130">
        <f t="shared" si="7"/>
        <v>-35000</v>
      </c>
    </row>
    <row r="19" spans="1:9" s="6" customFormat="1" ht="16.2" thickBot="1" x14ac:dyDescent="0.35">
      <c r="A19" s="104" t="s">
        <v>205</v>
      </c>
      <c r="B19" s="104"/>
      <c r="C19" s="105"/>
      <c r="D19" s="106">
        <v>0.08</v>
      </c>
      <c r="E19" s="106">
        <v>7.0000000000000007E-2</v>
      </c>
      <c r="F19" s="106">
        <v>0.06</v>
      </c>
      <c r="G19" s="106">
        <v>0.05</v>
      </c>
      <c r="H19" s="106">
        <v>4.4999999999999998E-2</v>
      </c>
      <c r="I19" s="107"/>
    </row>
    <row r="20" spans="1:9" s="3" customFormat="1" ht="31.8" thickBot="1" x14ac:dyDescent="0.35">
      <c r="A20" s="13" t="s">
        <v>23</v>
      </c>
      <c r="B20" s="13"/>
      <c r="C20" s="8">
        <f>C10+C12</f>
        <v>0</v>
      </c>
      <c r="D20" s="8">
        <f>D10+D12</f>
        <v>4750</v>
      </c>
      <c r="E20" s="8">
        <f t="shared" ref="E20:H20" si="9">E10+E12</f>
        <v>-231</v>
      </c>
      <c r="F20" s="8">
        <f t="shared" si="9"/>
        <v>8656</v>
      </c>
      <c r="G20" s="8">
        <f t="shared" si="9"/>
        <v>11245.185000000001</v>
      </c>
      <c r="H20" s="8">
        <f t="shared" si="9"/>
        <v>14091.597712499992</v>
      </c>
      <c r="I20" s="51">
        <f t="shared" si="7"/>
        <v>38511.782712499989</v>
      </c>
    </row>
    <row r="21" spans="1:9" s="5" customFormat="1" ht="15.6" x14ac:dyDescent="0.3">
      <c r="A21" s="5" t="s">
        <v>19</v>
      </c>
      <c r="B21" s="16"/>
      <c r="C21" s="9">
        <v>0</v>
      </c>
      <c r="D21" s="9">
        <f>-D83</f>
        <v>-225</v>
      </c>
      <c r="E21" s="9">
        <f t="shared" ref="E21:H21" si="10">-E83</f>
        <v>-1025</v>
      </c>
      <c r="F21" s="9">
        <f t="shared" si="10"/>
        <v>-1600.8333333333333</v>
      </c>
      <c r="G21" s="9">
        <f t="shared" si="10"/>
        <v>-1454.6666666666667</v>
      </c>
      <c r="H21" s="9">
        <f t="shared" si="10"/>
        <v>-1385.3</v>
      </c>
      <c r="I21" s="8">
        <f t="shared" si="7"/>
        <v>-5690.8</v>
      </c>
    </row>
    <row r="22" spans="1:9" s="5" customFormat="1" ht="15.6" x14ac:dyDescent="0.3">
      <c r="A22" s="3" t="s">
        <v>24</v>
      </c>
      <c r="B22" s="17"/>
      <c r="C22" s="8">
        <f>C20+C21</f>
        <v>0</v>
      </c>
      <c r="D22" s="8">
        <f>D20+D21</f>
        <v>4525</v>
      </c>
      <c r="E22" s="8">
        <f t="shared" ref="E22:H22" si="11">E20+E21</f>
        <v>-1256</v>
      </c>
      <c r="F22" s="8">
        <f t="shared" si="11"/>
        <v>7055.166666666667</v>
      </c>
      <c r="G22" s="8">
        <f t="shared" si="11"/>
        <v>9790.5183333333352</v>
      </c>
      <c r="H22" s="8">
        <f t="shared" si="11"/>
        <v>12706.297712499992</v>
      </c>
      <c r="I22" s="8">
        <f t="shared" si="7"/>
        <v>32820.982712500001</v>
      </c>
    </row>
    <row r="23" spans="1:9" s="152" customFormat="1" ht="15.6" x14ac:dyDescent="0.3">
      <c r="A23" s="152" t="s">
        <v>208</v>
      </c>
      <c r="B23" s="117"/>
      <c r="D23" s="153">
        <f>-D17*D19</f>
        <v>-400</v>
      </c>
      <c r="E23" s="153">
        <f t="shared" ref="E23:H23" si="12">-E17*E19</f>
        <v>-420.00000000000006</v>
      </c>
      <c r="F23" s="153">
        <f t="shared" si="12"/>
        <v>-420</v>
      </c>
      <c r="G23" s="153">
        <f t="shared" si="12"/>
        <v>-400</v>
      </c>
      <c r="H23" s="153">
        <f t="shared" si="12"/>
        <v>-405</v>
      </c>
      <c r="I23" s="154">
        <f t="shared" si="7"/>
        <v>-2045</v>
      </c>
    </row>
    <row r="24" spans="1:9" s="5" customFormat="1" ht="16.2" thickBot="1" x14ac:dyDescent="0.35">
      <c r="A24" s="5" t="s">
        <v>25</v>
      </c>
      <c r="B24" s="16">
        <v>0.2</v>
      </c>
      <c r="C24" s="9">
        <f t="shared" ref="C24:D24" si="13">IF(C22+C23&lt;0,0,-(C22+C23)*$B$24)</f>
        <v>0</v>
      </c>
      <c r="D24" s="9">
        <f t="shared" si="13"/>
        <v>-825</v>
      </c>
      <c r="E24" s="9">
        <f>IF(E22+E23&lt;0,0,-(E22+E23)*$B$24)</f>
        <v>0</v>
      </c>
      <c r="F24" s="9">
        <f t="shared" ref="F24:H24" si="14">IF(F22+F23&lt;0,0,-(F22+F23)*$B$24)</f>
        <v>-1327.0333333333335</v>
      </c>
      <c r="G24" s="9">
        <f t="shared" si="14"/>
        <v>-1878.1036666666671</v>
      </c>
      <c r="H24" s="9">
        <f t="shared" si="14"/>
        <v>-2460.2595424999986</v>
      </c>
      <c r="I24" s="8">
        <f t="shared" si="7"/>
        <v>-6490.3965424999988</v>
      </c>
    </row>
    <row r="25" spans="1:9" s="3" customFormat="1" ht="16.2" thickBot="1" x14ac:dyDescent="0.35">
      <c r="A25" s="3" t="s">
        <v>29</v>
      </c>
      <c r="C25" s="8">
        <f>C22+C23+C24</f>
        <v>0</v>
      </c>
      <c r="D25" s="8">
        <f>D22+D23+D24</f>
        <v>3300</v>
      </c>
      <c r="E25" s="8">
        <f t="shared" ref="E25:H25" si="15">E22+E23+E24</f>
        <v>-1676</v>
      </c>
      <c r="F25" s="8">
        <f t="shared" si="15"/>
        <v>5308.1333333333332</v>
      </c>
      <c r="G25" s="8">
        <f t="shared" si="15"/>
        <v>7512.4146666666684</v>
      </c>
      <c r="H25" s="8">
        <f t="shared" si="15"/>
        <v>9841.0381699999944</v>
      </c>
      <c r="I25" s="51">
        <f t="shared" si="7"/>
        <v>24285.586169999995</v>
      </c>
    </row>
    <row r="26" spans="1:9" s="5" customFormat="1" x14ac:dyDescent="0.3">
      <c r="A26" s="5" t="s">
        <v>17</v>
      </c>
      <c r="C26" s="9">
        <f>C5</f>
        <v>5000</v>
      </c>
      <c r="D26" s="9">
        <f>C30</f>
        <v>0</v>
      </c>
      <c r="E26" s="9">
        <f t="shared" ref="E26:H26" si="16">D30</f>
        <v>3525</v>
      </c>
      <c r="F26" s="9">
        <f t="shared" si="16"/>
        <v>2874</v>
      </c>
      <c r="G26" s="9">
        <f t="shared" si="16"/>
        <v>9782.9666666666672</v>
      </c>
      <c r="H26" s="9">
        <f t="shared" si="16"/>
        <v>18750.048000000003</v>
      </c>
      <c r="I26" s="9">
        <f>C26</f>
        <v>5000</v>
      </c>
    </row>
    <row r="27" spans="1:9" s="4" customFormat="1" x14ac:dyDescent="0.3">
      <c r="A27" s="4" t="s">
        <v>367</v>
      </c>
      <c r="C27" s="11">
        <f>C10</f>
        <v>0</v>
      </c>
      <c r="D27" s="11">
        <f>D10+D5+D17</f>
        <v>22000</v>
      </c>
      <c r="E27" s="11">
        <f t="shared" ref="E27:H27" si="17">E10+E5+E17</f>
        <v>17300</v>
      </c>
      <c r="F27" s="11">
        <f t="shared" si="17"/>
        <v>34431.25</v>
      </c>
      <c r="G27" s="11">
        <f t="shared" si="17"/>
        <v>42234.200000000004</v>
      </c>
      <c r="H27" s="11">
        <f t="shared" si="17"/>
        <v>50537.495999999999</v>
      </c>
      <c r="I27" s="11">
        <f t="shared" si="7"/>
        <v>166502.946</v>
      </c>
    </row>
    <row r="28" spans="1:9" s="4" customFormat="1" ht="15" thickBot="1" x14ac:dyDescent="0.35">
      <c r="A28" s="4" t="s">
        <v>368</v>
      </c>
      <c r="C28" s="11">
        <f t="shared" ref="C28" si="18">C6+C12+C23+C24</f>
        <v>-5000</v>
      </c>
      <c r="D28" s="11">
        <f>D6+D12+D23+D24+D18</f>
        <v>-18475</v>
      </c>
      <c r="E28" s="11">
        <f t="shared" ref="E28:H28" si="19">E6+E12+E23+E24+E18</f>
        <v>-17951</v>
      </c>
      <c r="F28" s="11">
        <f t="shared" si="19"/>
        <v>-27522.283333333333</v>
      </c>
      <c r="G28" s="11">
        <f t="shared" si="19"/>
        <v>-33267.118666666669</v>
      </c>
      <c r="H28" s="11">
        <f t="shared" si="19"/>
        <v>-39311.157830000011</v>
      </c>
      <c r="I28" s="11">
        <f>SUM(C28:H28)</f>
        <v>-141526.55983000001</v>
      </c>
    </row>
    <row r="29" spans="1:9" s="4" customFormat="1" ht="15" thickBot="1" x14ac:dyDescent="0.35">
      <c r="A29" s="4" t="s">
        <v>26</v>
      </c>
      <c r="C29" s="11">
        <f>C6</f>
        <v>-5000</v>
      </c>
      <c r="D29" s="11">
        <f>D28+D27</f>
        <v>3525</v>
      </c>
      <c r="E29" s="11">
        <f t="shared" ref="E29:H29" si="20">E28+E27</f>
        <v>-651</v>
      </c>
      <c r="F29" s="11">
        <f t="shared" si="20"/>
        <v>6908.9666666666672</v>
      </c>
      <c r="G29" s="11">
        <f t="shared" si="20"/>
        <v>8967.0813333333354</v>
      </c>
      <c r="H29" s="11">
        <f t="shared" si="20"/>
        <v>11226.338169999988</v>
      </c>
      <c r="I29" s="44">
        <f>SUM(C29:H29)</f>
        <v>24976.386169999991</v>
      </c>
    </row>
    <row r="30" spans="1:9" s="5" customFormat="1" x14ac:dyDescent="0.3">
      <c r="A30" s="5" t="s">
        <v>18</v>
      </c>
      <c r="C30" s="9">
        <f>C29+C26</f>
        <v>0</v>
      </c>
      <c r="D30" s="9">
        <f>D29+D26</f>
        <v>3525</v>
      </c>
      <c r="E30" s="9">
        <f t="shared" ref="E30:H30" si="21">E29+E26</f>
        <v>2874</v>
      </c>
      <c r="F30" s="9">
        <f t="shared" si="21"/>
        <v>9782.9666666666672</v>
      </c>
      <c r="G30" s="9">
        <f t="shared" si="21"/>
        <v>18750.048000000003</v>
      </c>
      <c r="H30" s="9">
        <f t="shared" si="21"/>
        <v>29976.386169999991</v>
      </c>
      <c r="I30" s="9">
        <f>H30</f>
        <v>29976.386169999991</v>
      </c>
    </row>
    <row r="31" spans="1:9" s="5" customFormat="1" ht="15" thickBot="1" x14ac:dyDescent="0.35">
      <c r="A31" s="5" t="s">
        <v>30</v>
      </c>
      <c r="C31" s="9">
        <f>C29</f>
        <v>-5000</v>
      </c>
      <c r="D31" s="9">
        <f>C31+D29</f>
        <v>-1475</v>
      </c>
      <c r="E31" s="9">
        <f t="shared" ref="E31:H31" si="22">D31+E29</f>
        <v>-2126</v>
      </c>
      <c r="F31" s="9">
        <f t="shared" si="22"/>
        <v>4782.9666666666672</v>
      </c>
      <c r="G31" s="9">
        <f t="shared" si="22"/>
        <v>13750.048000000003</v>
      </c>
      <c r="H31" s="9">
        <f t="shared" si="22"/>
        <v>24976.386169999991</v>
      </c>
      <c r="I31" s="48">
        <f>H31</f>
        <v>24976.386169999991</v>
      </c>
    </row>
    <row r="32" spans="1:9" ht="16.2" thickBot="1" x14ac:dyDescent="0.35">
      <c r="A32" s="113" t="s">
        <v>209</v>
      </c>
      <c r="B32" s="112">
        <v>0.25</v>
      </c>
      <c r="C32" s="114"/>
      <c r="D32" s="115">
        <f>IF(C25&gt;0,C25*$B$32,0)</f>
        <v>0</v>
      </c>
      <c r="E32" s="115">
        <f>IF(D25&gt;0,D25*$B$32,0)</f>
        <v>825</v>
      </c>
      <c r="F32" s="115">
        <f t="shared" ref="F32:H32" si="23">IF(E25&gt;0,E25*$B$32,0)</f>
        <v>0</v>
      </c>
      <c r="G32" s="115">
        <f t="shared" si="23"/>
        <v>1327.0333333333333</v>
      </c>
      <c r="H32" s="115">
        <f t="shared" si="23"/>
        <v>1878.1036666666671</v>
      </c>
      <c r="I32" s="116">
        <f>SUM(C32:H32)</f>
        <v>4030.1370000000006</v>
      </c>
    </row>
    <row r="33" spans="1:9" s="67" customFormat="1" ht="16.2" thickBot="1" x14ac:dyDescent="0.35">
      <c r="A33" s="123" t="s">
        <v>226</v>
      </c>
      <c r="B33" s="124">
        <v>0.05</v>
      </c>
      <c r="C33" s="125"/>
      <c r="D33" s="126"/>
      <c r="E33" s="126"/>
      <c r="F33" s="126"/>
      <c r="G33" s="126"/>
      <c r="H33" s="126"/>
      <c r="I33" s="127"/>
    </row>
    <row r="34" spans="1:9" s="67" customFormat="1" ht="15" thickBot="1" x14ac:dyDescent="0.35">
      <c r="A34" s="114" t="s">
        <v>227</v>
      </c>
      <c r="B34" s="39"/>
      <c r="C34" s="39"/>
      <c r="D34" s="39"/>
      <c r="E34" s="122">
        <f>(E20-D20)/D20</f>
        <v>-1.0486315789473684</v>
      </c>
      <c r="F34" s="122">
        <f>(F20-E20)/E20</f>
        <v>-38.471861471861473</v>
      </c>
      <c r="G34" s="122">
        <f>(G20-F20)/F20</f>
        <v>0.2991202634011092</v>
      </c>
      <c r="H34" s="122">
        <f>(H20-G20)/G20</f>
        <v>0.25312279989168612</v>
      </c>
      <c r="I34" s="132">
        <f>AVERAGE(E34:H34)</f>
        <v>-9.7420624968790115</v>
      </c>
    </row>
    <row r="35" spans="1:9" s="67" customFormat="1" ht="15" thickBot="1" x14ac:dyDescent="0.35">
      <c r="A35" s="125" t="s">
        <v>228</v>
      </c>
      <c r="B35" s="126"/>
      <c r="C35" s="126"/>
      <c r="D35" s="126"/>
      <c r="E35" s="131">
        <f>(E22-D22)/D22</f>
        <v>-1.2775690607734806</v>
      </c>
      <c r="F35" s="131">
        <f t="shared" ref="F35:H35" si="24">(F22-E22)/E22</f>
        <v>-6.6171709129511687</v>
      </c>
      <c r="G35" s="131">
        <f t="shared" si="24"/>
        <v>0.38770900758309534</v>
      </c>
      <c r="H35" s="131">
        <f t="shared" si="24"/>
        <v>0.29781665075274255</v>
      </c>
      <c r="I35" s="133">
        <f t="shared" ref="I35:I36" si="25">AVERAGE(E35:H35)</f>
        <v>-1.8023035788472028</v>
      </c>
    </row>
    <row r="36" spans="1:9" s="67" customFormat="1" ht="15" thickBot="1" x14ac:dyDescent="0.35">
      <c r="A36" s="114" t="s">
        <v>229</v>
      </c>
      <c r="B36" s="39"/>
      <c r="C36" s="39"/>
      <c r="D36" s="39"/>
      <c r="E36" s="122">
        <f>(E25-D25)/D25</f>
        <v>-1.5078787878787878</v>
      </c>
      <c r="F36" s="122">
        <f t="shared" ref="F36:H36" si="26">(F25-E25)/E25</f>
        <v>-4.1671439936356407</v>
      </c>
      <c r="G36" s="122">
        <f t="shared" si="26"/>
        <v>0.41526487654165972</v>
      </c>
      <c r="H36" s="122">
        <f t="shared" si="26"/>
        <v>0.30997004380837234</v>
      </c>
      <c r="I36" s="132">
        <f t="shared" si="25"/>
        <v>-1.2374469652910993</v>
      </c>
    </row>
    <row r="37" spans="1:9" s="67" customFormat="1" ht="36.6" thickBot="1" x14ac:dyDescent="0.35">
      <c r="A37" s="64" t="s">
        <v>303</v>
      </c>
      <c r="C37" s="61" t="s">
        <v>6</v>
      </c>
      <c r="D37" s="62" t="s">
        <v>1</v>
      </c>
      <c r="E37" s="62" t="s">
        <v>2</v>
      </c>
      <c r="F37" s="62" t="s">
        <v>3</v>
      </c>
      <c r="G37" s="62" t="s">
        <v>4</v>
      </c>
      <c r="H37" s="62" t="s">
        <v>5</v>
      </c>
      <c r="I37" s="63" t="s">
        <v>11</v>
      </c>
    </row>
    <row r="38" spans="1:9" s="67" customFormat="1" ht="21.6" thickBot="1" x14ac:dyDescent="0.35">
      <c r="A38" s="170" t="s">
        <v>304</v>
      </c>
      <c r="E38" s="163"/>
      <c r="F38" s="163"/>
      <c r="G38" s="163"/>
      <c r="H38" s="163"/>
      <c r="I38" s="164"/>
    </row>
    <row r="39" spans="1:9" s="67" customFormat="1" ht="15.6" x14ac:dyDescent="0.3">
      <c r="A39" s="190" t="s">
        <v>306</v>
      </c>
      <c r="B39" s="168">
        <f>C5</f>
        <v>5000</v>
      </c>
      <c r="C39" s="177">
        <f>B39</f>
        <v>5000</v>
      </c>
      <c r="D39" s="177">
        <f>C39-D46</f>
        <v>4775</v>
      </c>
      <c r="E39" s="177">
        <f t="shared" ref="E39:H39" si="27">D39-E46</f>
        <v>4550</v>
      </c>
      <c r="F39" s="177">
        <f t="shared" si="27"/>
        <v>4325</v>
      </c>
      <c r="G39" s="177">
        <f t="shared" si="27"/>
        <v>4100</v>
      </c>
      <c r="H39" s="177">
        <f t="shared" si="27"/>
        <v>3875</v>
      </c>
      <c r="I39" s="164"/>
    </row>
    <row r="40" spans="1:9" s="67" customFormat="1" ht="15.6" x14ac:dyDescent="0.3">
      <c r="A40" s="190" t="s">
        <v>319</v>
      </c>
      <c r="B40" s="168" t="s">
        <v>1</v>
      </c>
      <c r="E40" s="163"/>
      <c r="F40" s="163"/>
      <c r="G40" s="163"/>
      <c r="H40" s="163"/>
      <c r="I40" s="164"/>
    </row>
    <row r="41" spans="1:9" s="67" customFormat="1" ht="28.8" x14ac:dyDescent="0.3">
      <c r="A41" s="190" t="s">
        <v>305</v>
      </c>
      <c r="B41" s="167" t="s">
        <v>311</v>
      </c>
      <c r="C41" s="186" t="s">
        <v>339</v>
      </c>
      <c r="D41" s="155"/>
      <c r="E41" s="174"/>
      <c r="F41" s="174"/>
      <c r="G41" s="174"/>
      <c r="H41" s="174"/>
      <c r="I41"/>
    </row>
    <row r="42" spans="1:9" s="67" customFormat="1" ht="15.6" x14ac:dyDescent="0.3">
      <c r="A42" s="190" t="s">
        <v>310</v>
      </c>
      <c r="B42" s="168">
        <v>20</v>
      </c>
      <c r="E42" s="163"/>
      <c r="F42" s="163"/>
      <c r="G42" s="163"/>
      <c r="H42" s="163"/>
      <c r="I42" s="164"/>
    </row>
    <row r="43" spans="1:9" s="67" customFormat="1" ht="15.6" x14ac:dyDescent="0.3">
      <c r="A43" s="190" t="s">
        <v>307</v>
      </c>
      <c r="B43" s="168">
        <v>500</v>
      </c>
      <c r="E43" s="163"/>
      <c r="F43" s="163"/>
      <c r="G43" s="163"/>
      <c r="H43" s="163"/>
      <c r="I43" s="164"/>
    </row>
    <row r="44" spans="1:9" s="67" customFormat="1" ht="15.6" x14ac:dyDescent="0.3">
      <c r="A44" s="190" t="s">
        <v>324</v>
      </c>
      <c r="B44" s="168">
        <f>B39-B43</f>
        <v>4500</v>
      </c>
      <c r="E44" s="163"/>
      <c r="F44" s="163"/>
      <c r="G44" s="163"/>
      <c r="H44" s="163"/>
      <c r="I44" s="164"/>
    </row>
    <row r="45" spans="1:9" s="67" customFormat="1" ht="16.2" thickBot="1" x14ac:dyDescent="0.35">
      <c r="A45" s="190" t="s">
        <v>318</v>
      </c>
      <c r="B45" s="169">
        <f>1/B42</f>
        <v>0.05</v>
      </c>
      <c r="E45" s="163"/>
      <c r="F45" s="163"/>
      <c r="G45" s="163"/>
      <c r="H45" s="163"/>
      <c r="I45" s="164"/>
    </row>
    <row r="46" spans="1:9" s="67" customFormat="1" ht="18.600000000000001" thickBot="1" x14ac:dyDescent="0.35">
      <c r="A46" s="190" t="s">
        <v>317</v>
      </c>
      <c r="B46" s="172">
        <f>(B39-B43)/B42</f>
        <v>225</v>
      </c>
      <c r="D46" s="177">
        <f>B46</f>
        <v>225</v>
      </c>
      <c r="E46" s="177">
        <f>D46</f>
        <v>225</v>
      </c>
      <c r="F46" s="177">
        <f t="shared" ref="F46:H46" si="28">E46</f>
        <v>225</v>
      </c>
      <c r="G46" s="177">
        <f t="shared" si="28"/>
        <v>225</v>
      </c>
      <c r="H46" s="177">
        <f t="shared" si="28"/>
        <v>225</v>
      </c>
      <c r="I46" s="178">
        <f>SUM(D46:H46)</f>
        <v>1125</v>
      </c>
    </row>
    <row r="47" spans="1:9" s="67" customFormat="1" ht="26.4" thickBot="1" x14ac:dyDescent="0.35">
      <c r="A47" s="170" t="s">
        <v>313</v>
      </c>
      <c r="B47" s="168"/>
      <c r="C47" s="61" t="s">
        <v>6</v>
      </c>
      <c r="D47" s="62" t="s">
        <v>1</v>
      </c>
      <c r="E47" s="62" t="s">
        <v>2</v>
      </c>
      <c r="F47" s="62" t="s">
        <v>3</v>
      </c>
      <c r="G47" s="62" t="s">
        <v>4</v>
      </c>
      <c r="H47" s="62" t="s">
        <v>5</v>
      </c>
      <c r="I47" s="164"/>
    </row>
    <row r="48" spans="1:9" s="67" customFormat="1" ht="15.6" x14ac:dyDescent="0.3">
      <c r="A48" s="190" t="s">
        <v>306</v>
      </c>
      <c r="B48" s="183">
        <f>D5</f>
        <v>2000</v>
      </c>
      <c r="D48" s="177">
        <f>B48</f>
        <v>2000</v>
      </c>
      <c r="E48" s="177">
        <f>D48-E54</f>
        <v>1200</v>
      </c>
      <c r="F48" s="177">
        <f>E48-F54</f>
        <v>720</v>
      </c>
      <c r="G48" s="177">
        <f>F48-G54</f>
        <v>432</v>
      </c>
      <c r="H48" s="177">
        <f>G48-H54</f>
        <v>259.2</v>
      </c>
      <c r="I48" s="164"/>
    </row>
    <row r="49" spans="1:15" s="67" customFormat="1" ht="15.6" x14ac:dyDescent="0.3">
      <c r="A49" s="190" t="s">
        <v>309</v>
      </c>
      <c r="B49" s="183" t="s">
        <v>2</v>
      </c>
      <c r="E49" s="163"/>
      <c r="F49" s="163"/>
      <c r="G49" s="163"/>
      <c r="H49" s="163"/>
      <c r="I49" s="164"/>
    </row>
    <row r="50" spans="1:15" s="67" customFormat="1" ht="42.6" customHeight="1" x14ac:dyDescent="0.3">
      <c r="A50" s="190" t="s">
        <v>305</v>
      </c>
      <c r="B50" s="167" t="s">
        <v>312</v>
      </c>
      <c r="C50" s="282" t="s">
        <v>333</v>
      </c>
      <c r="D50" s="282"/>
      <c r="E50" s="282"/>
      <c r="F50" s="282"/>
      <c r="G50" s="282"/>
      <c r="H50" s="282"/>
      <c r="I50" s="283" t="s">
        <v>343</v>
      </c>
      <c r="J50" s="283"/>
      <c r="K50" s="283"/>
      <c r="L50" s="283"/>
      <c r="M50" s="283"/>
      <c r="N50" s="283"/>
      <c r="O50" s="283"/>
    </row>
    <row r="51" spans="1:15" s="67" customFormat="1" ht="30.6" customHeight="1" x14ac:dyDescent="0.3">
      <c r="A51" s="190" t="s">
        <v>310</v>
      </c>
      <c r="B51" s="183">
        <v>5</v>
      </c>
      <c r="E51" s="163"/>
      <c r="F51" s="163"/>
      <c r="G51" s="163"/>
      <c r="H51" s="163"/>
      <c r="I51" s="284" t="s">
        <v>342</v>
      </c>
      <c r="J51" s="284"/>
      <c r="K51" s="284"/>
      <c r="L51" s="284"/>
      <c r="M51" s="284"/>
      <c r="N51" s="284"/>
      <c r="O51" s="284"/>
    </row>
    <row r="52" spans="1:15" s="67" customFormat="1" ht="15.6" x14ac:dyDescent="0.3">
      <c r="A52" s="190" t="s">
        <v>307</v>
      </c>
      <c r="B52" s="183">
        <v>200</v>
      </c>
      <c r="E52" s="163"/>
      <c r="F52" s="163"/>
      <c r="G52" s="163"/>
      <c r="H52" s="163"/>
      <c r="I52"/>
    </row>
    <row r="53" spans="1:15" s="67" customFormat="1" ht="16.2" thickBot="1" x14ac:dyDescent="0.35">
      <c r="A53" s="190" t="s">
        <v>324</v>
      </c>
      <c r="B53" s="183">
        <f>B48-B52</f>
        <v>1800</v>
      </c>
      <c r="E53" s="163"/>
      <c r="F53" s="163"/>
      <c r="G53" s="163"/>
      <c r="H53" s="163"/>
      <c r="I53" s="164"/>
    </row>
    <row r="54" spans="1:15" s="67" customFormat="1" ht="41.4" customHeight="1" thickBot="1" x14ac:dyDescent="0.35">
      <c r="A54" s="191" t="s">
        <v>320</v>
      </c>
      <c r="B54" s="184">
        <f>2*1/B51</f>
        <v>0.4</v>
      </c>
      <c r="E54" s="177">
        <f>$B$54*B48</f>
        <v>800</v>
      </c>
      <c r="F54" s="177">
        <f>$B$54*E48</f>
        <v>480</v>
      </c>
      <c r="G54" s="177">
        <f>$B$54*F48</f>
        <v>288</v>
      </c>
      <c r="H54" s="177">
        <f>$B$54*G48</f>
        <v>172.8</v>
      </c>
      <c r="I54" s="178">
        <f>H48-B52</f>
        <v>59.199999999999989</v>
      </c>
      <c r="J54" s="280" t="s">
        <v>321</v>
      </c>
      <c r="K54" s="281"/>
      <c r="L54" s="281"/>
    </row>
    <row r="55" spans="1:15" s="67" customFormat="1" ht="28.2" customHeight="1" thickBot="1" x14ac:dyDescent="0.35">
      <c r="A55" s="190" t="s">
        <v>323</v>
      </c>
      <c r="B55" s="173">
        <f>1-(B52/B48)^(1/B51)</f>
        <v>0.36904265551980675</v>
      </c>
      <c r="E55" s="175">
        <f>(B48-B52)/B51</f>
        <v>360</v>
      </c>
      <c r="F55" s="175">
        <f>E55</f>
        <v>360</v>
      </c>
      <c r="G55" s="175">
        <f t="shared" ref="G55:H55" si="29">F55</f>
        <v>360</v>
      </c>
      <c r="H55" s="175">
        <f t="shared" si="29"/>
        <v>360</v>
      </c>
      <c r="I55" s="176">
        <f>H55</f>
        <v>360</v>
      </c>
      <c r="J55" s="280" t="s">
        <v>322</v>
      </c>
      <c r="K55" s="281"/>
      <c r="L55" s="281"/>
    </row>
    <row r="56" spans="1:15" s="67" customFormat="1" ht="26.4" thickBot="1" x14ac:dyDescent="0.35">
      <c r="A56" s="170" t="s">
        <v>308</v>
      </c>
      <c r="B56" s="168"/>
      <c r="C56" s="61" t="s">
        <v>6</v>
      </c>
      <c r="D56" s="62" t="s">
        <v>1</v>
      </c>
      <c r="E56" s="62" t="s">
        <v>2</v>
      </c>
      <c r="F56" s="62" t="s">
        <v>3</v>
      </c>
      <c r="G56" s="62" t="s">
        <v>4</v>
      </c>
      <c r="H56" s="62" t="s">
        <v>5</v>
      </c>
    </row>
    <row r="57" spans="1:15" s="67" customFormat="1" ht="15.6" x14ac:dyDescent="0.3">
      <c r="A57" s="190" t="s">
        <v>306</v>
      </c>
      <c r="B57" s="183">
        <v>1000</v>
      </c>
      <c r="E57" s="183">
        <f>B57</f>
        <v>1000</v>
      </c>
      <c r="F57" s="183">
        <f>E57-F65</f>
        <v>666.66666666666674</v>
      </c>
      <c r="G57" s="183">
        <f t="shared" ref="G57:J57" si="30">F57-G65</f>
        <v>400.00000000000006</v>
      </c>
      <c r="H57" s="183">
        <f t="shared" si="30"/>
        <v>200.00000000000006</v>
      </c>
      <c r="I57" s="183">
        <f>H57-I65</f>
        <v>66.666666666666714</v>
      </c>
      <c r="J57" s="183">
        <f t="shared" si="30"/>
        <v>0</v>
      </c>
    </row>
    <row r="58" spans="1:15" s="67" customFormat="1" ht="15.6" x14ac:dyDescent="0.3">
      <c r="A58" s="190" t="s">
        <v>309</v>
      </c>
      <c r="B58" s="183" t="s">
        <v>3</v>
      </c>
      <c r="E58" s="163"/>
      <c r="F58" s="163"/>
      <c r="G58" s="163"/>
      <c r="H58" s="163"/>
      <c r="I58" s="164"/>
    </row>
    <row r="59" spans="1:15" s="67" customFormat="1" ht="28.8" x14ac:dyDescent="0.3">
      <c r="A59" s="190" t="s">
        <v>326</v>
      </c>
      <c r="B59" s="167" t="s">
        <v>314</v>
      </c>
      <c r="E59" s="282" t="s">
        <v>334</v>
      </c>
      <c r="F59" s="282"/>
      <c r="G59" s="282"/>
      <c r="H59" s="282"/>
      <c r="I59" s="282"/>
      <c r="J59" s="282"/>
    </row>
    <row r="60" spans="1:15" s="67" customFormat="1" ht="15.6" x14ac:dyDescent="0.3">
      <c r="A60" s="190" t="s">
        <v>310</v>
      </c>
      <c r="B60" s="183">
        <v>5</v>
      </c>
    </row>
    <row r="61" spans="1:15" s="67" customFormat="1" ht="15.6" x14ac:dyDescent="0.3">
      <c r="A61" s="190" t="s">
        <v>307</v>
      </c>
      <c r="B61" s="183">
        <v>0</v>
      </c>
      <c r="E61" s="163"/>
      <c r="F61" s="163"/>
      <c r="G61" s="163"/>
      <c r="H61" s="163"/>
      <c r="I61" s="164"/>
    </row>
    <row r="62" spans="1:15" s="67" customFormat="1" ht="15.6" x14ac:dyDescent="0.3">
      <c r="A62" s="190" t="s">
        <v>325</v>
      </c>
      <c r="B62" s="183">
        <f>B57-B61</f>
        <v>1000</v>
      </c>
      <c r="E62" s="163"/>
      <c r="F62" s="163"/>
      <c r="G62" s="163"/>
      <c r="H62" s="163"/>
      <c r="I62" s="164"/>
    </row>
    <row r="63" spans="1:15" s="67" customFormat="1" ht="15.6" x14ac:dyDescent="0.3">
      <c r="A63" s="190" t="s">
        <v>244</v>
      </c>
      <c r="B63" s="183" t="s">
        <v>328</v>
      </c>
      <c r="E63" s="163"/>
      <c r="F63" s="183">
        <v>1</v>
      </c>
      <c r="G63" s="183">
        <v>2</v>
      </c>
      <c r="H63" s="183">
        <v>3</v>
      </c>
      <c r="I63" s="183">
        <v>4</v>
      </c>
      <c r="J63" s="183">
        <v>5</v>
      </c>
    </row>
    <row r="64" spans="1:15" s="67" customFormat="1" ht="16.2" thickBot="1" x14ac:dyDescent="0.35">
      <c r="A64" s="190" t="s">
        <v>327</v>
      </c>
      <c r="B64" s="183" t="s">
        <v>329</v>
      </c>
      <c r="E64" s="163"/>
      <c r="F64" s="189">
        <f>($J$63-F63+1)/(($J$63^2+$J$63)/2)</f>
        <v>0.33333333333333331</v>
      </c>
      <c r="G64" s="189">
        <f t="shared" ref="G64:J64" si="31">($J$63-G63+1)/(($J$63^2+$J$63)/2)</f>
        <v>0.26666666666666666</v>
      </c>
      <c r="H64" s="189">
        <f t="shared" si="31"/>
        <v>0.2</v>
      </c>
      <c r="I64" s="189">
        <f t="shared" si="31"/>
        <v>0.13333333333333333</v>
      </c>
      <c r="J64" s="189">
        <f t="shared" si="31"/>
        <v>6.6666666666666666E-2</v>
      </c>
    </row>
    <row r="65" spans="1:10" s="67" customFormat="1" ht="16.2" thickBot="1" x14ac:dyDescent="0.35">
      <c r="A65" s="190" t="s">
        <v>331</v>
      </c>
      <c r="B65" s="179" t="s">
        <v>330</v>
      </c>
      <c r="C65" s="180"/>
      <c r="E65" s="163"/>
      <c r="F65" s="177">
        <f>$B$62*F64</f>
        <v>333.33333333333331</v>
      </c>
      <c r="G65" s="177">
        <f t="shared" ref="G65:J65" si="32">$B$62*G64</f>
        <v>266.66666666666669</v>
      </c>
      <c r="H65" s="177">
        <f t="shared" si="32"/>
        <v>200</v>
      </c>
      <c r="I65" s="177">
        <f t="shared" si="32"/>
        <v>133.33333333333334</v>
      </c>
      <c r="J65" s="177">
        <f t="shared" si="32"/>
        <v>66.666666666666671</v>
      </c>
    </row>
    <row r="66" spans="1:10" s="67" customFormat="1" ht="26.4" thickBot="1" x14ac:dyDescent="0.35">
      <c r="A66" s="170" t="s">
        <v>315</v>
      </c>
      <c r="B66" s="168"/>
      <c r="C66" s="61" t="s">
        <v>6</v>
      </c>
      <c r="D66" s="62" t="s">
        <v>1</v>
      </c>
      <c r="E66" s="62" t="s">
        <v>2</v>
      </c>
      <c r="F66" s="62" t="s">
        <v>3</v>
      </c>
      <c r="G66" s="62" t="s">
        <v>4</v>
      </c>
      <c r="H66" s="62" t="s">
        <v>5</v>
      </c>
    </row>
    <row r="67" spans="1:10" s="67" customFormat="1" ht="16.2" thickBot="1" x14ac:dyDescent="0.35">
      <c r="A67" s="190" t="s">
        <v>306</v>
      </c>
      <c r="B67" s="183">
        <v>4000</v>
      </c>
      <c r="E67" s="183">
        <f>B67</f>
        <v>4000</v>
      </c>
      <c r="F67" s="183">
        <f>E67-F75</f>
        <v>3437.5</v>
      </c>
      <c r="G67" s="183">
        <f t="shared" ref="G67:H67" si="33">F67-G75</f>
        <v>2762.5</v>
      </c>
      <c r="H67" s="183">
        <f t="shared" si="33"/>
        <v>1975</v>
      </c>
      <c r="I67" s="185">
        <f>I75</f>
        <v>900</v>
      </c>
      <c r="J67" s="183"/>
    </row>
    <row r="68" spans="1:10" s="67" customFormat="1" ht="15.6" x14ac:dyDescent="0.3">
      <c r="A68" s="190" t="s">
        <v>309</v>
      </c>
      <c r="B68" s="183" t="s">
        <v>3</v>
      </c>
      <c r="E68" s="163"/>
      <c r="F68" s="163"/>
      <c r="G68" s="163"/>
      <c r="H68" s="163"/>
      <c r="I68" s="164"/>
    </row>
    <row r="69" spans="1:10" s="67" customFormat="1" ht="43.2" x14ac:dyDescent="0.3">
      <c r="A69" s="190" t="s">
        <v>305</v>
      </c>
      <c r="B69" s="167" t="s">
        <v>316</v>
      </c>
      <c r="C69" s="282" t="s">
        <v>338</v>
      </c>
      <c r="D69" s="282"/>
      <c r="E69" s="282"/>
      <c r="F69" s="282"/>
      <c r="G69" s="282"/>
      <c r="H69" s="282"/>
    </row>
    <row r="70" spans="1:10" s="67" customFormat="1" ht="15.6" x14ac:dyDescent="0.3">
      <c r="A70" s="190" t="s">
        <v>332</v>
      </c>
      <c r="B70" s="183">
        <v>800</v>
      </c>
    </row>
    <row r="71" spans="1:10" s="67" customFormat="1" ht="15.6" x14ac:dyDescent="0.3">
      <c r="A71" s="190" t="s">
        <v>307</v>
      </c>
      <c r="B71" s="183">
        <v>400</v>
      </c>
      <c r="E71" s="163"/>
      <c r="F71" s="163"/>
      <c r="G71" s="163"/>
      <c r="H71" s="163"/>
      <c r="I71" s="164"/>
    </row>
    <row r="72" spans="1:10" s="67" customFormat="1" ht="15.6" x14ac:dyDescent="0.3">
      <c r="A72" s="190" t="s">
        <v>324</v>
      </c>
      <c r="B72" s="183">
        <f>B67-B71</f>
        <v>3600</v>
      </c>
      <c r="E72" s="163"/>
      <c r="F72" s="163"/>
      <c r="G72" s="163"/>
      <c r="H72" s="163"/>
      <c r="I72" s="164"/>
    </row>
    <row r="73" spans="1:10" s="67" customFormat="1" ht="15.6" x14ac:dyDescent="0.3">
      <c r="A73" s="190" t="s">
        <v>335</v>
      </c>
      <c r="B73" s="183"/>
      <c r="C73" s="177"/>
      <c r="D73" s="177"/>
      <c r="E73" s="187"/>
      <c r="F73" s="177">
        <f>F7</f>
        <v>125</v>
      </c>
      <c r="G73" s="177">
        <f>G7</f>
        <v>150</v>
      </c>
      <c r="H73" s="177">
        <f>H7</f>
        <v>175</v>
      </c>
      <c r="I73" s="177">
        <v>200</v>
      </c>
    </row>
    <row r="74" spans="1:10" s="67" customFormat="1" ht="16.2" thickBot="1" x14ac:dyDescent="0.35">
      <c r="A74" s="30" t="s">
        <v>43</v>
      </c>
      <c r="B74" s="30"/>
      <c r="C74" s="30">
        <f>C40</f>
        <v>0</v>
      </c>
      <c r="D74" s="30">
        <f>D7</f>
        <v>75</v>
      </c>
      <c r="E74" s="30">
        <f>E7+D74</f>
        <v>105</v>
      </c>
      <c r="F74" s="30">
        <f>F7+E74</f>
        <v>230</v>
      </c>
      <c r="G74" s="30">
        <f>G7+F74</f>
        <v>380</v>
      </c>
      <c r="H74" s="30">
        <f>H7+G74</f>
        <v>555</v>
      </c>
      <c r="I74" s="177">
        <f>H74+I73</f>
        <v>755</v>
      </c>
    </row>
    <row r="75" spans="1:10" s="67" customFormat="1" ht="16.2" thickBot="1" x14ac:dyDescent="0.35">
      <c r="A75" s="190" t="s">
        <v>317</v>
      </c>
      <c r="B75" s="183"/>
      <c r="C75" s="177"/>
      <c r="D75" s="177"/>
      <c r="E75" s="187"/>
      <c r="F75" s="177">
        <f>IF(F74&lt;$B$70,$B$72*F73/$B$70,"write-off")</f>
        <v>562.5</v>
      </c>
      <c r="G75" s="177">
        <f t="shared" ref="G75:I75" si="34">IF(G74&lt;$B$70,$B$72*G73/$B$70,"write-off")</f>
        <v>675</v>
      </c>
      <c r="H75" s="177">
        <f t="shared" si="34"/>
        <v>787.5</v>
      </c>
      <c r="I75" s="188">
        <f t="shared" si="34"/>
        <v>900</v>
      </c>
      <c r="J75" s="171"/>
    </row>
    <row r="76" spans="1:10" s="67" customFormat="1" ht="52.2" thickBot="1" x14ac:dyDescent="0.35">
      <c r="A76" s="192" t="s">
        <v>336</v>
      </c>
      <c r="C76" s="61" t="s">
        <v>6</v>
      </c>
      <c r="D76" s="62" t="s">
        <v>1</v>
      </c>
      <c r="E76" s="62" t="s">
        <v>2</v>
      </c>
      <c r="F76" s="62" t="s">
        <v>3</v>
      </c>
      <c r="G76" s="62" t="s">
        <v>4</v>
      </c>
      <c r="H76" s="62" t="s">
        <v>5</v>
      </c>
      <c r="I76" s="63" t="s">
        <v>11</v>
      </c>
    </row>
    <row r="77" spans="1:10" s="67" customFormat="1" ht="18" x14ac:dyDescent="0.3">
      <c r="A77" s="165" t="s">
        <v>337</v>
      </c>
      <c r="B77" s="168"/>
      <c r="C77" s="80">
        <f>SUM(C79:C82)</f>
        <v>5000</v>
      </c>
      <c r="D77" s="80">
        <f t="shared" ref="D77:H77" si="35">SUM(D79:D82)</f>
        <v>6775</v>
      </c>
      <c r="E77" s="80">
        <f t="shared" si="35"/>
        <v>10750</v>
      </c>
      <c r="F77" s="80">
        <f t="shared" si="35"/>
        <v>9149.1666666666679</v>
      </c>
      <c r="G77" s="80">
        <f t="shared" si="35"/>
        <v>7694.5</v>
      </c>
      <c r="H77" s="80">
        <f t="shared" si="35"/>
        <v>6309.2</v>
      </c>
      <c r="I77" s="164"/>
    </row>
    <row r="78" spans="1:10" s="67" customFormat="1" x14ac:dyDescent="0.3">
      <c r="A78" s="166" t="s">
        <v>340</v>
      </c>
      <c r="B78" s="168"/>
      <c r="E78" s="163"/>
      <c r="F78" s="163"/>
      <c r="G78" s="163"/>
      <c r="H78" s="163"/>
      <c r="I78" s="164"/>
    </row>
    <row r="79" spans="1:10" s="67" customFormat="1" ht="15.6" x14ac:dyDescent="0.3">
      <c r="A79" s="190" t="s">
        <v>304</v>
      </c>
      <c r="B79" s="168"/>
      <c r="C79" s="183">
        <f>C39</f>
        <v>5000</v>
      </c>
      <c r="D79" s="183">
        <f t="shared" ref="D79:H79" si="36">D39</f>
        <v>4775</v>
      </c>
      <c r="E79" s="183">
        <f t="shared" si="36"/>
        <v>4550</v>
      </c>
      <c r="F79" s="183">
        <f t="shared" si="36"/>
        <v>4325</v>
      </c>
      <c r="G79" s="183">
        <f t="shared" si="36"/>
        <v>4100</v>
      </c>
      <c r="H79" s="183">
        <f t="shared" si="36"/>
        <v>3875</v>
      </c>
      <c r="I79" s="164"/>
    </row>
    <row r="80" spans="1:10" s="67" customFormat="1" ht="15.6" x14ac:dyDescent="0.3">
      <c r="A80" s="190" t="s">
        <v>313</v>
      </c>
      <c r="B80" s="168"/>
      <c r="C80" s="183">
        <f>C48</f>
        <v>0</v>
      </c>
      <c r="D80" s="183">
        <f t="shared" ref="D80:H80" si="37">D48</f>
        <v>2000</v>
      </c>
      <c r="E80" s="183">
        <f t="shared" si="37"/>
        <v>1200</v>
      </c>
      <c r="F80" s="183">
        <f t="shared" si="37"/>
        <v>720</v>
      </c>
      <c r="G80" s="183">
        <f t="shared" si="37"/>
        <v>432</v>
      </c>
      <c r="H80" s="183">
        <f t="shared" si="37"/>
        <v>259.2</v>
      </c>
      <c r="I80" s="164"/>
    </row>
    <row r="81" spans="1:9" s="67" customFormat="1" ht="15.6" x14ac:dyDescent="0.3">
      <c r="A81" s="190" t="s">
        <v>308</v>
      </c>
      <c r="B81" s="168"/>
      <c r="C81" s="183">
        <f>C57</f>
        <v>0</v>
      </c>
      <c r="D81" s="183">
        <f t="shared" ref="D81:H81" si="38">D57</f>
        <v>0</v>
      </c>
      <c r="E81" s="183">
        <f t="shared" si="38"/>
        <v>1000</v>
      </c>
      <c r="F81" s="183">
        <f t="shared" si="38"/>
        <v>666.66666666666674</v>
      </c>
      <c r="G81" s="183">
        <f t="shared" si="38"/>
        <v>400.00000000000006</v>
      </c>
      <c r="H81" s="183">
        <f t="shared" si="38"/>
        <v>200.00000000000006</v>
      </c>
      <c r="I81" s="164"/>
    </row>
    <row r="82" spans="1:9" s="67" customFormat="1" ht="16.2" thickBot="1" x14ac:dyDescent="0.35">
      <c r="A82" s="190" t="s">
        <v>315</v>
      </c>
      <c r="B82" s="168"/>
      <c r="C82" s="183">
        <f>C67</f>
        <v>0</v>
      </c>
      <c r="D82" s="183">
        <f t="shared" ref="D82:H82" si="39">D67</f>
        <v>0</v>
      </c>
      <c r="E82" s="183">
        <f t="shared" si="39"/>
        <v>4000</v>
      </c>
      <c r="F82" s="183">
        <f t="shared" si="39"/>
        <v>3437.5</v>
      </c>
      <c r="G82" s="183">
        <f t="shared" si="39"/>
        <v>2762.5</v>
      </c>
      <c r="H82" s="183">
        <f t="shared" si="39"/>
        <v>1975</v>
      </c>
      <c r="I82" s="164"/>
    </row>
    <row r="83" spans="1:9" s="67" customFormat="1" ht="18.600000000000001" thickBot="1" x14ac:dyDescent="0.35">
      <c r="A83" s="165" t="s">
        <v>341</v>
      </c>
      <c r="B83" s="168"/>
      <c r="C83" s="80">
        <f>SUM(C85:C88)</f>
        <v>0</v>
      </c>
      <c r="D83" s="80">
        <f t="shared" ref="D83:H83" si="40">SUM(D85:D88)</f>
        <v>225</v>
      </c>
      <c r="E83" s="80">
        <f t="shared" si="40"/>
        <v>1025</v>
      </c>
      <c r="F83" s="80">
        <f t="shared" si="40"/>
        <v>1600.8333333333333</v>
      </c>
      <c r="G83" s="80">
        <f t="shared" si="40"/>
        <v>1454.6666666666667</v>
      </c>
      <c r="H83" s="80">
        <f t="shared" si="40"/>
        <v>1385.3</v>
      </c>
      <c r="I83" s="193">
        <f>SUM(C83:H83)</f>
        <v>5690.8</v>
      </c>
    </row>
    <row r="84" spans="1:9" s="67" customFormat="1" x14ac:dyDescent="0.3">
      <c r="A84" s="166" t="s">
        <v>340</v>
      </c>
      <c r="B84" s="168"/>
      <c r="E84" s="163"/>
      <c r="F84" s="163"/>
      <c r="G84" s="163"/>
      <c r="H84" s="163"/>
      <c r="I84" s="164"/>
    </row>
    <row r="85" spans="1:9" s="67" customFormat="1" ht="15.6" x14ac:dyDescent="0.3">
      <c r="A85" s="190" t="s">
        <v>304</v>
      </c>
      <c r="B85" s="168"/>
      <c r="C85" s="183">
        <f t="shared" ref="C85:H85" si="41">C46</f>
        <v>0</v>
      </c>
      <c r="D85" s="183">
        <f t="shared" si="41"/>
        <v>225</v>
      </c>
      <c r="E85" s="183">
        <f t="shared" si="41"/>
        <v>225</v>
      </c>
      <c r="F85" s="183">
        <f t="shared" si="41"/>
        <v>225</v>
      </c>
      <c r="G85" s="183">
        <f t="shared" si="41"/>
        <v>225</v>
      </c>
      <c r="H85" s="183">
        <f t="shared" si="41"/>
        <v>225</v>
      </c>
      <c r="I85" s="164"/>
    </row>
    <row r="86" spans="1:9" s="67" customFormat="1" ht="15.6" x14ac:dyDescent="0.3">
      <c r="A86" s="190" t="s">
        <v>313</v>
      </c>
      <c r="B86" s="168"/>
      <c r="C86" s="183">
        <f t="shared" ref="C86:H86" si="42">C54</f>
        <v>0</v>
      </c>
      <c r="D86" s="183">
        <f t="shared" si="42"/>
        <v>0</v>
      </c>
      <c r="E86" s="183">
        <f t="shared" si="42"/>
        <v>800</v>
      </c>
      <c r="F86" s="183">
        <f t="shared" si="42"/>
        <v>480</v>
      </c>
      <c r="G86" s="183">
        <f t="shared" si="42"/>
        <v>288</v>
      </c>
      <c r="H86" s="183">
        <f t="shared" si="42"/>
        <v>172.8</v>
      </c>
      <c r="I86" s="164"/>
    </row>
    <row r="87" spans="1:9" s="67" customFormat="1" ht="15.6" x14ac:dyDescent="0.3">
      <c r="A87" s="190" t="s">
        <v>308</v>
      </c>
      <c r="B87" s="168"/>
      <c r="C87" s="183">
        <f t="shared" ref="C87:H87" si="43">C65</f>
        <v>0</v>
      </c>
      <c r="D87" s="183">
        <f t="shared" si="43"/>
        <v>0</v>
      </c>
      <c r="E87" s="183">
        <f t="shared" si="43"/>
        <v>0</v>
      </c>
      <c r="F87" s="183">
        <f t="shared" si="43"/>
        <v>333.33333333333331</v>
      </c>
      <c r="G87" s="183">
        <f t="shared" si="43"/>
        <v>266.66666666666669</v>
      </c>
      <c r="H87" s="183">
        <f t="shared" si="43"/>
        <v>200</v>
      </c>
      <c r="I87" s="164"/>
    </row>
    <row r="88" spans="1:9" s="67" customFormat="1" ht="16.2" thickBot="1" x14ac:dyDescent="0.35">
      <c r="A88" s="190" t="s">
        <v>315</v>
      </c>
      <c r="B88" s="168"/>
      <c r="C88" s="183">
        <f t="shared" ref="C88:H88" si="44">C75</f>
        <v>0</v>
      </c>
      <c r="D88" s="183">
        <f t="shared" si="44"/>
        <v>0</v>
      </c>
      <c r="E88" s="183">
        <f t="shared" si="44"/>
        <v>0</v>
      </c>
      <c r="F88" s="183">
        <f t="shared" si="44"/>
        <v>562.5</v>
      </c>
      <c r="G88" s="183">
        <f t="shared" si="44"/>
        <v>675</v>
      </c>
      <c r="H88" s="183">
        <f t="shared" si="44"/>
        <v>787.5</v>
      </c>
      <c r="I88" s="164"/>
    </row>
    <row r="89" spans="1:9" s="67" customFormat="1" ht="36.6" thickBot="1" x14ac:dyDescent="0.35">
      <c r="A89" s="182" t="s">
        <v>385</v>
      </c>
      <c r="C89" s="61" t="s">
        <v>6</v>
      </c>
      <c r="D89" s="62" t="s">
        <v>1</v>
      </c>
      <c r="E89" s="62" t="s">
        <v>2</v>
      </c>
      <c r="F89" s="62" t="s">
        <v>3</v>
      </c>
      <c r="G89" s="62" t="s">
        <v>4</v>
      </c>
      <c r="H89" s="62" t="s">
        <v>5</v>
      </c>
      <c r="I89" s="63" t="s">
        <v>11</v>
      </c>
    </row>
    <row r="90" spans="1:9" s="67" customFormat="1" ht="21.6" thickBot="1" x14ac:dyDescent="0.35">
      <c r="A90" s="170" t="s">
        <v>347</v>
      </c>
      <c r="B90" s="168"/>
      <c r="E90" s="163"/>
      <c r="F90" s="163"/>
      <c r="G90" s="163"/>
      <c r="H90" s="163"/>
      <c r="I90" s="164"/>
    </row>
    <row r="91" spans="1:9" s="67" customFormat="1" ht="15.6" x14ac:dyDescent="0.3">
      <c r="A91" s="190" t="s">
        <v>344</v>
      </c>
      <c r="B91" s="168"/>
      <c r="C91" s="183">
        <f t="shared" ref="C91:H91" si="45">C7</f>
        <v>0</v>
      </c>
      <c r="D91" s="183">
        <f t="shared" si="45"/>
        <v>75</v>
      </c>
      <c r="E91" s="183">
        <f t="shared" si="45"/>
        <v>30</v>
      </c>
      <c r="F91" s="183">
        <f t="shared" si="45"/>
        <v>125</v>
      </c>
      <c r="G91" s="183">
        <f t="shared" si="45"/>
        <v>150</v>
      </c>
      <c r="H91" s="183">
        <f t="shared" si="45"/>
        <v>175</v>
      </c>
      <c r="I91" s="194">
        <f>SUM(C91:H91)</f>
        <v>555</v>
      </c>
    </row>
    <row r="92" spans="1:9" s="67" customFormat="1" ht="15.6" x14ac:dyDescent="0.3">
      <c r="A92" s="190" t="s">
        <v>345</v>
      </c>
      <c r="B92" s="168"/>
      <c r="C92" s="195">
        <f>C91/365</f>
        <v>0</v>
      </c>
      <c r="D92" s="195">
        <f t="shared" ref="D92:H92" si="46">D91/365</f>
        <v>0.20547945205479451</v>
      </c>
      <c r="E92" s="195">
        <f t="shared" si="46"/>
        <v>8.2191780821917804E-2</v>
      </c>
      <c r="F92" s="195">
        <f t="shared" si="46"/>
        <v>0.34246575342465752</v>
      </c>
      <c r="G92" s="195">
        <f t="shared" si="46"/>
        <v>0.41095890410958902</v>
      </c>
      <c r="H92" s="195">
        <f t="shared" si="46"/>
        <v>0.47945205479452052</v>
      </c>
      <c r="I92" s="164"/>
    </row>
    <row r="93" spans="1:9" s="67" customFormat="1" ht="15.6" x14ac:dyDescent="0.3">
      <c r="A93" s="190" t="s">
        <v>355</v>
      </c>
      <c r="B93" s="168"/>
      <c r="C93" s="197">
        <f>C92*12</f>
        <v>0</v>
      </c>
      <c r="D93" s="198">
        <f t="shared" ref="D93:H93" si="47">D92*12</f>
        <v>2.4657534246575343</v>
      </c>
      <c r="E93" s="198">
        <f t="shared" si="47"/>
        <v>0.98630136986301364</v>
      </c>
      <c r="F93" s="198">
        <f t="shared" si="47"/>
        <v>4.10958904109589</v>
      </c>
      <c r="G93" s="198">
        <f t="shared" si="47"/>
        <v>4.9315068493150687</v>
      </c>
      <c r="H93" s="198">
        <f t="shared" si="47"/>
        <v>5.7534246575342465</v>
      </c>
      <c r="I93" s="164"/>
    </row>
    <row r="94" spans="1:9" s="67" customFormat="1" ht="31.2" x14ac:dyDescent="0.3">
      <c r="A94" s="191" t="s">
        <v>352</v>
      </c>
      <c r="B94" s="168"/>
      <c r="C94" s="197">
        <f t="shared" ref="C94:H94" si="48">C16</f>
        <v>0</v>
      </c>
      <c r="D94" s="197">
        <f t="shared" si="48"/>
        <v>136.66666666666666</v>
      </c>
      <c r="E94" s="197">
        <f t="shared" si="48"/>
        <v>217.7</v>
      </c>
      <c r="F94" s="197">
        <f t="shared" si="48"/>
        <v>150.202</v>
      </c>
      <c r="G94" s="197">
        <f t="shared" si="48"/>
        <v>153.26010000000002</v>
      </c>
      <c r="H94" s="197">
        <f t="shared" si="48"/>
        <v>156.83370450000004</v>
      </c>
      <c r="I94" s="164"/>
    </row>
    <row r="95" spans="1:9" s="67" customFormat="1" ht="16.2" thickBot="1" x14ac:dyDescent="0.35">
      <c r="A95" s="190" t="s">
        <v>394</v>
      </c>
      <c r="B95" s="168"/>
      <c r="C95" s="197">
        <f>C94*C93</f>
        <v>0</v>
      </c>
      <c r="D95" s="197">
        <f t="shared" ref="D95:H95" si="49">D94*D93</f>
        <v>336.98630136986299</v>
      </c>
      <c r="E95" s="197">
        <f t="shared" si="49"/>
        <v>214.71780821917807</v>
      </c>
      <c r="F95" s="197">
        <f t="shared" si="49"/>
        <v>617.26849315068489</v>
      </c>
      <c r="G95" s="197">
        <f t="shared" si="49"/>
        <v>755.80323287671251</v>
      </c>
      <c r="H95" s="197">
        <f t="shared" si="49"/>
        <v>902.33090260273991</v>
      </c>
      <c r="I95" s="164"/>
    </row>
    <row r="96" spans="1:9" s="67" customFormat="1" ht="26.4" thickBot="1" x14ac:dyDescent="0.35">
      <c r="A96" s="170" t="s">
        <v>280</v>
      </c>
      <c r="B96" s="168"/>
      <c r="C96" s="61" t="s">
        <v>6</v>
      </c>
      <c r="D96" s="62" t="s">
        <v>1</v>
      </c>
      <c r="E96" s="62" t="s">
        <v>2</v>
      </c>
      <c r="F96" s="62" t="s">
        <v>3</v>
      </c>
      <c r="G96" s="62" t="s">
        <v>4</v>
      </c>
      <c r="H96" s="62" t="s">
        <v>5</v>
      </c>
      <c r="I96" s="164"/>
    </row>
    <row r="97" spans="1:9" s="67" customFormat="1" ht="15.6" x14ac:dyDescent="0.3">
      <c r="A97" s="190" t="s">
        <v>344</v>
      </c>
      <c r="B97" s="168"/>
      <c r="C97" s="183">
        <f>C91</f>
        <v>0</v>
      </c>
      <c r="D97" s="183">
        <f t="shared" ref="D97:H97" si="50">D91</f>
        <v>75</v>
      </c>
      <c r="E97" s="183">
        <f t="shared" si="50"/>
        <v>30</v>
      </c>
      <c r="F97" s="183">
        <f t="shared" si="50"/>
        <v>125</v>
      </c>
      <c r="G97" s="183">
        <f t="shared" si="50"/>
        <v>150</v>
      </c>
      <c r="H97" s="183">
        <f t="shared" si="50"/>
        <v>175</v>
      </c>
      <c r="I97" s="194">
        <f>SUM(C97:H97)</f>
        <v>555</v>
      </c>
    </row>
    <row r="98" spans="1:9" s="67" customFormat="1" ht="15.6" x14ac:dyDescent="0.3">
      <c r="A98" s="190" t="s">
        <v>345</v>
      </c>
      <c r="B98" s="168"/>
      <c r="C98" s="195">
        <f>C92</f>
        <v>0</v>
      </c>
      <c r="D98" s="195">
        <f t="shared" ref="D98:H98" si="51">D92</f>
        <v>0.20547945205479451</v>
      </c>
      <c r="E98" s="195">
        <f t="shared" si="51"/>
        <v>8.2191780821917804E-2</v>
      </c>
      <c r="F98" s="195">
        <f t="shared" si="51"/>
        <v>0.34246575342465752</v>
      </c>
      <c r="G98" s="195">
        <f t="shared" si="51"/>
        <v>0.41095890410958902</v>
      </c>
      <c r="H98" s="195">
        <f t="shared" si="51"/>
        <v>0.47945205479452052</v>
      </c>
      <c r="I98" s="164"/>
    </row>
    <row r="99" spans="1:9" s="67" customFormat="1" ht="31.2" x14ac:dyDescent="0.3">
      <c r="A99" s="191" t="s">
        <v>348</v>
      </c>
      <c r="B99" s="168"/>
      <c r="C99" s="197">
        <f>C98*12</f>
        <v>0</v>
      </c>
      <c r="D99" s="198">
        <f t="shared" ref="D99" si="52">D98*12</f>
        <v>2.4657534246575343</v>
      </c>
      <c r="E99" s="198">
        <f t="shared" ref="E99" si="53">E98*12</f>
        <v>0.98630136986301364</v>
      </c>
      <c r="F99" s="198">
        <f t="shared" ref="F99" si="54">F98*12</f>
        <v>4.10958904109589</v>
      </c>
      <c r="G99" s="198">
        <f t="shared" ref="G99" si="55">G98*12</f>
        <v>4.9315068493150687</v>
      </c>
      <c r="H99" s="198">
        <f t="shared" ref="H99" si="56">H98*12</f>
        <v>5.7534246575342465</v>
      </c>
      <c r="I99" s="164"/>
    </row>
    <row r="100" spans="1:9" s="67" customFormat="1" ht="31.2" x14ac:dyDescent="0.3">
      <c r="A100" s="191" t="s">
        <v>353</v>
      </c>
      <c r="B100" s="168"/>
      <c r="C100" s="197">
        <f t="shared" ref="C100:H100" si="57">C15</f>
        <v>0</v>
      </c>
      <c r="D100" s="197">
        <f t="shared" si="57"/>
        <v>110</v>
      </c>
      <c r="E100" s="197">
        <f t="shared" si="57"/>
        <v>117.7</v>
      </c>
      <c r="F100" s="197">
        <f t="shared" si="57"/>
        <v>124.76200000000001</v>
      </c>
      <c r="G100" s="197">
        <f t="shared" si="57"/>
        <v>131.00010000000003</v>
      </c>
      <c r="H100" s="197">
        <f t="shared" si="57"/>
        <v>136.89510450000003</v>
      </c>
      <c r="I100" s="164"/>
    </row>
    <row r="101" spans="1:9" s="67" customFormat="1" ht="16.2" thickBot="1" x14ac:dyDescent="0.35">
      <c r="A101" s="190" t="s">
        <v>346</v>
      </c>
      <c r="B101" s="168"/>
      <c r="C101" s="197">
        <f>C100*C99</f>
        <v>0</v>
      </c>
      <c r="D101" s="197">
        <f t="shared" ref="D101" si="58">D100*D99</f>
        <v>271.23287671232879</v>
      </c>
      <c r="E101" s="197">
        <f t="shared" ref="E101" si="59">E100*E99</f>
        <v>116.08767123287672</v>
      </c>
      <c r="F101" s="197">
        <f t="shared" ref="F101" si="60">F100*F99</f>
        <v>512.72054794520545</v>
      </c>
      <c r="G101" s="197">
        <f t="shared" ref="G101" si="61">G100*G99</f>
        <v>646.02789041095912</v>
      </c>
      <c r="H101" s="197">
        <f t="shared" ref="H101" si="62">H100*H99</f>
        <v>787.61566972602759</v>
      </c>
      <c r="I101" s="164"/>
    </row>
    <row r="102" spans="1:9" s="67" customFormat="1" ht="26.4" thickBot="1" x14ac:dyDescent="0.35">
      <c r="A102" s="170" t="s">
        <v>283</v>
      </c>
      <c r="B102" s="168"/>
      <c r="C102" s="61" t="s">
        <v>6</v>
      </c>
      <c r="D102" s="62" t="s">
        <v>1</v>
      </c>
      <c r="E102" s="62" t="s">
        <v>2</v>
      </c>
      <c r="F102" s="62" t="s">
        <v>3</v>
      </c>
      <c r="G102" s="62" t="s">
        <v>4</v>
      </c>
      <c r="H102" s="62" t="s">
        <v>5</v>
      </c>
      <c r="I102" s="164"/>
    </row>
    <row r="103" spans="1:9" s="67" customFormat="1" ht="15.6" x14ac:dyDescent="0.3">
      <c r="A103" s="190" t="s">
        <v>356</v>
      </c>
      <c r="B103" s="196"/>
      <c r="C103" s="197">
        <f t="shared" ref="C103:H103" si="63">-C14/12</f>
        <v>0</v>
      </c>
      <c r="D103" s="197">
        <f t="shared" si="63"/>
        <v>687.5</v>
      </c>
      <c r="E103" s="197">
        <f t="shared" si="63"/>
        <v>294.25</v>
      </c>
      <c r="F103" s="197">
        <f t="shared" si="63"/>
        <v>1299.6041666666667</v>
      </c>
      <c r="G103" s="197">
        <f t="shared" si="63"/>
        <v>1637.5012500000003</v>
      </c>
      <c r="H103" s="197">
        <f t="shared" si="63"/>
        <v>1996.3869406250005</v>
      </c>
      <c r="I103" s="164"/>
    </row>
    <row r="104" spans="1:9" s="67" customFormat="1" ht="16.2" thickBot="1" x14ac:dyDescent="0.35">
      <c r="A104" s="190" t="s">
        <v>357</v>
      </c>
      <c r="B104" s="196" t="s">
        <v>398</v>
      </c>
      <c r="C104" s="197">
        <f>C103</f>
        <v>0</v>
      </c>
      <c r="D104" s="197">
        <f>D103</f>
        <v>687.5</v>
      </c>
      <c r="E104" s="197">
        <f t="shared" ref="E104:H104" si="64">E103</f>
        <v>294.25</v>
      </c>
      <c r="F104" s="197">
        <f t="shared" si="64"/>
        <v>1299.6041666666667</v>
      </c>
      <c r="G104" s="197">
        <f t="shared" si="64"/>
        <v>1637.5012500000003</v>
      </c>
      <c r="H104" s="197">
        <f t="shared" si="64"/>
        <v>1996.3869406250005</v>
      </c>
      <c r="I104" s="164"/>
    </row>
    <row r="105" spans="1:9" s="67" customFormat="1" ht="26.4" thickBot="1" x14ac:dyDescent="0.35">
      <c r="A105" s="170" t="s">
        <v>282</v>
      </c>
      <c r="B105" s="168"/>
      <c r="C105" s="61" t="s">
        <v>6</v>
      </c>
      <c r="D105" s="62" t="s">
        <v>1</v>
      </c>
      <c r="E105" s="62" t="s">
        <v>2</v>
      </c>
      <c r="F105" s="62" t="s">
        <v>3</v>
      </c>
      <c r="G105" s="62" t="s">
        <v>4</v>
      </c>
      <c r="H105" s="62" t="s">
        <v>5</v>
      </c>
      <c r="I105" s="164"/>
    </row>
    <row r="106" spans="1:9" s="67" customFormat="1" ht="15.6" x14ac:dyDescent="0.3">
      <c r="A106" s="190" t="s">
        <v>369</v>
      </c>
      <c r="B106" s="196"/>
      <c r="C106" s="197">
        <f t="shared" ref="C106:H106" si="65">C10</f>
        <v>0</v>
      </c>
      <c r="D106" s="197">
        <f t="shared" si="65"/>
        <v>15000</v>
      </c>
      <c r="E106" s="197">
        <f t="shared" si="65"/>
        <v>6300</v>
      </c>
      <c r="F106" s="197">
        <f t="shared" si="65"/>
        <v>27431.25</v>
      </c>
      <c r="G106" s="197">
        <f t="shared" si="65"/>
        <v>34234.200000000004</v>
      </c>
      <c r="H106" s="197">
        <f t="shared" si="65"/>
        <v>41537.495999999999</v>
      </c>
      <c r="I106" s="164"/>
    </row>
    <row r="107" spans="1:9" s="67" customFormat="1" ht="31.2" x14ac:dyDescent="0.3">
      <c r="A107" s="191" t="s">
        <v>360</v>
      </c>
      <c r="B107" s="117">
        <v>0.3</v>
      </c>
      <c r="C107" s="197">
        <f>$B$107*C106</f>
        <v>0</v>
      </c>
      <c r="D107" s="197">
        <f t="shared" ref="D107:H107" si="66">$B$107*D106</f>
        <v>4500</v>
      </c>
      <c r="E107" s="197">
        <f t="shared" si="66"/>
        <v>1890</v>
      </c>
      <c r="F107" s="197">
        <f t="shared" si="66"/>
        <v>8229.375</v>
      </c>
      <c r="G107" s="197">
        <f t="shared" si="66"/>
        <v>10270.26</v>
      </c>
      <c r="H107" s="197">
        <f t="shared" si="66"/>
        <v>12461.248799999999</v>
      </c>
      <c r="I107" s="199" t="s">
        <v>363</v>
      </c>
    </row>
    <row r="108" spans="1:9" ht="31.2" x14ac:dyDescent="0.3">
      <c r="A108" s="191" t="s">
        <v>396</v>
      </c>
      <c r="B108" s="117">
        <v>0.2</v>
      </c>
      <c r="C108" s="197">
        <f>$B$108*C106</f>
        <v>0</v>
      </c>
      <c r="D108" s="197">
        <f t="shared" ref="D108:H108" si="67">$B$108*D106</f>
        <v>3000</v>
      </c>
      <c r="E108" s="197">
        <f t="shared" si="67"/>
        <v>1260</v>
      </c>
      <c r="F108" s="197">
        <f t="shared" si="67"/>
        <v>5486.25</v>
      </c>
      <c r="G108" s="197">
        <f t="shared" si="67"/>
        <v>6846.8400000000011</v>
      </c>
      <c r="H108" s="197">
        <f t="shared" si="67"/>
        <v>8307.4992000000002</v>
      </c>
      <c r="I108" s="199" t="s">
        <v>364</v>
      </c>
    </row>
    <row r="109" spans="1:9" ht="29.4" customHeight="1" x14ac:dyDescent="0.3">
      <c r="A109" s="191" t="s">
        <v>361</v>
      </c>
      <c r="B109" s="117">
        <v>0.2</v>
      </c>
      <c r="C109" s="197">
        <f>C106*$B$109</f>
        <v>0</v>
      </c>
      <c r="D109" s="197">
        <f t="shared" ref="D109:H109" si="68">D106*$B$109</f>
        <v>3000</v>
      </c>
      <c r="E109" s="197">
        <f t="shared" si="68"/>
        <v>1260</v>
      </c>
      <c r="F109" s="197">
        <f t="shared" si="68"/>
        <v>5486.25</v>
      </c>
      <c r="G109" s="197">
        <f t="shared" si="68"/>
        <v>6846.8400000000011</v>
      </c>
      <c r="H109" s="197">
        <f t="shared" si="68"/>
        <v>8307.4992000000002</v>
      </c>
      <c r="I109" s="199" t="s">
        <v>365</v>
      </c>
    </row>
    <row r="110" spans="1:9" ht="29.4" customHeight="1" x14ac:dyDescent="0.3">
      <c r="A110" s="191" t="s">
        <v>397</v>
      </c>
      <c r="B110" s="202">
        <v>60</v>
      </c>
      <c r="C110" s="197">
        <f>C108*$B$110/365</f>
        <v>0</v>
      </c>
      <c r="D110" s="197">
        <f t="shared" ref="D110:H110" si="69">D108*$B$110/365</f>
        <v>493.15068493150687</v>
      </c>
      <c r="E110" s="197">
        <f t="shared" si="69"/>
        <v>207.12328767123287</v>
      </c>
      <c r="F110" s="197">
        <f t="shared" si="69"/>
        <v>901.84931506849318</v>
      </c>
      <c r="G110" s="197">
        <f t="shared" si="69"/>
        <v>1125.5079452054797</v>
      </c>
      <c r="H110" s="197">
        <f t="shared" si="69"/>
        <v>1365.6163068493152</v>
      </c>
      <c r="I110" s="199"/>
    </row>
    <row r="111" spans="1:9" ht="29.4" customHeight="1" x14ac:dyDescent="0.3">
      <c r="A111" s="191" t="s">
        <v>370</v>
      </c>
      <c r="B111" s="202">
        <v>30</v>
      </c>
      <c r="C111" s="197">
        <f>C108*$B$111/365</f>
        <v>0</v>
      </c>
      <c r="D111" s="197">
        <f t="shared" ref="D111:H111" si="70">D108*$B$111/365</f>
        <v>246.57534246575344</v>
      </c>
      <c r="E111" s="197">
        <f t="shared" si="70"/>
        <v>103.56164383561644</v>
      </c>
      <c r="F111" s="197">
        <f t="shared" si="70"/>
        <v>450.92465753424659</v>
      </c>
      <c r="G111" s="197">
        <f t="shared" si="70"/>
        <v>562.75397260273985</v>
      </c>
      <c r="H111" s="197">
        <f t="shared" si="70"/>
        <v>682.80815342465758</v>
      </c>
      <c r="I111" s="199"/>
    </row>
    <row r="112" spans="1:9" ht="16.2" thickBot="1" x14ac:dyDescent="0.35">
      <c r="A112" s="200" t="s">
        <v>366</v>
      </c>
      <c r="B112" s="4"/>
      <c r="C112" s="201">
        <f>C111+C110</f>
        <v>0</v>
      </c>
      <c r="D112" s="201">
        <f t="shared" ref="D112:H112" si="71">D111+D110</f>
        <v>739.72602739726028</v>
      </c>
      <c r="E112" s="201">
        <f t="shared" si="71"/>
        <v>310.6849315068493</v>
      </c>
      <c r="F112" s="201">
        <f t="shared" si="71"/>
        <v>1352.7739726027398</v>
      </c>
      <c r="G112" s="201">
        <f t="shared" si="71"/>
        <v>1688.2619178082196</v>
      </c>
      <c r="H112" s="201">
        <f t="shared" si="71"/>
        <v>2048.4244602739727</v>
      </c>
    </row>
    <row r="113" spans="1:9" ht="26.4" thickBot="1" x14ac:dyDescent="0.35">
      <c r="A113" s="170" t="s">
        <v>300</v>
      </c>
      <c r="C113" s="61" t="s">
        <v>6</v>
      </c>
      <c r="D113" s="62" t="s">
        <v>1</v>
      </c>
      <c r="E113" s="62" t="s">
        <v>2</v>
      </c>
      <c r="F113" s="62" t="s">
        <v>3</v>
      </c>
      <c r="G113" s="62" t="s">
        <v>4</v>
      </c>
      <c r="H113" s="62" t="s">
        <v>5</v>
      </c>
    </row>
    <row r="114" spans="1:9" ht="15.6" x14ac:dyDescent="0.3">
      <c r="A114" s="200" t="s">
        <v>379</v>
      </c>
      <c r="D114" s="197"/>
      <c r="E114" s="197"/>
      <c r="F114" s="197"/>
      <c r="G114" s="197"/>
      <c r="H114" s="197"/>
    </row>
    <row r="115" spans="1:9" ht="31.2" x14ac:dyDescent="0.3">
      <c r="A115" s="191" t="s">
        <v>372</v>
      </c>
      <c r="B115" s="117">
        <v>0.3</v>
      </c>
      <c r="C115" s="197">
        <f>$B$115*C106</f>
        <v>0</v>
      </c>
      <c r="D115" s="197">
        <f t="shared" ref="D115:H115" si="72">$B$115*D106</f>
        <v>4500</v>
      </c>
      <c r="E115" s="197">
        <f t="shared" si="72"/>
        <v>1890</v>
      </c>
      <c r="F115" s="197">
        <f t="shared" si="72"/>
        <v>8229.375</v>
      </c>
      <c r="G115" s="197">
        <f t="shared" si="72"/>
        <v>10270.26</v>
      </c>
      <c r="H115" s="197">
        <f t="shared" si="72"/>
        <v>12461.248799999999</v>
      </c>
    </row>
    <row r="116" spans="1:9" ht="15.6" x14ac:dyDescent="0.3">
      <c r="A116" s="191" t="s">
        <v>373</v>
      </c>
      <c r="B116" s="202">
        <v>30</v>
      </c>
      <c r="C116" s="197">
        <f>C115*$B$116/365</f>
        <v>0</v>
      </c>
      <c r="D116" s="197">
        <f t="shared" ref="D116:H116" si="73">D115*$B$116/365</f>
        <v>369.86301369863014</v>
      </c>
      <c r="E116" s="197">
        <f t="shared" si="73"/>
        <v>155.34246575342465</v>
      </c>
      <c r="F116" s="197">
        <f t="shared" si="73"/>
        <v>676.38698630136992</v>
      </c>
      <c r="G116" s="197">
        <f t="shared" si="73"/>
        <v>844.13095890410955</v>
      </c>
      <c r="H116" s="197">
        <f t="shared" si="73"/>
        <v>1024.2122301369861</v>
      </c>
    </row>
    <row r="117" spans="1:9" ht="15.6" x14ac:dyDescent="0.3">
      <c r="A117" s="200" t="s">
        <v>9</v>
      </c>
      <c r="B117" s="202"/>
      <c r="C117" s="197"/>
      <c r="D117" s="197"/>
      <c r="E117" s="197"/>
      <c r="F117" s="197"/>
      <c r="G117" s="197"/>
      <c r="H117" s="197"/>
    </row>
    <row r="118" spans="1:9" ht="15.6" x14ac:dyDescent="0.3">
      <c r="A118" s="191" t="s">
        <v>377</v>
      </c>
      <c r="B118" s="117">
        <v>0.7</v>
      </c>
      <c r="C118" s="197">
        <f t="shared" ref="C118:H118" si="74">-$B$118*C13</f>
        <v>0</v>
      </c>
      <c r="D118" s="197">
        <f t="shared" si="74"/>
        <v>1400</v>
      </c>
      <c r="E118" s="197">
        <f t="shared" si="74"/>
        <v>2100</v>
      </c>
      <c r="F118" s="197">
        <f t="shared" si="74"/>
        <v>2226</v>
      </c>
      <c r="G118" s="197">
        <f t="shared" si="74"/>
        <v>2337.2999999999997</v>
      </c>
      <c r="H118" s="197">
        <f t="shared" si="74"/>
        <v>2442.4784999999997</v>
      </c>
    </row>
    <row r="119" spans="1:9" ht="15.6" x14ac:dyDescent="0.3">
      <c r="A119" s="191" t="s">
        <v>378</v>
      </c>
      <c r="B119" s="117">
        <v>0.3</v>
      </c>
      <c r="C119" s="197">
        <f t="shared" ref="C119:H119" si="75">-$B$119*C13</f>
        <v>0</v>
      </c>
      <c r="D119" s="197">
        <f t="shared" si="75"/>
        <v>600</v>
      </c>
      <c r="E119" s="197">
        <f t="shared" si="75"/>
        <v>900</v>
      </c>
      <c r="F119" s="197">
        <f t="shared" si="75"/>
        <v>954</v>
      </c>
      <c r="G119" s="197">
        <f t="shared" si="75"/>
        <v>1001.6999999999999</v>
      </c>
      <c r="H119" s="197">
        <f t="shared" si="75"/>
        <v>1046.7764999999999</v>
      </c>
    </row>
    <row r="120" spans="1:9" ht="15.6" x14ac:dyDescent="0.3">
      <c r="A120" s="191" t="s">
        <v>381</v>
      </c>
      <c r="B120" s="202">
        <v>15</v>
      </c>
      <c r="C120" s="197">
        <f>(C118/12)*($B$120/30)</f>
        <v>0</v>
      </c>
      <c r="D120" s="197">
        <f>(D118/12)*($B$120/30)</f>
        <v>58.333333333333336</v>
      </c>
      <c r="E120" s="197">
        <f t="shared" ref="E120:H120" si="76">(E118/12)*($B$120/30)</f>
        <v>87.5</v>
      </c>
      <c r="F120" s="197">
        <f t="shared" si="76"/>
        <v>92.75</v>
      </c>
      <c r="G120" s="197">
        <f t="shared" si="76"/>
        <v>97.387499999999989</v>
      </c>
      <c r="H120" s="197">
        <f t="shared" si="76"/>
        <v>101.76993749999998</v>
      </c>
    </row>
    <row r="121" spans="1:9" ht="15.6" x14ac:dyDescent="0.3">
      <c r="A121" s="191" t="s">
        <v>383</v>
      </c>
      <c r="B121" s="202">
        <v>20</v>
      </c>
      <c r="C121" s="197">
        <f>(C119/12)*($B$121/30)</f>
        <v>0</v>
      </c>
      <c r="D121" s="197">
        <f>(D119/12)*($B$121/30)</f>
        <v>33.333333333333329</v>
      </c>
      <c r="E121" s="197">
        <f t="shared" ref="E121:H121" si="77">(E119/12)*($B$121/30)</f>
        <v>50</v>
      </c>
      <c r="F121" s="197">
        <f t="shared" si="77"/>
        <v>53</v>
      </c>
      <c r="G121" s="197">
        <f t="shared" si="77"/>
        <v>55.649999999999991</v>
      </c>
      <c r="H121" s="197">
        <f t="shared" si="77"/>
        <v>58.154249999999998</v>
      </c>
    </row>
    <row r="122" spans="1:9" ht="16.2" thickBot="1" x14ac:dyDescent="0.35">
      <c r="A122" s="200" t="s">
        <v>384</v>
      </c>
      <c r="B122" s="202"/>
      <c r="C122" s="201">
        <f>C121+C120+C116</f>
        <v>0</v>
      </c>
      <c r="D122" s="201">
        <f t="shared" ref="D122:H122" si="78">D121+D120+D116</f>
        <v>461.52968036529683</v>
      </c>
      <c r="E122" s="201">
        <f t="shared" si="78"/>
        <v>292.84246575342468</v>
      </c>
      <c r="F122" s="201">
        <f t="shared" si="78"/>
        <v>822.13698630136992</v>
      </c>
      <c r="G122" s="201">
        <f t="shared" si="78"/>
        <v>997.16845890410946</v>
      </c>
      <c r="H122" s="201">
        <f t="shared" si="78"/>
        <v>1184.1364176369862</v>
      </c>
    </row>
    <row r="123" spans="1:9" ht="36.6" thickBot="1" x14ac:dyDescent="0.35">
      <c r="A123" s="182" t="s">
        <v>386</v>
      </c>
      <c r="B123" s="67"/>
      <c r="C123" s="61" t="s">
        <v>6</v>
      </c>
      <c r="D123" s="62" t="s">
        <v>1</v>
      </c>
      <c r="E123" s="62" t="s">
        <v>2</v>
      </c>
      <c r="F123" s="62" t="s">
        <v>3</v>
      </c>
      <c r="G123" s="62" t="s">
        <v>4</v>
      </c>
      <c r="H123" s="62" t="s">
        <v>5</v>
      </c>
      <c r="I123" s="63" t="s">
        <v>11</v>
      </c>
    </row>
    <row r="124" spans="1:9" ht="15.6" x14ac:dyDescent="0.3">
      <c r="A124" s="191" t="s">
        <v>388</v>
      </c>
      <c r="B124" s="202"/>
      <c r="C124" s="197">
        <f>C101</f>
        <v>0</v>
      </c>
      <c r="D124" s="197">
        <f t="shared" ref="D124:H124" si="79">D101</f>
        <v>271.23287671232879</v>
      </c>
      <c r="E124" s="197">
        <f t="shared" si="79"/>
        <v>116.08767123287672</v>
      </c>
      <c r="F124" s="197">
        <f t="shared" si="79"/>
        <v>512.72054794520545</v>
      </c>
      <c r="G124" s="197">
        <f t="shared" si="79"/>
        <v>646.02789041095912</v>
      </c>
      <c r="H124" s="197">
        <f t="shared" si="79"/>
        <v>787.61566972602759</v>
      </c>
      <c r="I124" s="197"/>
    </row>
    <row r="125" spans="1:9" ht="15.6" x14ac:dyDescent="0.3">
      <c r="A125" s="191" t="s">
        <v>389</v>
      </c>
      <c r="B125" s="202"/>
      <c r="C125" s="197">
        <f>C95</f>
        <v>0</v>
      </c>
      <c r="D125" s="197">
        <f t="shared" ref="D125:H125" si="80">D95</f>
        <v>336.98630136986299</v>
      </c>
      <c r="E125" s="197">
        <f t="shared" si="80"/>
        <v>214.71780821917807</v>
      </c>
      <c r="F125" s="197">
        <f t="shared" si="80"/>
        <v>617.26849315068489</v>
      </c>
      <c r="G125" s="197">
        <f t="shared" si="80"/>
        <v>755.80323287671251</v>
      </c>
      <c r="H125" s="197">
        <f t="shared" si="80"/>
        <v>902.33090260273991</v>
      </c>
      <c r="I125" s="197"/>
    </row>
    <row r="126" spans="1:9" ht="15.6" x14ac:dyDescent="0.3">
      <c r="A126" s="191" t="s">
        <v>390</v>
      </c>
      <c r="B126" s="202"/>
      <c r="C126" s="197">
        <f>C104</f>
        <v>0</v>
      </c>
      <c r="D126" s="197">
        <f t="shared" ref="D126:H126" si="81">D104</f>
        <v>687.5</v>
      </c>
      <c r="E126" s="197">
        <f t="shared" si="81"/>
        <v>294.25</v>
      </c>
      <c r="F126" s="197">
        <f t="shared" si="81"/>
        <v>1299.6041666666667</v>
      </c>
      <c r="G126" s="197">
        <f t="shared" si="81"/>
        <v>1637.5012500000003</v>
      </c>
      <c r="H126" s="197">
        <f t="shared" si="81"/>
        <v>1996.3869406250005</v>
      </c>
      <c r="I126" s="197"/>
    </row>
    <row r="127" spans="1:9" ht="15.6" x14ac:dyDescent="0.3">
      <c r="A127" s="191" t="s">
        <v>391</v>
      </c>
      <c r="B127" s="202"/>
      <c r="C127" s="197">
        <f>C112</f>
        <v>0</v>
      </c>
      <c r="D127" s="197">
        <f t="shared" ref="D127:H127" si="82">D112</f>
        <v>739.72602739726028</v>
      </c>
      <c r="E127" s="197">
        <f t="shared" si="82"/>
        <v>310.6849315068493</v>
      </c>
      <c r="F127" s="197">
        <f t="shared" si="82"/>
        <v>1352.7739726027398</v>
      </c>
      <c r="G127" s="197">
        <f t="shared" si="82"/>
        <v>1688.2619178082196</v>
      </c>
      <c r="H127" s="197">
        <f t="shared" si="82"/>
        <v>2048.4244602739727</v>
      </c>
      <c r="I127" s="197"/>
    </row>
    <row r="128" spans="1:9" ht="16.2" thickBot="1" x14ac:dyDescent="0.35">
      <c r="A128" s="191" t="s">
        <v>387</v>
      </c>
      <c r="B128" s="202"/>
      <c r="C128" s="197">
        <f>C122</f>
        <v>0</v>
      </c>
      <c r="D128" s="197">
        <f t="shared" ref="D128:H128" si="83">D122</f>
        <v>461.52968036529683</v>
      </c>
      <c r="E128" s="197">
        <f t="shared" si="83"/>
        <v>292.84246575342468</v>
      </c>
      <c r="F128" s="197">
        <f t="shared" si="83"/>
        <v>822.13698630136992</v>
      </c>
      <c r="G128" s="197">
        <f t="shared" si="83"/>
        <v>997.16845890410946</v>
      </c>
      <c r="H128" s="197">
        <f t="shared" si="83"/>
        <v>1184.1364176369862</v>
      </c>
      <c r="I128" s="197"/>
    </row>
    <row r="129" spans="1:11" ht="21.6" thickBot="1" x14ac:dyDescent="0.35">
      <c r="A129" s="170" t="s">
        <v>392</v>
      </c>
      <c r="B129" s="202"/>
      <c r="C129" s="203">
        <f>SUM(C124:C128)</f>
        <v>0</v>
      </c>
      <c r="D129" s="203">
        <f>SUM(D124:D127)-D128</f>
        <v>1573.9155251141551</v>
      </c>
      <c r="E129" s="203">
        <f t="shared" ref="E129:H129" si="84">SUM(E124:E127)-E128</f>
        <v>642.89794520547935</v>
      </c>
      <c r="F129" s="203">
        <f t="shared" si="84"/>
        <v>2960.2301940639272</v>
      </c>
      <c r="G129" s="203">
        <f t="shared" si="84"/>
        <v>3730.4258321917814</v>
      </c>
      <c r="H129" s="203">
        <f t="shared" si="84"/>
        <v>4550.6215555907547</v>
      </c>
      <c r="I129" s="197"/>
    </row>
    <row r="130" spans="1:11" ht="16.2" thickBot="1" x14ac:dyDescent="0.35">
      <c r="A130" s="204" t="s">
        <v>393</v>
      </c>
      <c r="B130" s="4"/>
      <c r="C130" s="201"/>
      <c r="D130" s="201">
        <f>D129-C129</f>
        <v>1573.9155251141551</v>
      </c>
      <c r="E130" s="201">
        <f t="shared" ref="E130:H130" si="85">E129-D129</f>
        <v>-931.01757990867577</v>
      </c>
      <c r="F130" s="201">
        <f t="shared" si="85"/>
        <v>2317.3322488584481</v>
      </c>
      <c r="G130" s="201">
        <f t="shared" si="85"/>
        <v>770.19563812785418</v>
      </c>
      <c r="H130" s="201">
        <f t="shared" si="85"/>
        <v>820.19572339897331</v>
      </c>
      <c r="I130" s="197"/>
      <c r="J130" s="68"/>
      <c r="K130" s="68"/>
    </row>
    <row r="131" spans="1:11" ht="36.6" thickBot="1" x14ac:dyDescent="0.35">
      <c r="A131" s="182" t="s">
        <v>395</v>
      </c>
      <c r="B131" s="67"/>
      <c r="C131" s="61" t="s">
        <v>6</v>
      </c>
      <c r="D131" s="62" t="s">
        <v>1</v>
      </c>
      <c r="E131" s="62" t="s">
        <v>2</v>
      </c>
      <c r="F131" s="62" t="s">
        <v>3</v>
      </c>
      <c r="G131" s="62" t="s">
        <v>4</v>
      </c>
      <c r="H131" s="62" t="s">
        <v>5</v>
      </c>
      <c r="I131" s="63" t="s">
        <v>11</v>
      </c>
      <c r="J131" s="68"/>
      <c r="K131" s="68"/>
    </row>
    <row r="132" spans="1:11" ht="21.6" thickBot="1" x14ac:dyDescent="0.35">
      <c r="A132" s="170" t="s">
        <v>400</v>
      </c>
      <c r="B132" s="5"/>
      <c r="D132" s="9"/>
      <c r="E132" s="9"/>
      <c r="F132" s="9"/>
      <c r="G132" s="9"/>
      <c r="H132" s="9"/>
      <c r="I132" s="9"/>
      <c r="J132" s="68"/>
      <c r="K132" s="68"/>
    </row>
    <row r="133" spans="1:11" x14ac:dyDescent="0.3">
      <c r="A133" s="5" t="s">
        <v>17</v>
      </c>
      <c r="B133" s="5"/>
      <c r="C133" s="9">
        <f t="shared" ref="C133:H138" si="86">C26</f>
        <v>5000</v>
      </c>
      <c r="D133" s="9">
        <f t="shared" si="86"/>
        <v>0</v>
      </c>
      <c r="E133" s="9">
        <f t="shared" si="86"/>
        <v>3525</v>
      </c>
      <c r="F133" s="9">
        <f t="shared" si="86"/>
        <v>2874</v>
      </c>
      <c r="G133" s="9">
        <f t="shared" si="86"/>
        <v>9782.9666666666672</v>
      </c>
      <c r="H133" s="9">
        <f t="shared" si="86"/>
        <v>18750.048000000003</v>
      </c>
      <c r="I133" s="9"/>
      <c r="J133" s="68"/>
      <c r="K133" s="68"/>
    </row>
    <row r="134" spans="1:11" x14ac:dyDescent="0.3">
      <c r="A134" s="4" t="s">
        <v>367</v>
      </c>
      <c r="B134" s="4"/>
      <c r="C134" s="11">
        <f t="shared" si="86"/>
        <v>0</v>
      </c>
      <c r="D134" s="11">
        <f t="shared" si="86"/>
        <v>22000</v>
      </c>
      <c r="E134" s="11">
        <f t="shared" si="86"/>
        <v>17300</v>
      </c>
      <c r="F134" s="11">
        <f t="shared" si="86"/>
        <v>34431.25</v>
      </c>
      <c r="G134" s="11">
        <f t="shared" si="86"/>
        <v>42234.200000000004</v>
      </c>
      <c r="H134" s="11">
        <f t="shared" si="86"/>
        <v>50537.495999999999</v>
      </c>
      <c r="I134" s="11"/>
      <c r="J134" s="68"/>
      <c r="K134" s="68"/>
    </row>
    <row r="135" spans="1:11" x14ac:dyDescent="0.3">
      <c r="A135" s="4" t="s">
        <v>368</v>
      </c>
      <c r="B135" s="4"/>
      <c r="C135" s="11">
        <f t="shared" si="86"/>
        <v>-5000</v>
      </c>
      <c r="D135" s="11">
        <f t="shared" si="86"/>
        <v>-18475</v>
      </c>
      <c r="E135" s="11">
        <f t="shared" si="86"/>
        <v>-17951</v>
      </c>
      <c r="F135" s="11">
        <f t="shared" si="86"/>
        <v>-27522.283333333333</v>
      </c>
      <c r="G135" s="11">
        <f t="shared" si="86"/>
        <v>-33267.118666666669</v>
      </c>
      <c r="H135" s="11">
        <f t="shared" si="86"/>
        <v>-39311.157830000011</v>
      </c>
      <c r="I135" s="11"/>
      <c r="J135" s="68"/>
      <c r="K135" s="68"/>
    </row>
    <row r="136" spans="1:11" x14ac:dyDescent="0.3">
      <c r="A136" s="4" t="s">
        <v>26</v>
      </c>
      <c r="B136" s="4"/>
      <c r="C136" s="11">
        <f t="shared" si="86"/>
        <v>-5000</v>
      </c>
      <c r="D136" s="11">
        <f t="shared" si="86"/>
        <v>3525</v>
      </c>
      <c r="E136" s="11">
        <f t="shared" si="86"/>
        <v>-651</v>
      </c>
      <c r="F136" s="11">
        <f t="shared" si="86"/>
        <v>6908.9666666666672</v>
      </c>
      <c r="G136" s="11">
        <f t="shared" si="86"/>
        <v>8967.0813333333354</v>
      </c>
      <c r="H136" s="11">
        <f t="shared" si="86"/>
        <v>11226.338169999988</v>
      </c>
      <c r="I136" s="11"/>
      <c r="J136" s="68"/>
      <c r="K136" s="68"/>
    </row>
    <row r="137" spans="1:11" x14ac:dyDescent="0.3">
      <c r="A137" s="5" t="s">
        <v>18</v>
      </c>
      <c r="B137" s="5"/>
      <c r="C137" s="9">
        <f t="shared" si="86"/>
        <v>0</v>
      </c>
      <c r="D137" s="9">
        <f t="shared" si="86"/>
        <v>3525</v>
      </c>
      <c r="E137" s="9">
        <f t="shared" si="86"/>
        <v>2874</v>
      </c>
      <c r="F137" s="9">
        <f t="shared" si="86"/>
        <v>9782.9666666666672</v>
      </c>
      <c r="G137" s="9">
        <f t="shared" si="86"/>
        <v>18750.048000000003</v>
      </c>
      <c r="H137" s="9">
        <f t="shared" si="86"/>
        <v>29976.386169999991</v>
      </c>
      <c r="I137" s="9"/>
      <c r="J137" s="68"/>
      <c r="K137" s="68"/>
    </row>
    <row r="138" spans="1:11" x14ac:dyDescent="0.3">
      <c r="A138" s="5" t="s">
        <v>30</v>
      </c>
      <c r="B138" s="5"/>
      <c r="C138" s="9">
        <f t="shared" si="86"/>
        <v>-5000</v>
      </c>
      <c r="D138" s="9">
        <f t="shared" si="86"/>
        <v>-1475</v>
      </c>
      <c r="E138" s="9">
        <f t="shared" si="86"/>
        <v>-2126</v>
      </c>
      <c r="F138" s="9">
        <f t="shared" si="86"/>
        <v>4782.9666666666672</v>
      </c>
      <c r="G138" s="9">
        <f t="shared" si="86"/>
        <v>13750.048000000003</v>
      </c>
      <c r="H138" s="9">
        <f t="shared" si="86"/>
        <v>24976.386169999991</v>
      </c>
      <c r="I138" s="9"/>
      <c r="J138" s="68"/>
      <c r="K138" s="68"/>
    </row>
    <row r="139" spans="1:11" ht="16.2" thickBot="1" x14ac:dyDescent="0.35">
      <c r="A139" s="204" t="s">
        <v>393</v>
      </c>
      <c r="B139" s="4"/>
      <c r="C139" s="201"/>
      <c r="D139" s="205">
        <f>D130</f>
        <v>1573.9155251141551</v>
      </c>
      <c r="E139" s="205">
        <f t="shared" ref="E139:H139" si="87">E130</f>
        <v>-931.01757990867577</v>
      </c>
      <c r="F139" s="205">
        <f t="shared" si="87"/>
        <v>2317.3322488584481</v>
      </c>
      <c r="G139" s="205">
        <f t="shared" si="87"/>
        <v>770.19563812785418</v>
      </c>
      <c r="H139" s="205">
        <f t="shared" si="87"/>
        <v>820.19572339897331</v>
      </c>
      <c r="I139" s="9"/>
      <c r="J139" s="68"/>
      <c r="K139" s="68"/>
    </row>
    <row r="140" spans="1:11" ht="26.4" thickBot="1" x14ac:dyDescent="0.35">
      <c r="A140" s="170" t="s">
        <v>399</v>
      </c>
      <c r="B140" s="5"/>
      <c r="C140" s="61" t="s">
        <v>6</v>
      </c>
      <c r="D140" s="62" t="s">
        <v>1</v>
      </c>
      <c r="E140" s="62" t="s">
        <v>2</v>
      </c>
      <c r="F140" s="62" t="s">
        <v>3</v>
      </c>
      <c r="G140" s="62" t="s">
        <v>4</v>
      </c>
      <c r="H140" s="62" t="s">
        <v>5</v>
      </c>
      <c r="I140" s="9"/>
      <c r="J140" s="68"/>
      <c r="K140" s="68"/>
    </row>
    <row r="141" spans="1:11" x14ac:dyDescent="0.3">
      <c r="A141" s="5" t="s">
        <v>17</v>
      </c>
      <c r="B141" s="5"/>
      <c r="C141" s="9">
        <f>C133</f>
        <v>5000</v>
      </c>
      <c r="D141" s="9">
        <f>D133</f>
        <v>0</v>
      </c>
      <c r="E141" s="9">
        <f>D144</f>
        <v>1951.0844748858435</v>
      </c>
      <c r="F141" s="9">
        <f>E145+F5</f>
        <v>2231.1020547945191</v>
      </c>
      <c r="G141" s="9">
        <f>F145+G5</f>
        <v>6822.7364726027372</v>
      </c>
      <c r="H141" s="9">
        <f>G145+H5</f>
        <v>15019.622167808222</v>
      </c>
      <c r="I141" s="9"/>
      <c r="J141" s="68"/>
      <c r="K141" s="68"/>
    </row>
    <row r="142" spans="1:11" x14ac:dyDescent="0.3">
      <c r="A142" s="4" t="s">
        <v>367</v>
      </c>
      <c r="B142" s="5"/>
      <c r="C142" s="9">
        <f>C134</f>
        <v>0</v>
      </c>
      <c r="D142" s="9">
        <f>D134</f>
        <v>22000</v>
      </c>
      <c r="E142" s="9">
        <f t="shared" ref="E142:H142" si="88">E134</f>
        <v>17300</v>
      </c>
      <c r="F142" s="9">
        <f t="shared" si="88"/>
        <v>34431.25</v>
      </c>
      <c r="G142" s="9">
        <f t="shared" si="88"/>
        <v>42234.200000000004</v>
      </c>
      <c r="H142" s="9">
        <f t="shared" si="88"/>
        <v>50537.495999999999</v>
      </c>
      <c r="I142" s="9"/>
      <c r="J142" s="68"/>
      <c r="K142" s="68"/>
    </row>
    <row r="143" spans="1:11" x14ac:dyDescent="0.3">
      <c r="A143" s="4" t="s">
        <v>368</v>
      </c>
      <c r="B143" s="5"/>
      <c r="C143" s="11">
        <f t="shared" ref="C143:H143" si="89">C135-C139</f>
        <v>-5000</v>
      </c>
      <c r="D143" s="11">
        <f t="shared" si="89"/>
        <v>-20048.915525114156</v>
      </c>
      <c r="E143" s="11">
        <f t="shared" si="89"/>
        <v>-17019.982420091324</v>
      </c>
      <c r="F143" s="11">
        <f t="shared" si="89"/>
        <v>-29839.615582191782</v>
      </c>
      <c r="G143" s="11">
        <f t="shared" si="89"/>
        <v>-34037.31430479452</v>
      </c>
      <c r="H143" s="11">
        <f t="shared" si="89"/>
        <v>-40131.353553398985</v>
      </c>
      <c r="I143" s="9"/>
      <c r="J143" s="68"/>
      <c r="K143" s="68"/>
    </row>
    <row r="144" spans="1:11" x14ac:dyDescent="0.3">
      <c r="A144" s="4" t="s">
        <v>26</v>
      </c>
      <c r="B144" s="5"/>
      <c r="C144" s="11">
        <f>C142+C143</f>
        <v>-5000</v>
      </c>
      <c r="D144" s="11">
        <f>D142+D143</f>
        <v>1951.0844748858435</v>
      </c>
      <c r="E144" s="11">
        <f t="shared" ref="E144:H144" si="90">E142+E143</f>
        <v>280.01757990867554</v>
      </c>
      <c r="F144" s="11">
        <f t="shared" si="90"/>
        <v>4591.6344178082181</v>
      </c>
      <c r="G144" s="11">
        <f t="shared" si="90"/>
        <v>8196.8856952054848</v>
      </c>
      <c r="H144" s="11">
        <f t="shared" si="90"/>
        <v>10406.142446601014</v>
      </c>
      <c r="I144" s="9"/>
      <c r="J144" s="68"/>
      <c r="K144" s="68"/>
    </row>
    <row r="145" spans="1:11" s="14" customFormat="1" ht="18" x14ac:dyDescent="0.3">
      <c r="A145" s="14" t="s">
        <v>18</v>
      </c>
      <c r="C145" s="208">
        <f>C141+C144</f>
        <v>0</v>
      </c>
      <c r="D145" s="208">
        <f>D141+D144</f>
        <v>1951.0844748858435</v>
      </c>
      <c r="E145" s="208">
        <f t="shared" ref="E145:H145" si="91">E141+E144</f>
        <v>2231.1020547945191</v>
      </c>
      <c r="F145" s="208">
        <f t="shared" si="91"/>
        <v>6822.7364726027372</v>
      </c>
      <c r="G145" s="208">
        <f t="shared" si="91"/>
        <v>15019.622167808222</v>
      </c>
      <c r="H145" s="208">
        <f t="shared" si="91"/>
        <v>25425.764614409236</v>
      </c>
      <c r="I145" s="206"/>
      <c r="J145" s="207"/>
      <c r="K145" s="207"/>
    </row>
    <row r="146" spans="1:11" ht="15" thickBot="1" x14ac:dyDescent="0.35">
      <c r="A146" s="5" t="s">
        <v>30</v>
      </c>
      <c r="B146" s="5"/>
      <c r="C146" s="9">
        <f>C145</f>
        <v>0</v>
      </c>
      <c r="D146" s="9">
        <f>C146+D145</f>
        <v>1951.0844748858435</v>
      </c>
      <c r="E146" s="9">
        <f t="shared" ref="E146:H146" si="92">D146+E145</f>
        <v>4182.1865296803626</v>
      </c>
      <c r="F146" s="9">
        <f t="shared" si="92"/>
        <v>11004.9230022831</v>
      </c>
      <c r="G146" s="9">
        <f t="shared" si="92"/>
        <v>26024.545170091322</v>
      </c>
      <c r="H146" s="9">
        <f t="shared" si="92"/>
        <v>51450.309784500554</v>
      </c>
      <c r="I146" s="9"/>
      <c r="J146" s="68"/>
      <c r="K146" s="68"/>
    </row>
    <row r="147" spans="1:11" s="67" customFormat="1" ht="26.4" thickBot="1" x14ac:dyDescent="0.35">
      <c r="A147" s="228" t="s">
        <v>401</v>
      </c>
      <c r="C147" s="225" t="s">
        <v>6</v>
      </c>
      <c r="D147" s="226" t="s">
        <v>1</v>
      </c>
      <c r="E147" s="226" t="s">
        <v>2</v>
      </c>
      <c r="F147" s="226" t="s">
        <v>3</v>
      </c>
      <c r="G147" s="226" t="s">
        <v>4</v>
      </c>
      <c r="H147" s="226" t="s">
        <v>5</v>
      </c>
      <c r="I147" s="164"/>
    </row>
    <row r="148" spans="1:11" s="67" customFormat="1" ht="23.4" x14ac:dyDescent="0.3">
      <c r="A148" s="229" t="s">
        <v>274</v>
      </c>
      <c r="B148" s="209"/>
      <c r="C148" s="209"/>
      <c r="D148" s="209"/>
      <c r="E148" s="210"/>
      <c r="F148" s="210"/>
      <c r="G148" s="210"/>
      <c r="H148" s="211"/>
      <c r="I148" s="164"/>
    </row>
    <row r="149" spans="1:11" s="67" customFormat="1" ht="18" x14ac:dyDescent="0.3">
      <c r="A149" s="212" t="s">
        <v>279</v>
      </c>
      <c r="B149" s="227"/>
      <c r="C149" s="214">
        <f>SUM(C151:C153)</f>
        <v>5000</v>
      </c>
      <c r="D149" s="214">
        <f t="shared" ref="D149:H149" si="93">SUM(D151:D153)</f>
        <v>6775</v>
      </c>
      <c r="E149" s="214">
        <f t="shared" si="93"/>
        <v>10750</v>
      </c>
      <c r="F149" s="214">
        <f t="shared" si="93"/>
        <v>9149.1666666666661</v>
      </c>
      <c r="G149" s="214">
        <f t="shared" si="93"/>
        <v>7694.5</v>
      </c>
      <c r="H149" s="215">
        <f t="shared" si="93"/>
        <v>6309.2</v>
      </c>
      <c r="I149" s="164"/>
    </row>
    <row r="150" spans="1:11" s="67" customFormat="1" x14ac:dyDescent="0.3">
      <c r="A150" s="216" t="s">
        <v>278</v>
      </c>
      <c r="B150" s="213"/>
      <c r="C150" s="213"/>
      <c r="D150" s="213"/>
      <c r="E150" s="217"/>
      <c r="F150" s="217"/>
      <c r="G150" s="217"/>
      <c r="H150" s="218"/>
      <c r="I150" s="164"/>
    </row>
    <row r="151" spans="1:11" s="67" customFormat="1" ht="15.6" x14ac:dyDescent="0.3">
      <c r="A151" s="219" t="s">
        <v>275</v>
      </c>
      <c r="B151" s="213"/>
      <c r="C151" s="213">
        <f t="shared" ref="C151:H151" si="94">C79+C80+C82</f>
        <v>5000</v>
      </c>
      <c r="D151" s="213">
        <f t="shared" si="94"/>
        <v>6775</v>
      </c>
      <c r="E151" s="213">
        <f t="shared" si="94"/>
        <v>9750</v>
      </c>
      <c r="F151" s="213">
        <f t="shared" si="94"/>
        <v>8482.5</v>
      </c>
      <c r="G151" s="213">
        <f t="shared" si="94"/>
        <v>7294.5</v>
      </c>
      <c r="H151" s="220">
        <f t="shared" si="94"/>
        <v>6109.2</v>
      </c>
      <c r="I151" s="164"/>
    </row>
    <row r="152" spans="1:11" s="67" customFormat="1" ht="15.6" x14ac:dyDescent="0.3">
      <c r="A152" s="219" t="s">
        <v>371</v>
      </c>
      <c r="B152" s="213"/>
      <c r="C152" s="213">
        <f t="shared" ref="C152:H152" si="95">C81</f>
        <v>0</v>
      </c>
      <c r="D152" s="213">
        <f t="shared" si="95"/>
        <v>0</v>
      </c>
      <c r="E152" s="213">
        <f t="shared" si="95"/>
        <v>1000</v>
      </c>
      <c r="F152" s="213">
        <f t="shared" si="95"/>
        <v>666.66666666666674</v>
      </c>
      <c r="G152" s="213">
        <f t="shared" si="95"/>
        <v>400.00000000000006</v>
      </c>
      <c r="H152" s="220">
        <f t="shared" si="95"/>
        <v>200.00000000000006</v>
      </c>
      <c r="I152" s="164"/>
    </row>
    <row r="153" spans="1:11" s="67" customFormat="1" ht="15.6" x14ac:dyDescent="0.3">
      <c r="A153" s="219" t="s">
        <v>276</v>
      </c>
      <c r="B153" s="213"/>
      <c r="C153" s="213"/>
      <c r="D153" s="213"/>
      <c r="E153" s="217"/>
      <c r="F153" s="217"/>
      <c r="G153" s="217"/>
      <c r="H153" s="218"/>
      <c r="I153" s="164"/>
    </row>
    <row r="154" spans="1:11" s="67" customFormat="1" ht="18" x14ac:dyDescent="0.3">
      <c r="A154" s="212" t="s">
        <v>277</v>
      </c>
      <c r="B154" s="213"/>
      <c r="C154" s="214">
        <f t="shared" ref="C154:H154" si="96">SUM(C156:C161)</f>
        <v>0</v>
      </c>
      <c r="D154" s="214">
        <f t="shared" si="96"/>
        <v>3986.5296803652955</v>
      </c>
      <c r="E154" s="214">
        <f t="shared" si="96"/>
        <v>3166.8424657534233</v>
      </c>
      <c r="F154" s="214">
        <f t="shared" si="96"/>
        <v>10605.103652968035</v>
      </c>
      <c r="G154" s="214">
        <f t="shared" si="96"/>
        <v>19747.216458904113</v>
      </c>
      <c r="H154" s="215">
        <f t="shared" si="96"/>
        <v>31160.522587636977</v>
      </c>
      <c r="I154" s="164"/>
    </row>
    <row r="155" spans="1:11" s="67" customFormat="1" x14ac:dyDescent="0.3">
      <c r="A155" s="216" t="s">
        <v>278</v>
      </c>
      <c r="B155" s="213"/>
      <c r="C155" s="213"/>
      <c r="D155" s="213"/>
      <c r="E155" s="217"/>
      <c r="F155" s="217"/>
      <c r="G155" s="217"/>
      <c r="H155" s="218"/>
      <c r="I155" s="164"/>
    </row>
    <row r="156" spans="1:11" s="67" customFormat="1" ht="15.6" x14ac:dyDescent="0.3">
      <c r="A156" s="219" t="s">
        <v>280</v>
      </c>
      <c r="B156" s="213"/>
      <c r="C156" s="213">
        <f t="shared" ref="C156:H156" si="97">C101</f>
        <v>0</v>
      </c>
      <c r="D156" s="213">
        <f t="shared" si="97"/>
        <v>271.23287671232879</v>
      </c>
      <c r="E156" s="213">
        <f t="shared" si="97"/>
        <v>116.08767123287672</v>
      </c>
      <c r="F156" s="213">
        <f t="shared" si="97"/>
        <v>512.72054794520545</v>
      </c>
      <c r="G156" s="213">
        <f t="shared" si="97"/>
        <v>646.02789041095912</v>
      </c>
      <c r="H156" s="220">
        <f t="shared" si="97"/>
        <v>787.61566972602759</v>
      </c>
      <c r="I156" s="164"/>
    </row>
    <row r="157" spans="1:11" s="67" customFormat="1" ht="15.6" x14ac:dyDescent="0.3">
      <c r="A157" s="219" t="s">
        <v>281</v>
      </c>
      <c r="B157" s="213"/>
      <c r="C157" s="213">
        <f t="shared" ref="C157:H157" si="98">C95</f>
        <v>0</v>
      </c>
      <c r="D157" s="213">
        <f t="shared" si="98"/>
        <v>336.98630136986299</v>
      </c>
      <c r="E157" s="213">
        <f t="shared" si="98"/>
        <v>214.71780821917807</v>
      </c>
      <c r="F157" s="213">
        <f t="shared" si="98"/>
        <v>617.26849315068489</v>
      </c>
      <c r="G157" s="213">
        <f t="shared" si="98"/>
        <v>755.80323287671251</v>
      </c>
      <c r="H157" s="220">
        <f t="shared" si="98"/>
        <v>902.33090260273991</v>
      </c>
      <c r="I157" s="164"/>
    </row>
    <row r="158" spans="1:11" s="67" customFormat="1" ht="15.6" x14ac:dyDescent="0.3">
      <c r="A158" s="219" t="s">
        <v>282</v>
      </c>
      <c r="B158" s="213"/>
      <c r="C158" s="213">
        <f t="shared" ref="C158:H158" si="99">C112</f>
        <v>0</v>
      </c>
      <c r="D158" s="213">
        <f t="shared" si="99"/>
        <v>739.72602739726028</v>
      </c>
      <c r="E158" s="213">
        <f t="shared" si="99"/>
        <v>310.6849315068493</v>
      </c>
      <c r="F158" s="213">
        <f t="shared" si="99"/>
        <v>1352.7739726027398</v>
      </c>
      <c r="G158" s="213">
        <f t="shared" si="99"/>
        <v>1688.2619178082196</v>
      </c>
      <c r="H158" s="220">
        <f t="shared" si="99"/>
        <v>2048.4244602739727</v>
      </c>
      <c r="I158" s="164"/>
    </row>
    <row r="159" spans="1:11" s="67" customFormat="1" ht="15.6" x14ac:dyDescent="0.3">
      <c r="A159" s="219" t="s">
        <v>283</v>
      </c>
      <c r="B159" s="213"/>
      <c r="C159" s="213">
        <f t="shared" ref="C159:H159" si="100">C104</f>
        <v>0</v>
      </c>
      <c r="D159" s="213">
        <f t="shared" si="100"/>
        <v>687.5</v>
      </c>
      <c r="E159" s="213">
        <f t="shared" si="100"/>
        <v>294.25</v>
      </c>
      <c r="F159" s="213">
        <f t="shared" si="100"/>
        <v>1299.6041666666667</v>
      </c>
      <c r="G159" s="213">
        <f t="shared" si="100"/>
        <v>1637.5012500000003</v>
      </c>
      <c r="H159" s="220">
        <f t="shared" si="100"/>
        <v>1996.3869406250005</v>
      </c>
      <c r="I159" s="164"/>
    </row>
    <row r="160" spans="1:11" s="67" customFormat="1" ht="15.6" x14ac:dyDescent="0.3">
      <c r="A160" s="219" t="s">
        <v>284</v>
      </c>
      <c r="B160" s="213"/>
      <c r="C160" s="213">
        <f t="shared" ref="C160:H160" si="101">C145</f>
        <v>0</v>
      </c>
      <c r="D160" s="213">
        <f t="shared" si="101"/>
        <v>1951.0844748858435</v>
      </c>
      <c r="E160" s="213">
        <f t="shared" si="101"/>
        <v>2231.1020547945191</v>
      </c>
      <c r="F160" s="213">
        <f t="shared" si="101"/>
        <v>6822.7364726027372</v>
      </c>
      <c r="G160" s="213">
        <f t="shared" si="101"/>
        <v>15019.622167808222</v>
      </c>
      <c r="H160" s="220">
        <f t="shared" si="101"/>
        <v>25425.764614409236</v>
      </c>
      <c r="I160" s="164"/>
    </row>
    <row r="161" spans="1:9" s="67" customFormat="1" ht="15.6" x14ac:dyDescent="0.3">
      <c r="A161" s="219" t="s">
        <v>285</v>
      </c>
      <c r="B161" s="213"/>
      <c r="C161" s="213"/>
      <c r="D161" s="213"/>
      <c r="E161" s="217"/>
      <c r="F161" s="217"/>
      <c r="G161" s="217"/>
      <c r="H161" s="218"/>
      <c r="I161" s="164"/>
    </row>
    <row r="162" spans="1:9" s="67" customFormat="1" ht="21.6" thickBot="1" x14ac:dyDescent="0.35">
      <c r="A162" s="221" t="s">
        <v>286</v>
      </c>
      <c r="B162" s="222"/>
      <c r="C162" s="223">
        <f>C154+C149</f>
        <v>5000</v>
      </c>
      <c r="D162" s="223">
        <f t="shared" ref="D162:H162" si="102">D154+D149</f>
        <v>10761.529680365296</v>
      </c>
      <c r="E162" s="223">
        <f t="shared" si="102"/>
        <v>13916.842465753423</v>
      </c>
      <c r="F162" s="223">
        <f t="shared" si="102"/>
        <v>19754.270319634699</v>
      </c>
      <c r="G162" s="223">
        <f t="shared" si="102"/>
        <v>27441.716458904113</v>
      </c>
      <c r="H162" s="224">
        <f t="shared" si="102"/>
        <v>37469.722587636978</v>
      </c>
      <c r="I162" s="164"/>
    </row>
    <row r="163" spans="1:9" s="67" customFormat="1" ht="23.4" x14ac:dyDescent="0.3">
      <c r="A163" s="229" t="s">
        <v>287</v>
      </c>
      <c r="B163" s="209"/>
      <c r="C163" s="209"/>
      <c r="D163" s="209"/>
      <c r="E163" s="210"/>
      <c r="F163" s="210"/>
      <c r="G163" s="210"/>
      <c r="H163" s="211"/>
      <c r="I163" s="164"/>
    </row>
    <row r="164" spans="1:9" s="67" customFormat="1" ht="18" x14ac:dyDescent="0.3">
      <c r="A164" s="212" t="s">
        <v>288</v>
      </c>
      <c r="B164" s="213"/>
      <c r="C164" s="214">
        <f t="shared" ref="C164:H164" si="103">SUM(C166:C169)</f>
        <v>5000</v>
      </c>
      <c r="D164" s="214">
        <f t="shared" si="103"/>
        <v>10300</v>
      </c>
      <c r="E164" s="214">
        <f t="shared" si="103"/>
        <v>13624</v>
      </c>
      <c r="F164" s="214">
        <f t="shared" si="103"/>
        <v>18932.133333333331</v>
      </c>
      <c r="G164" s="214">
        <f t="shared" si="103"/>
        <v>26444.547999999999</v>
      </c>
      <c r="H164" s="215">
        <f t="shared" si="103"/>
        <v>36285.586169999995</v>
      </c>
      <c r="I164" s="164"/>
    </row>
    <row r="165" spans="1:9" s="67" customFormat="1" x14ac:dyDescent="0.3">
      <c r="A165" s="216" t="s">
        <v>278</v>
      </c>
      <c r="B165" s="213"/>
      <c r="C165" s="213"/>
      <c r="D165" s="213"/>
      <c r="E165" s="217"/>
      <c r="F165" s="217"/>
      <c r="G165" s="217"/>
      <c r="H165" s="218"/>
      <c r="I165" s="164"/>
    </row>
    <row r="166" spans="1:9" s="67" customFormat="1" ht="15.6" x14ac:dyDescent="0.3">
      <c r="A166" s="219" t="s">
        <v>289</v>
      </c>
      <c r="B166" s="213"/>
      <c r="C166" s="213">
        <f>C5</f>
        <v>5000</v>
      </c>
      <c r="D166" s="213">
        <f>C166+D5</f>
        <v>7000</v>
      </c>
      <c r="E166" s="213">
        <f>D166+E5</f>
        <v>12000</v>
      </c>
      <c r="F166" s="213">
        <f>E166+F5</f>
        <v>12000</v>
      </c>
      <c r="G166" s="213">
        <f>F166+G5</f>
        <v>12000</v>
      </c>
      <c r="H166" s="220">
        <f>G166+H5</f>
        <v>12000</v>
      </c>
      <c r="I166" s="164"/>
    </row>
    <row r="167" spans="1:9" s="67" customFormat="1" ht="15.6" x14ac:dyDescent="0.3">
      <c r="A167" s="219" t="s">
        <v>290</v>
      </c>
      <c r="B167" s="213"/>
      <c r="C167" s="213"/>
      <c r="D167" s="213">
        <f>C32</f>
        <v>0</v>
      </c>
      <c r="E167" s="213">
        <f>D167+E32</f>
        <v>825</v>
      </c>
      <c r="F167" s="213">
        <f>E167+F32</f>
        <v>825</v>
      </c>
      <c r="G167" s="213">
        <f>F167+G32</f>
        <v>2152.0333333333333</v>
      </c>
      <c r="H167" s="220">
        <f>G167+H32</f>
        <v>4030.1370000000006</v>
      </c>
      <c r="I167" s="164"/>
    </row>
    <row r="168" spans="1:9" s="67" customFormat="1" ht="15.6" x14ac:dyDescent="0.3">
      <c r="A168" s="219" t="s">
        <v>291</v>
      </c>
      <c r="B168" s="213"/>
      <c r="C168" s="213">
        <v>0</v>
      </c>
      <c r="D168" s="213">
        <f>C169-C32</f>
        <v>0</v>
      </c>
      <c r="E168" s="213">
        <f>D169-E32</f>
        <v>2475</v>
      </c>
      <c r="F168" s="213">
        <f>E168+E169-F32</f>
        <v>799</v>
      </c>
      <c r="G168" s="213">
        <f>F168+F169-G32</f>
        <v>4780.1000000000004</v>
      </c>
      <c r="H168" s="220">
        <f>G168+G169-H32</f>
        <v>10414.411000000002</v>
      </c>
      <c r="I168" s="164"/>
    </row>
    <row r="169" spans="1:9" s="67" customFormat="1" ht="15.6" x14ac:dyDescent="0.3">
      <c r="A169" s="219" t="s">
        <v>292</v>
      </c>
      <c r="B169" s="213"/>
      <c r="C169" s="213">
        <f t="shared" ref="C169:H169" si="104">C25</f>
        <v>0</v>
      </c>
      <c r="D169" s="213">
        <f t="shared" si="104"/>
        <v>3300</v>
      </c>
      <c r="E169" s="213">
        <f t="shared" si="104"/>
        <v>-1676</v>
      </c>
      <c r="F169" s="213">
        <f t="shared" si="104"/>
        <v>5308.1333333333332</v>
      </c>
      <c r="G169" s="213">
        <f t="shared" si="104"/>
        <v>7512.4146666666684</v>
      </c>
      <c r="H169" s="220">
        <f t="shared" si="104"/>
        <v>9841.0381699999944</v>
      </c>
      <c r="I169" s="164"/>
    </row>
    <row r="170" spans="1:9" s="67" customFormat="1" ht="18" x14ac:dyDescent="0.3">
      <c r="A170" s="212" t="s">
        <v>297</v>
      </c>
      <c r="B170" s="213"/>
      <c r="C170" s="214">
        <f>SUM(C172:C174)</f>
        <v>0</v>
      </c>
      <c r="D170" s="214">
        <f t="shared" ref="D170:H170" si="105">SUM(D172:D174)</f>
        <v>0</v>
      </c>
      <c r="E170" s="214">
        <f t="shared" si="105"/>
        <v>0</v>
      </c>
      <c r="F170" s="214">
        <f t="shared" si="105"/>
        <v>0</v>
      </c>
      <c r="G170" s="214">
        <f t="shared" si="105"/>
        <v>0</v>
      </c>
      <c r="H170" s="215">
        <f t="shared" si="105"/>
        <v>0</v>
      </c>
      <c r="I170" s="164"/>
    </row>
    <row r="171" spans="1:9" s="67" customFormat="1" x14ac:dyDescent="0.3">
      <c r="A171" s="216" t="s">
        <v>278</v>
      </c>
      <c r="B171" s="213"/>
      <c r="C171" s="213"/>
      <c r="D171" s="213"/>
      <c r="E171" s="217"/>
      <c r="F171" s="217"/>
      <c r="G171" s="217"/>
      <c r="H171" s="218"/>
      <c r="I171" s="164"/>
    </row>
    <row r="172" spans="1:9" s="67" customFormat="1" ht="15.6" x14ac:dyDescent="0.3">
      <c r="A172" s="219" t="s">
        <v>293</v>
      </c>
      <c r="B172" s="213"/>
      <c r="C172" s="213"/>
      <c r="D172" s="213"/>
      <c r="E172" s="217"/>
      <c r="F172" s="217"/>
      <c r="G172" s="217"/>
      <c r="H172" s="218"/>
      <c r="I172" s="164"/>
    </row>
    <row r="173" spans="1:9" s="67" customFormat="1" ht="15.6" x14ac:dyDescent="0.3">
      <c r="A173" s="219" t="s">
        <v>294</v>
      </c>
      <c r="B173" s="213"/>
      <c r="C173" s="213"/>
      <c r="D173" s="213"/>
      <c r="E173" s="217"/>
      <c r="F173" s="217"/>
      <c r="G173" s="217"/>
      <c r="H173" s="218"/>
      <c r="I173" s="164"/>
    </row>
    <row r="174" spans="1:9" s="67" customFormat="1" ht="15.6" x14ac:dyDescent="0.3">
      <c r="A174" s="219" t="s">
        <v>295</v>
      </c>
      <c r="B174" s="213"/>
      <c r="C174" s="213"/>
      <c r="D174" s="213"/>
      <c r="E174" s="217"/>
      <c r="F174" s="217"/>
      <c r="G174" s="217"/>
      <c r="H174" s="218"/>
      <c r="I174" s="164"/>
    </row>
    <row r="175" spans="1:9" s="67" customFormat="1" ht="18" x14ac:dyDescent="0.3">
      <c r="A175" s="212" t="s">
        <v>296</v>
      </c>
      <c r="B175" s="213"/>
      <c r="C175" s="214">
        <f>SUM(C177:C180)</f>
        <v>0</v>
      </c>
      <c r="D175" s="214">
        <f t="shared" ref="D175:H175" si="106">SUM(D177:D180)</f>
        <v>461.52968036529683</v>
      </c>
      <c r="E175" s="214">
        <f t="shared" si="106"/>
        <v>292.84246575342468</v>
      </c>
      <c r="F175" s="214">
        <f t="shared" si="106"/>
        <v>822.13698630136992</v>
      </c>
      <c r="G175" s="214">
        <f t="shared" si="106"/>
        <v>997.16845890410946</v>
      </c>
      <c r="H175" s="215">
        <f t="shared" si="106"/>
        <v>1184.1364176369862</v>
      </c>
      <c r="I175" s="164"/>
    </row>
    <row r="176" spans="1:9" s="67" customFormat="1" x14ac:dyDescent="0.3">
      <c r="A176" s="216" t="s">
        <v>278</v>
      </c>
      <c r="B176" s="213"/>
      <c r="C176" s="213"/>
      <c r="D176" s="213"/>
      <c r="E176" s="217"/>
      <c r="F176" s="217"/>
      <c r="G176" s="217"/>
      <c r="H176" s="218"/>
      <c r="I176" s="164"/>
    </row>
    <row r="177" spans="1:11" s="67" customFormat="1" ht="15.6" x14ac:dyDescent="0.3">
      <c r="A177" s="219" t="s">
        <v>298</v>
      </c>
      <c r="B177" s="213"/>
      <c r="C177" s="213"/>
      <c r="D177" s="213"/>
      <c r="E177" s="217"/>
      <c r="F177" s="217"/>
      <c r="G177" s="217"/>
      <c r="H177" s="218"/>
      <c r="I177" s="164"/>
    </row>
    <row r="178" spans="1:11" s="67" customFormat="1" ht="15.6" x14ac:dyDescent="0.3">
      <c r="A178" s="219" t="s">
        <v>299</v>
      </c>
      <c r="B178" s="213"/>
      <c r="C178" s="213"/>
      <c r="D178" s="213"/>
      <c r="E178" s="217"/>
      <c r="F178" s="217"/>
      <c r="G178" s="217"/>
      <c r="H178" s="218"/>
      <c r="I178" s="164"/>
    </row>
    <row r="179" spans="1:11" s="67" customFormat="1" ht="15.6" x14ac:dyDescent="0.3">
      <c r="A179" s="219" t="s">
        <v>300</v>
      </c>
      <c r="B179" s="213"/>
      <c r="C179" s="213">
        <f t="shared" ref="C179:H179" si="107">C122</f>
        <v>0</v>
      </c>
      <c r="D179" s="213">
        <f t="shared" si="107"/>
        <v>461.52968036529683</v>
      </c>
      <c r="E179" s="213">
        <f t="shared" si="107"/>
        <v>292.84246575342468</v>
      </c>
      <c r="F179" s="213">
        <f t="shared" si="107"/>
        <v>822.13698630136992</v>
      </c>
      <c r="G179" s="213">
        <f t="shared" si="107"/>
        <v>997.16845890410946</v>
      </c>
      <c r="H179" s="220">
        <f t="shared" si="107"/>
        <v>1184.1364176369862</v>
      </c>
      <c r="I179" s="164"/>
    </row>
    <row r="180" spans="1:11" s="67" customFormat="1" ht="15.6" x14ac:dyDescent="0.3">
      <c r="A180" s="219" t="s">
        <v>301</v>
      </c>
      <c r="B180" s="213"/>
      <c r="C180" s="213"/>
      <c r="D180" s="213"/>
      <c r="E180" s="217"/>
      <c r="F180" s="217"/>
      <c r="G180" s="217"/>
      <c r="H180" s="218"/>
      <c r="I180" s="164"/>
    </row>
    <row r="181" spans="1:11" s="67" customFormat="1" ht="21.6" thickBot="1" x14ac:dyDescent="0.35">
      <c r="A181" s="221" t="s">
        <v>302</v>
      </c>
      <c r="B181" s="222"/>
      <c r="C181" s="223">
        <f t="shared" ref="C181:H181" si="108">C164+C170+C175</f>
        <v>5000</v>
      </c>
      <c r="D181" s="223">
        <f t="shared" si="108"/>
        <v>10761.529680365296</v>
      </c>
      <c r="E181" s="223">
        <f t="shared" si="108"/>
        <v>13916.842465753425</v>
      </c>
      <c r="F181" s="223">
        <f t="shared" si="108"/>
        <v>19754.270319634703</v>
      </c>
      <c r="G181" s="223">
        <f t="shared" si="108"/>
        <v>27441.716458904109</v>
      </c>
      <c r="H181" s="224">
        <f t="shared" si="108"/>
        <v>37469.722587636978</v>
      </c>
      <c r="I181" s="164"/>
    </row>
    <row r="182" spans="1:11" s="67" customFormat="1" ht="18" x14ac:dyDescent="0.3">
      <c r="A182" s="232" t="s">
        <v>349</v>
      </c>
      <c r="E182" s="163"/>
      <c r="F182" s="163"/>
      <c r="G182" s="163"/>
      <c r="H182" s="163"/>
      <c r="I182" s="164"/>
    </row>
    <row r="183" spans="1:11" ht="28.8" x14ac:dyDescent="0.3">
      <c r="A183" s="233" t="s">
        <v>350</v>
      </c>
      <c r="B183" s="5"/>
      <c r="C183" s="9"/>
      <c r="D183" s="9"/>
      <c r="E183" s="9"/>
      <c r="F183" s="9"/>
      <c r="G183" s="9"/>
      <c r="H183" s="9"/>
      <c r="I183" s="9"/>
      <c r="J183" s="68"/>
      <c r="K183" s="68"/>
    </row>
    <row r="184" spans="1:11" ht="28.8" x14ac:dyDescent="0.3">
      <c r="A184" s="233" t="s">
        <v>351</v>
      </c>
      <c r="B184" s="5"/>
      <c r="C184" s="9"/>
      <c r="D184" s="9"/>
      <c r="E184" s="9"/>
      <c r="F184" s="9"/>
      <c r="G184" s="9"/>
      <c r="H184" s="9"/>
      <c r="I184" s="9"/>
      <c r="J184" s="68"/>
      <c r="K184" s="68"/>
    </row>
    <row r="185" spans="1:11" x14ac:dyDescent="0.3">
      <c r="A185" s="234" t="s">
        <v>375</v>
      </c>
      <c r="G185" s="68"/>
      <c r="J185" s="68"/>
      <c r="K185" s="68"/>
    </row>
    <row r="186" spans="1:11" ht="28.8" x14ac:dyDescent="0.3">
      <c r="A186" s="233" t="s">
        <v>358</v>
      </c>
    </row>
    <row r="187" spans="1:11" x14ac:dyDescent="0.3">
      <c r="A187" s="234" t="s">
        <v>362</v>
      </c>
    </row>
    <row r="188" spans="1:11" x14ac:dyDescent="0.3">
      <c r="A188" s="234" t="s">
        <v>359</v>
      </c>
    </row>
    <row r="189" spans="1:11" ht="28.8" x14ac:dyDescent="0.3">
      <c r="A189" s="233" t="s">
        <v>376</v>
      </c>
    </row>
    <row r="190" spans="1:11" x14ac:dyDescent="0.3">
      <c r="A190" s="234" t="s">
        <v>354</v>
      </c>
    </row>
    <row r="191" spans="1:11" x14ac:dyDescent="0.3">
      <c r="A191" s="234" t="s">
        <v>374</v>
      </c>
    </row>
    <row r="192" spans="1:11" x14ac:dyDescent="0.3">
      <c r="A192" s="234" t="s">
        <v>380</v>
      </c>
    </row>
    <row r="193" spans="1:12" ht="15" thickBot="1" x14ac:dyDescent="0.35">
      <c r="A193" s="235" t="s">
        <v>382</v>
      </c>
    </row>
    <row r="194" spans="1:12" ht="58.2" thickBot="1" x14ac:dyDescent="0.35">
      <c r="A194" s="182" t="s">
        <v>405</v>
      </c>
      <c r="B194" s="67"/>
      <c r="C194" s="61" t="s">
        <v>6</v>
      </c>
      <c r="D194" s="62" t="s">
        <v>1</v>
      </c>
      <c r="E194" s="62" t="s">
        <v>2</v>
      </c>
      <c r="F194" s="62" t="s">
        <v>3</v>
      </c>
      <c r="G194" s="62" t="s">
        <v>4</v>
      </c>
      <c r="H194" s="62" t="s">
        <v>5</v>
      </c>
      <c r="I194" s="63" t="s">
        <v>11</v>
      </c>
      <c r="J194" s="63" t="s">
        <v>407</v>
      </c>
    </row>
    <row r="195" spans="1:12" ht="36.6" thickBot="1" x14ac:dyDescent="0.35">
      <c r="A195" s="236" t="s">
        <v>406</v>
      </c>
    </row>
    <row r="196" spans="1:12" ht="18.600000000000001" thickBot="1" x14ac:dyDescent="0.35">
      <c r="A196" s="18" t="s">
        <v>234</v>
      </c>
      <c r="B196" s="136">
        <f>'Proj Ratios Var'!B61</f>
        <v>0.18516293810914031</v>
      </c>
    </row>
    <row r="197" spans="1:12" ht="18.600000000000001" thickBot="1" x14ac:dyDescent="0.35">
      <c r="A197" s="18" t="s">
        <v>399</v>
      </c>
      <c r="C197" s="80">
        <f>C144</f>
        <v>-5000</v>
      </c>
      <c r="D197" s="80">
        <f t="shared" ref="D197:H197" si="109">D144</f>
        <v>1951.0844748858435</v>
      </c>
      <c r="E197" s="80">
        <f t="shared" si="109"/>
        <v>280.01757990867554</v>
      </c>
      <c r="F197" s="80">
        <f t="shared" si="109"/>
        <v>4591.6344178082181</v>
      </c>
      <c r="G197" s="80">
        <f t="shared" si="109"/>
        <v>8196.8856952054848</v>
      </c>
      <c r="H197" s="80">
        <f t="shared" si="109"/>
        <v>10406.142446601014</v>
      </c>
      <c r="I197" s="238">
        <f>SUM(C197:H197)</f>
        <v>20425.764614409236</v>
      </c>
      <c r="J197" s="237">
        <f>'Proj Ratios Var'!I63</f>
        <v>24976.386169999991</v>
      </c>
    </row>
    <row r="198" spans="1:12" ht="21.6" thickBot="1" x14ac:dyDescent="0.35">
      <c r="A198" s="170" t="s">
        <v>225</v>
      </c>
      <c r="B198" s="117"/>
      <c r="C198" s="8">
        <f>C197*'Proj Ratios Var'!C65</f>
        <v>-5000</v>
      </c>
      <c r="D198" s="8">
        <f>D197*'Proj Ratios Var'!D65</f>
        <v>1646.2584275531663</v>
      </c>
      <c r="E198" s="8">
        <f>E197*'Proj Ratios Var'!E65</f>
        <v>199.35593702275162</v>
      </c>
      <c r="F198" s="8">
        <f>F197*'Proj Ratios Var'!F65</f>
        <v>2758.2467601522139</v>
      </c>
      <c r="G198" s="8">
        <f>G197*'Proj Ratios Var'!G65</f>
        <v>4154.6709285564193</v>
      </c>
      <c r="H198" s="8">
        <f>H197*'Proj Ratios Var'!H65</f>
        <v>4450.4041995888165</v>
      </c>
      <c r="I198" s="86">
        <f>SUM(C198:H198)</f>
        <v>8208.9362528733673</v>
      </c>
      <c r="J198" s="237">
        <f>'Proj Ratios Var'!I66</f>
        <v>11007.325678089361</v>
      </c>
    </row>
    <row r="199" spans="1:12" ht="21.6" thickBot="1" x14ac:dyDescent="0.35">
      <c r="A199" s="240" t="s">
        <v>408</v>
      </c>
      <c r="I199" s="96">
        <f>IRR(C197:H197,0.0001)</f>
        <v>0.56831070827024854</v>
      </c>
      <c r="J199" s="239">
        <f>'Proj Ratios Var'!I68</f>
        <v>0.71462228398451022</v>
      </c>
    </row>
    <row r="200" spans="1:12" ht="16.2" thickBot="1" x14ac:dyDescent="0.35">
      <c r="A200" s="241" t="s">
        <v>409</v>
      </c>
      <c r="B200" s="241"/>
      <c r="C200" s="242">
        <f>C198</f>
        <v>-5000</v>
      </c>
      <c r="D200" s="242">
        <f>C200+D198</f>
        <v>-3353.7415724468337</v>
      </c>
      <c r="E200" s="242">
        <f t="shared" ref="E200:H200" si="110">D200+E198</f>
        <v>-3154.385635424082</v>
      </c>
      <c r="F200" s="242">
        <f t="shared" si="110"/>
        <v>-396.13887527186807</v>
      </c>
      <c r="G200" s="242">
        <f t="shared" si="110"/>
        <v>3758.5320532845512</v>
      </c>
      <c r="H200" s="242">
        <f t="shared" si="110"/>
        <v>8208.9362528733673</v>
      </c>
    </row>
    <row r="201" spans="1:12" ht="21.6" thickBot="1" x14ac:dyDescent="0.35">
      <c r="A201" s="240" t="s">
        <v>170</v>
      </c>
      <c r="G201" s="20">
        <f>G200/G198</f>
        <v>0.90465216569883422</v>
      </c>
      <c r="I201" s="90">
        <f>COUNTIF(C200:H200,"&lt;0")-G201</f>
        <v>3.0953478343011658</v>
      </c>
      <c r="J201" s="100">
        <f>'Proj Ratios Var'!I92</f>
        <v>2.5833994956627619</v>
      </c>
    </row>
    <row r="202" spans="1:12" ht="15.6" x14ac:dyDescent="0.3">
      <c r="A202" s="241" t="s">
        <v>133</v>
      </c>
      <c r="B202" s="136">
        <f>'Proj Ratios Var'!B97</f>
        <v>0.1</v>
      </c>
      <c r="C202" s="243">
        <f>IF(C197&gt;0,C197*'Proj Ratios Var'!C75,0)</f>
        <v>0</v>
      </c>
      <c r="D202" s="243">
        <f>IF(D197&gt;0,D197*'Proj Ratios Var'!D75,0)</f>
        <v>2856.5827796803642</v>
      </c>
      <c r="E202" s="243">
        <f>IF(E197&gt;0,E197*'Proj Ratios Var'!E75,0)</f>
        <v>372.70339885844726</v>
      </c>
      <c r="F202" s="243">
        <f>IF(F197&gt;0,F197*'Proj Ratios Var'!F75,0)</f>
        <v>5555.8776455479447</v>
      </c>
      <c r="G202" s="243">
        <f>IF(G197&gt;0,G197*'Proj Ratios Var'!G75,0)</f>
        <v>9016.574264726034</v>
      </c>
      <c r="H202" s="243">
        <f>IF(H197&gt;0,H197*'Proj Ratios Var'!H75,0)</f>
        <v>10406.142446601014</v>
      </c>
      <c r="I202" s="30">
        <f>SUM(C202:H202)</f>
        <v>28207.880535413802</v>
      </c>
    </row>
    <row r="203" spans="1:12" ht="15.6" x14ac:dyDescent="0.3">
      <c r="A203" s="241" t="s">
        <v>411</v>
      </c>
      <c r="B203" s="136">
        <f>B196</f>
        <v>0.18516293810914031</v>
      </c>
      <c r="C203" s="30">
        <f>IF(C197&lt;0,-C197*'Proj Ratios Var'!C76,0)</f>
        <v>5000</v>
      </c>
      <c r="D203" s="30">
        <f>IF(D197&lt;0,-D197*'Proj Ratios Var'!D76,0)</f>
        <v>0</v>
      </c>
      <c r="E203" s="30">
        <f>IF(E197&lt;0,-E197*'Proj Ratios Var'!E76,0)</f>
        <v>0</v>
      </c>
      <c r="F203" s="30">
        <f>IF(F197&lt;0,-F197*'Proj Ratios Var'!F76,0)</f>
        <v>0</v>
      </c>
      <c r="G203" s="30">
        <f>IF(G197&lt;0,-G197*'Proj Ratios Var'!G76,0)</f>
        <v>0</v>
      </c>
      <c r="H203" s="30">
        <f>IF(H197&lt;0,-H197*'Proj Ratios Var'!H76,0)</f>
        <v>0</v>
      </c>
      <c r="I203" s="30">
        <f>SUM(C203:H203)</f>
        <v>5000</v>
      </c>
      <c r="L203" s="20"/>
    </row>
    <row r="204" spans="1:12" ht="16.2" thickBot="1" x14ac:dyDescent="0.35">
      <c r="A204" s="241" t="s">
        <v>144</v>
      </c>
      <c r="B204" s="136">
        <f>B203</f>
        <v>0.18516293810914031</v>
      </c>
      <c r="I204" s="30">
        <f>I202/(1+B204)^G4</f>
        <v>12063.689368129832</v>
      </c>
      <c r="L204" s="20"/>
    </row>
    <row r="205" spans="1:12" ht="21.6" thickBot="1" x14ac:dyDescent="0.35">
      <c r="A205" s="240" t="s">
        <v>172</v>
      </c>
      <c r="I205" s="86">
        <f>I204-I203</f>
        <v>7063.6893681298316</v>
      </c>
      <c r="J205" s="244">
        <f>'Proj Ratios Var'!I80</f>
        <v>9338.6136917972744</v>
      </c>
    </row>
    <row r="206" spans="1:12" ht="42.6" thickBot="1" x14ac:dyDescent="0.35">
      <c r="A206" s="240" t="s">
        <v>126</v>
      </c>
      <c r="I206" s="92">
        <f>MIRR(C197:H197,B203,B202)</f>
        <v>0.41344882864263055</v>
      </c>
      <c r="J206" s="245">
        <f>'Proj Ratios Var'!I82</f>
        <v>0.44660141593824876</v>
      </c>
    </row>
    <row r="207" spans="1:12" ht="58.2" thickBot="1" x14ac:dyDescent="0.35">
      <c r="A207" s="182" t="s">
        <v>412</v>
      </c>
      <c r="B207" s="67"/>
      <c r="C207" s="61" t="s">
        <v>6</v>
      </c>
      <c r="D207" s="62" t="s">
        <v>1</v>
      </c>
      <c r="E207" s="62" t="s">
        <v>2</v>
      </c>
      <c r="F207" s="62" t="s">
        <v>3</v>
      </c>
      <c r="G207" s="62" t="s">
        <v>4</v>
      </c>
      <c r="H207" s="62" t="s">
        <v>5</v>
      </c>
      <c r="I207" s="63" t="s">
        <v>237</v>
      </c>
    </row>
    <row r="208" spans="1:12" ht="36.6" thickBot="1" x14ac:dyDescent="0.35">
      <c r="A208" s="18" t="s">
        <v>414</v>
      </c>
      <c r="C208" s="3">
        <f>C149</f>
        <v>5000</v>
      </c>
      <c r="D208" s="3">
        <f t="shared" ref="D208:H208" si="111">D149</f>
        <v>6775</v>
      </c>
      <c r="E208" s="3">
        <f t="shared" si="111"/>
        <v>10750</v>
      </c>
      <c r="F208" s="3">
        <f t="shared" si="111"/>
        <v>9149.1666666666661</v>
      </c>
      <c r="G208" s="3">
        <f t="shared" si="111"/>
        <v>7694.5</v>
      </c>
      <c r="H208" s="3">
        <f t="shared" si="111"/>
        <v>6309.2</v>
      </c>
      <c r="I208" s="244">
        <f>AVERAGE(C208:H208)</f>
        <v>7612.9777777777772</v>
      </c>
      <c r="J208"/>
    </row>
    <row r="209" spans="1:9" ht="18.600000000000001" thickBot="1" x14ac:dyDescent="0.35">
      <c r="A209" s="14" t="s">
        <v>413</v>
      </c>
      <c r="C209" s="3">
        <f>C25</f>
        <v>0</v>
      </c>
      <c r="D209" s="3">
        <f t="shared" ref="D209:H209" si="112">D25</f>
        <v>3300</v>
      </c>
      <c r="E209" s="3">
        <f t="shared" si="112"/>
        <v>-1676</v>
      </c>
      <c r="F209" s="3">
        <f t="shared" si="112"/>
        <v>5308.1333333333332</v>
      </c>
      <c r="G209" s="3">
        <f t="shared" si="112"/>
        <v>7512.4146666666684</v>
      </c>
      <c r="H209" s="3">
        <f t="shared" si="112"/>
        <v>9841.0381699999944</v>
      </c>
      <c r="I209" s="244">
        <f>AVERAGE(C209:H209)</f>
        <v>4047.597694999999</v>
      </c>
    </row>
    <row r="210" spans="1:9" ht="21.6" thickBot="1" x14ac:dyDescent="0.35">
      <c r="A210" s="159" t="s">
        <v>443</v>
      </c>
      <c r="I210" s="92">
        <f>I209/I208</f>
        <v>0.53167076184235096</v>
      </c>
    </row>
    <row r="211" spans="1:9" ht="54.6" thickBot="1" x14ac:dyDescent="0.35">
      <c r="A211" s="182" t="s">
        <v>442</v>
      </c>
      <c r="B211" s="67"/>
      <c r="C211" s="61" t="s">
        <v>6</v>
      </c>
      <c r="D211" s="62" t="s">
        <v>1</v>
      </c>
      <c r="E211" s="62" t="s">
        <v>2</v>
      </c>
      <c r="F211" s="62" t="s">
        <v>3</v>
      </c>
      <c r="G211" s="62" t="s">
        <v>4</v>
      </c>
      <c r="H211" s="62" t="s">
        <v>5</v>
      </c>
      <c r="I211" s="63" t="s">
        <v>237</v>
      </c>
    </row>
    <row r="212" spans="1:9" ht="18" x14ac:dyDescent="0.3">
      <c r="A212" s="14" t="s">
        <v>444</v>
      </c>
      <c r="D212" s="3">
        <f>D25-D23-D21</f>
        <v>3925</v>
      </c>
      <c r="E212" s="3">
        <f>E25-E23-E21</f>
        <v>-231</v>
      </c>
      <c r="F212" s="3">
        <f>F25-F23-F21</f>
        <v>7328.9666666666662</v>
      </c>
      <c r="G212" s="3">
        <f>G25-G23-G21</f>
        <v>9367.0813333333354</v>
      </c>
      <c r="H212" s="3">
        <f>H25-H23-H21</f>
        <v>11631.338169999994</v>
      </c>
    </row>
    <row r="213" spans="1:9" ht="18.600000000000001" thickBot="1" x14ac:dyDescent="0.35">
      <c r="A213" s="14" t="s">
        <v>445</v>
      </c>
      <c r="D213" s="3">
        <f>-D18-D23</f>
        <v>5400</v>
      </c>
      <c r="E213" s="3">
        <f t="shared" ref="E213:H213" si="113">-E18-E23</f>
        <v>6420</v>
      </c>
      <c r="F213" s="3">
        <f t="shared" si="113"/>
        <v>7420</v>
      </c>
      <c r="G213" s="3">
        <f t="shared" si="113"/>
        <v>8400</v>
      </c>
      <c r="H213" s="3">
        <f t="shared" si="113"/>
        <v>9405</v>
      </c>
    </row>
    <row r="214" spans="1:9" ht="21.6" thickBot="1" x14ac:dyDescent="0.35">
      <c r="A214" s="159" t="s">
        <v>446</v>
      </c>
      <c r="D214" s="102">
        <f>D212/D213</f>
        <v>0.72685185185185186</v>
      </c>
      <c r="E214" s="102">
        <f t="shared" ref="E214:H214" si="114">E212/E213</f>
        <v>-3.5981308411214954E-2</v>
      </c>
      <c r="F214" s="102">
        <f t="shared" si="114"/>
        <v>0.98773135669362078</v>
      </c>
      <c r="G214" s="102">
        <f t="shared" si="114"/>
        <v>1.1151287301587305</v>
      </c>
      <c r="H214" s="102">
        <f t="shared" si="114"/>
        <v>1.2367185720361502</v>
      </c>
      <c r="I214" s="88">
        <f>AVERAGE(D214:H214)</f>
        <v>0.80608984046582788</v>
      </c>
    </row>
  </sheetData>
  <mergeCells count="7">
    <mergeCell ref="J54:L54"/>
    <mergeCell ref="J55:L55"/>
    <mergeCell ref="C69:H69"/>
    <mergeCell ref="C50:H50"/>
    <mergeCell ref="E59:J59"/>
    <mergeCell ref="I50:O50"/>
    <mergeCell ref="I51:O5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25" workbookViewId="0">
      <selection activeCell="C32" sqref="C32"/>
    </sheetView>
  </sheetViews>
  <sheetFormatPr defaultRowHeight="14.4" x14ac:dyDescent="0.3"/>
  <cols>
    <col min="1" max="4" width="40.77734375" style="73" customWidth="1"/>
    <col min="5" max="5" width="23.88671875" style="160" customWidth="1"/>
    <col min="6" max="6" width="40.77734375" style="73" customWidth="1"/>
    <col min="7" max="7" width="72" style="73" customWidth="1"/>
    <col min="8" max="16384" width="8.88671875" style="73"/>
  </cols>
  <sheetData>
    <row r="1" spans="1:7" ht="51.6" x14ac:dyDescent="0.3">
      <c r="A1" s="151" t="s">
        <v>125</v>
      </c>
    </row>
    <row r="2" spans="1:7" s="78" customFormat="1" ht="21" x14ac:dyDescent="0.3">
      <c r="A2" s="77" t="s">
        <v>91</v>
      </c>
      <c r="B2" s="77" t="s">
        <v>92</v>
      </c>
      <c r="C2" s="77" t="s">
        <v>94</v>
      </c>
      <c r="D2" s="77" t="s">
        <v>95</v>
      </c>
      <c r="E2" s="77" t="s">
        <v>258</v>
      </c>
      <c r="F2" s="77" t="s">
        <v>124</v>
      </c>
      <c r="G2" s="77" t="s">
        <v>247</v>
      </c>
    </row>
    <row r="3" spans="1:7" ht="43.2" x14ac:dyDescent="0.3">
      <c r="A3" s="76" t="s">
        <v>416</v>
      </c>
      <c r="B3" s="73" t="s">
        <v>415</v>
      </c>
      <c r="C3" s="73" t="s">
        <v>417</v>
      </c>
      <c r="D3" s="73" t="s">
        <v>418</v>
      </c>
      <c r="E3" s="161" t="s">
        <v>260</v>
      </c>
      <c r="G3" s="73" t="s">
        <v>419</v>
      </c>
    </row>
    <row r="4" spans="1:7" ht="46.8" x14ac:dyDescent="0.3">
      <c r="A4" s="75" t="s">
        <v>200</v>
      </c>
      <c r="B4" s="73" t="s">
        <v>192</v>
      </c>
      <c r="C4" s="73" t="s">
        <v>194</v>
      </c>
      <c r="D4" s="73" t="s">
        <v>193</v>
      </c>
      <c r="E4" s="161" t="s">
        <v>422</v>
      </c>
    </row>
    <row r="5" spans="1:7" ht="57.6" x14ac:dyDescent="0.3">
      <c r="A5" s="74" t="s">
        <v>156</v>
      </c>
      <c r="B5" s="73" t="s">
        <v>121</v>
      </c>
      <c r="C5" s="73" t="s">
        <v>218</v>
      </c>
      <c r="D5" s="73" t="s">
        <v>217</v>
      </c>
      <c r="E5" s="161" t="s">
        <v>260</v>
      </c>
      <c r="F5" s="73" t="s">
        <v>122</v>
      </c>
    </row>
    <row r="6" spans="1:7" ht="61.2" x14ac:dyDescent="0.3">
      <c r="A6" s="73" t="s">
        <v>154</v>
      </c>
      <c r="B6" s="73" t="s">
        <v>114</v>
      </c>
      <c r="C6" s="73" t="s">
        <v>116</v>
      </c>
      <c r="D6" s="73" t="s">
        <v>115</v>
      </c>
      <c r="E6" s="161" t="s">
        <v>260</v>
      </c>
      <c r="F6" s="73" t="s">
        <v>198</v>
      </c>
    </row>
    <row r="7" spans="1:7" ht="72" x14ac:dyDescent="0.3">
      <c r="A7" s="74" t="s">
        <v>152</v>
      </c>
      <c r="B7" s="73" t="s">
        <v>110</v>
      </c>
      <c r="C7" s="73" t="s">
        <v>109</v>
      </c>
      <c r="D7" s="73" t="s">
        <v>106</v>
      </c>
      <c r="E7" s="161" t="s">
        <v>260</v>
      </c>
    </row>
    <row r="8" spans="1:7" ht="45" customHeight="1" x14ac:dyDescent="0.3">
      <c r="A8" s="76" t="s">
        <v>153</v>
      </c>
      <c r="B8" s="73" t="s">
        <v>112</v>
      </c>
      <c r="C8" s="73" t="s">
        <v>113</v>
      </c>
      <c r="D8" s="73" t="s">
        <v>111</v>
      </c>
      <c r="E8" s="161" t="s">
        <v>423</v>
      </c>
    </row>
    <row r="9" spans="1:7" ht="72" x14ac:dyDescent="0.3">
      <c r="A9" s="76" t="s">
        <v>158</v>
      </c>
      <c r="B9" s="73" t="s">
        <v>129</v>
      </c>
      <c r="C9" s="73" t="s">
        <v>140</v>
      </c>
      <c r="D9" s="73" t="s">
        <v>128</v>
      </c>
      <c r="E9" s="161" t="s">
        <v>424</v>
      </c>
      <c r="F9" s="73" t="s">
        <v>127</v>
      </c>
    </row>
    <row r="10" spans="1:7" ht="73.2" x14ac:dyDescent="0.3">
      <c r="A10" s="75" t="s">
        <v>159</v>
      </c>
      <c r="B10" s="73" t="s">
        <v>145</v>
      </c>
      <c r="C10" s="73" t="s">
        <v>147</v>
      </c>
      <c r="D10" s="73" t="s">
        <v>146</v>
      </c>
      <c r="E10" s="161" t="s">
        <v>260</v>
      </c>
    </row>
    <row r="11" spans="1:7" ht="57.6" x14ac:dyDescent="0.3">
      <c r="A11" s="76" t="s">
        <v>162</v>
      </c>
      <c r="B11" s="73" t="s">
        <v>163</v>
      </c>
      <c r="C11" s="73" t="s">
        <v>164</v>
      </c>
      <c r="D11" s="73" t="s">
        <v>161</v>
      </c>
      <c r="E11" s="161" t="s">
        <v>260</v>
      </c>
    </row>
    <row r="12" spans="1:7" ht="45" customHeight="1" x14ac:dyDescent="0.3">
      <c r="A12" s="75" t="s">
        <v>148</v>
      </c>
      <c r="B12" s="73" t="s">
        <v>93</v>
      </c>
      <c r="C12" s="73" t="s">
        <v>96</v>
      </c>
      <c r="D12" s="73" t="s">
        <v>101</v>
      </c>
      <c r="E12" s="161" t="s">
        <v>260</v>
      </c>
    </row>
    <row r="13" spans="1:7" ht="57.6" x14ac:dyDescent="0.3">
      <c r="A13" s="75" t="s">
        <v>187</v>
      </c>
      <c r="B13" s="73" t="s">
        <v>188</v>
      </c>
      <c r="C13" s="73" t="s">
        <v>210</v>
      </c>
      <c r="D13" s="73" t="s">
        <v>211</v>
      </c>
      <c r="E13" s="161" t="s">
        <v>260</v>
      </c>
    </row>
    <row r="14" spans="1:7" ht="57.6" x14ac:dyDescent="0.3">
      <c r="A14" s="75" t="s">
        <v>151</v>
      </c>
      <c r="B14" s="73" t="s">
        <v>102</v>
      </c>
      <c r="C14" s="73" t="s">
        <v>104</v>
      </c>
      <c r="D14" s="73" t="s">
        <v>105</v>
      </c>
      <c r="E14" s="161" t="s">
        <v>425</v>
      </c>
    </row>
    <row r="15" spans="1:7" ht="70.05" customHeight="1" x14ac:dyDescent="0.3">
      <c r="A15" s="76" t="s">
        <v>155</v>
      </c>
      <c r="B15" s="73" t="s">
        <v>118</v>
      </c>
      <c r="C15" s="73" t="s">
        <v>120</v>
      </c>
      <c r="D15" s="73" t="s">
        <v>119</v>
      </c>
      <c r="E15" s="161" t="s">
        <v>260</v>
      </c>
    </row>
    <row r="16" spans="1:7" ht="70.05" customHeight="1" x14ac:dyDescent="0.3">
      <c r="A16" s="75" t="s">
        <v>261</v>
      </c>
      <c r="B16" s="73" t="s">
        <v>264</v>
      </c>
      <c r="E16" s="161" t="s">
        <v>260</v>
      </c>
    </row>
    <row r="17" spans="1:7" ht="57.6" x14ac:dyDescent="0.3">
      <c r="A17" s="74" t="s">
        <v>150</v>
      </c>
      <c r="B17" s="73" t="s">
        <v>100</v>
      </c>
      <c r="C17" s="73" t="s">
        <v>108</v>
      </c>
      <c r="D17" s="73" t="s">
        <v>107</v>
      </c>
      <c r="E17" s="161" t="s">
        <v>260</v>
      </c>
    </row>
    <row r="18" spans="1:7" ht="43.2" x14ac:dyDescent="0.3">
      <c r="A18" s="75" t="s">
        <v>149</v>
      </c>
      <c r="B18" s="73" t="s">
        <v>98</v>
      </c>
      <c r="C18" s="73" t="s">
        <v>103</v>
      </c>
      <c r="D18" s="73" t="s">
        <v>99</v>
      </c>
      <c r="E18" s="161" t="s">
        <v>426</v>
      </c>
    </row>
    <row r="19" spans="1:7" ht="129.6" x14ac:dyDescent="0.3">
      <c r="A19" s="76" t="s">
        <v>157</v>
      </c>
      <c r="B19" s="73" t="s">
        <v>259</v>
      </c>
      <c r="C19" s="73" t="s">
        <v>249</v>
      </c>
      <c r="D19" s="73" t="s">
        <v>248</v>
      </c>
      <c r="E19" s="161" t="s">
        <v>260</v>
      </c>
      <c r="F19" s="73" t="s">
        <v>123</v>
      </c>
      <c r="G19" s="73" t="s">
        <v>257</v>
      </c>
    </row>
    <row r="20" spans="1:7" ht="57.6" x14ac:dyDescent="0.3">
      <c r="A20" s="76" t="s">
        <v>262</v>
      </c>
      <c r="B20" s="73" t="s">
        <v>263</v>
      </c>
      <c r="C20" s="73" t="s">
        <v>440</v>
      </c>
      <c r="D20" s="73" t="s">
        <v>441</v>
      </c>
      <c r="E20" s="161" t="s">
        <v>260</v>
      </c>
    </row>
    <row r="21" spans="1:7" ht="15" thickBot="1" x14ac:dyDescent="0.35"/>
    <row r="22" spans="1:7" ht="15" thickBot="1" x14ac:dyDescent="0.35">
      <c r="A22" s="94" t="s">
        <v>189</v>
      </c>
      <c r="B22" s="246"/>
    </row>
    <row r="23" spans="1:7" ht="15" thickBot="1" x14ac:dyDescent="0.35">
      <c r="A23" s="94" t="s">
        <v>190</v>
      </c>
      <c r="B23" s="247"/>
    </row>
    <row r="24" spans="1:7" ht="15" thickBot="1" x14ac:dyDescent="0.35">
      <c r="A24" s="94" t="s">
        <v>191</v>
      </c>
      <c r="B24" s="248"/>
    </row>
    <row r="26" spans="1:7" ht="18" x14ac:dyDescent="0.3">
      <c r="B26" s="162" t="s">
        <v>266</v>
      </c>
    </row>
    <row r="27" spans="1:7" ht="64.95" customHeight="1" x14ac:dyDescent="0.3">
      <c r="A27" s="73" t="s">
        <v>270</v>
      </c>
      <c r="B27"/>
    </row>
    <row r="28" spans="1:7" ht="45" customHeight="1" x14ac:dyDescent="0.3">
      <c r="A28" s="73" t="s">
        <v>269</v>
      </c>
    </row>
    <row r="29" spans="1:7" ht="45" customHeight="1" x14ac:dyDescent="0.3">
      <c r="A29" s="73" t="s">
        <v>271</v>
      </c>
    </row>
    <row r="30" spans="1:7" ht="45" customHeight="1" x14ac:dyDescent="0.3">
      <c r="A30" s="73" t="s">
        <v>273</v>
      </c>
      <c r="B30"/>
    </row>
    <row r="31" spans="1:7" ht="45" customHeight="1" x14ac:dyDescent="0.3">
      <c r="A31" s="73" t="s">
        <v>268</v>
      </c>
    </row>
    <row r="32" spans="1:7" ht="45" customHeight="1" x14ac:dyDescent="0.3">
      <c r="A32" s="73" t="s">
        <v>272</v>
      </c>
      <c r="B32"/>
    </row>
    <row r="33" spans="1:2" ht="45" customHeight="1" x14ac:dyDescent="0.3">
      <c r="A33" s="73" t="s">
        <v>267</v>
      </c>
      <c r="B33"/>
    </row>
    <row r="34" spans="1:2" ht="45" customHeight="1" x14ac:dyDescent="0.3">
      <c r="A34" s="73" t="s">
        <v>265</v>
      </c>
      <c r="B3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3"/>
  <sheetViews>
    <sheetView tabSelected="1" topLeftCell="A266" workbookViewId="0">
      <selection activeCell="A284" sqref="A284"/>
    </sheetView>
  </sheetViews>
  <sheetFormatPr defaultRowHeight="14.4" x14ac:dyDescent="0.3"/>
  <cols>
    <col min="1" max="1" width="51.5546875" style="1" customWidth="1"/>
    <col min="2" max="2" width="10.44140625" style="1" customWidth="1"/>
    <col min="3" max="8" width="10.77734375" style="1" customWidth="1"/>
    <col min="9" max="10" width="12.77734375" style="1" customWidth="1"/>
    <col min="11" max="16384" width="8.88671875" style="1"/>
  </cols>
  <sheetData>
    <row r="1" spans="1:13" ht="28.8" x14ac:dyDescent="0.3">
      <c r="A1" s="230" t="s">
        <v>403</v>
      </c>
      <c r="C1" s="6"/>
      <c r="E1" s="46"/>
    </row>
    <row r="2" spans="1:13" ht="18.600000000000001" thickBot="1" x14ac:dyDescent="0.35">
      <c r="A2" s="12" t="s">
        <v>402</v>
      </c>
      <c r="C2" s="6"/>
      <c r="E2" s="46"/>
    </row>
    <row r="3" spans="1:13" ht="36.6" thickBot="1" x14ac:dyDescent="0.35">
      <c r="A3" s="231" t="s">
        <v>404</v>
      </c>
      <c r="B3" s="55" t="s">
        <v>75</v>
      </c>
      <c r="C3" s="61" t="s">
        <v>6</v>
      </c>
      <c r="D3" s="62" t="s">
        <v>1</v>
      </c>
      <c r="E3" s="62" t="s">
        <v>2</v>
      </c>
      <c r="F3" s="62" t="s">
        <v>3</v>
      </c>
      <c r="G3" s="62" t="s">
        <v>4</v>
      </c>
      <c r="H3" s="62" t="s">
        <v>5</v>
      </c>
      <c r="I3" s="63" t="s">
        <v>11</v>
      </c>
    </row>
    <row r="4" spans="1:13" ht="18" x14ac:dyDescent="0.3">
      <c r="A4" s="22" t="s">
        <v>33</v>
      </c>
      <c r="B4" s="12"/>
      <c r="C4" s="2">
        <v>1</v>
      </c>
      <c r="D4" s="2">
        <v>2</v>
      </c>
      <c r="E4" s="2">
        <v>3</v>
      </c>
      <c r="F4" s="2">
        <v>4</v>
      </c>
      <c r="G4" s="2">
        <v>5</v>
      </c>
      <c r="H4" s="2">
        <v>6</v>
      </c>
      <c r="I4" s="8">
        <v>6</v>
      </c>
    </row>
    <row r="5" spans="1:13" ht="16.2" thickBot="1" x14ac:dyDescent="0.35">
      <c r="A5" s="1" t="s">
        <v>7</v>
      </c>
      <c r="C5" s="7">
        <v>5000</v>
      </c>
      <c r="D5" s="7">
        <v>2000</v>
      </c>
      <c r="E5" s="7">
        <v>5000</v>
      </c>
      <c r="F5" s="7"/>
      <c r="G5" s="7"/>
      <c r="H5" s="7"/>
      <c r="I5" s="8">
        <f>SUM(C5:H5)</f>
        <v>12000</v>
      </c>
    </row>
    <row r="6" spans="1:13" ht="16.2" thickBot="1" x14ac:dyDescent="0.35">
      <c r="A6" s="1" t="s">
        <v>80</v>
      </c>
      <c r="C6" s="7">
        <f>-C5</f>
        <v>-5000</v>
      </c>
      <c r="D6" s="7">
        <f>-D5</f>
        <v>-2000</v>
      </c>
      <c r="E6" s="7">
        <f t="shared" ref="E6:H6" si="0">-E5</f>
        <v>-5000</v>
      </c>
      <c r="F6" s="7">
        <f t="shared" si="0"/>
        <v>0</v>
      </c>
      <c r="G6" s="7">
        <f t="shared" si="0"/>
        <v>0</v>
      </c>
      <c r="H6" s="7">
        <f t="shared" si="0"/>
        <v>0</v>
      </c>
      <c r="I6" s="51">
        <f>SUM(C6:H6)</f>
        <v>-12000</v>
      </c>
    </row>
    <row r="7" spans="1:13" ht="16.2" thickBot="1" x14ac:dyDescent="0.35">
      <c r="A7" s="1" t="s">
        <v>79</v>
      </c>
      <c r="C7" s="7"/>
      <c r="D7" s="258">
        <v>75</v>
      </c>
      <c r="E7" s="1">
        <f>D7*0.4</f>
        <v>30</v>
      </c>
      <c r="F7" s="1">
        <f>E7*4.166667</f>
        <v>125.00001</v>
      </c>
      <c r="G7" s="1">
        <f>F7*1.2</f>
        <v>150.000012</v>
      </c>
      <c r="H7" s="1">
        <f>G7*1.166667</f>
        <v>175.00006400000399</v>
      </c>
      <c r="I7" s="8">
        <f t="shared" ref="I7" si="1">SUM(D7:H7)</f>
        <v>555.00008600000399</v>
      </c>
      <c r="K7" s="67">
        <v>50</v>
      </c>
      <c r="L7" s="67">
        <v>75</v>
      </c>
      <c r="M7" s="67">
        <v>100</v>
      </c>
    </row>
    <row r="8" spans="1:13" s="6" customFormat="1" ht="16.2" thickBot="1" x14ac:dyDescent="0.35">
      <c r="A8" s="104" t="s">
        <v>203</v>
      </c>
      <c r="B8" s="104"/>
      <c r="C8" s="105"/>
      <c r="D8" s="257">
        <v>0.06</v>
      </c>
      <c r="E8" s="253">
        <f>D8*0.8333</f>
        <v>4.9998000000000001E-2</v>
      </c>
      <c r="F8" s="253">
        <f>E8*0.9</f>
        <v>4.4998200000000002E-2</v>
      </c>
      <c r="G8" s="253">
        <f>F8*0.8889</f>
        <v>3.9998899980000002E-2</v>
      </c>
      <c r="H8" s="253">
        <f>G8</f>
        <v>3.9998899980000002E-2</v>
      </c>
      <c r="I8" s="107"/>
      <c r="K8" s="259">
        <v>0.05</v>
      </c>
      <c r="L8" s="259">
        <v>0.06</v>
      </c>
      <c r="M8" s="259">
        <v>0.09</v>
      </c>
    </row>
    <row r="9" spans="1:13" ht="15.6" x14ac:dyDescent="0.3">
      <c r="A9" s="1" t="s">
        <v>12</v>
      </c>
      <c r="C9" s="7">
        <f>D9/(1+D8)</f>
        <v>188.67924528301887</v>
      </c>
      <c r="D9" s="7">
        <v>200</v>
      </c>
      <c r="E9" s="7">
        <f>D9*(1+E8)</f>
        <v>209.99959999999999</v>
      </c>
      <c r="F9" s="7">
        <f t="shared" ref="F9:H9" si="2">E9*(1+F8)</f>
        <v>219.44920400071999</v>
      </c>
      <c r="G9" s="7">
        <f t="shared" si="2"/>
        <v>228.22693076223541</v>
      </c>
      <c r="H9" s="7">
        <f t="shared" si="2"/>
        <v>237.35575693853647</v>
      </c>
      <c r="I9" s="8">
        <f>SUM(D9:H9)/COUNTA(D9:H9)</f>
        <v>219.00629834029837</v>
      </c>
    </row>
    <row r="10" spans="1:13" ht="16.2" thickBot="1" x14ac:dyDescent="0.35">
      <c r="A10" s="4" t="s">
        <v>0</v>
      </c>
      <c r="B10" s="4"/>
      <c r="C10" s="11"/>
      <c r="D10" s="11">
        <f>D9*D7</f>
        <v>15000</v>
      </c>
      <c r="E10" s="11">
        <f>E9*E7</f>
        <v>6299.9879999999994</v>
      </c>
      <c r="F10" s="11">
        <f>F9*F7</f>
        <v>27431.152694582041</v>
      </c>
      <c r="G10" s="11">
        <f>G9*G7</f>
        <v>34234.042353058481</v>
      </c>
      <c r="H10" s="11">
        <f>H9*H7</f>
        <v>41537.272655013272</v>
      </c>
      <c r="I10" s="8">
        <f>SUM(D10:H10)</f>
        <v>124502.4557026538</v>
      </c>
    </row>
    <row r="11" spans="1:13" s="6" customFormat="1" ht="16.2" thickBot="1" x14ac:dyDescent="0.35">
      <c r="A11" s="104" t="s">
        <v>204</v>
      </c>
      <c r="B11" s="104"/>
      <c r="C11" s="105"/>
      <c r="D11" s="257">
        <v>0.08</v>
      </c>
      <c r="E11" s="253">
        <f>D11*0.875</f>
        <v>7.0000000000000007E-2</v>
      </c>
      <c r="F11" s="253">
        <f>E11*0.857143</f>
        <v>6.0000010000000006E-2</v>
      </c>
      <c r="G11" s="253">
        <f>F11*0.8333</f>
        <v>4.9998008333000006E-2</v>
      </c>
      <c r="H11" s="253">
        <f>G11*0.9</f>
        <v>4.4998207499700009E-2</v>
      </c>
      <c r="I11" s="107"/>
      <c r="K11" s="253">
        <v>7.0000000000000007E-2</v>
      </c>
      <c r="L11" s="253">
        <v>0.08</v>
      </c>
      <c r="M11" s="253">
        <v>0.1</v>
      </c>
    </row>
    <row r="12" spans="1:13" ht="15.6" x14ac:dyDescent="0.3">
      <c r="A12" s="4" t="s">
        <v>8</v>
      </c>
      <c r="B12" s="4"/>
      <c r="C12" s="11"/>
      <c r="D12" s="11">
        <f>D13+D14</f>
        <v>-10250</v>
      </c>
      <c r="E12" s="11">
        <f t="shared" ref="E12:H12" si="3">E13+E14</f>
        <v>-6531</v>
      </c>
      <c r="F12" s="11">
        <f t="shared" si="3"/>
        <v>-18775.251424745013</v>
      </c>
      <c r="G12" s="11">
        <f t="shared" si="3"/>
        <v>-22988.973182720525</v>
      </c>
      <c r="H12" s="11">
        <f t="shared" si="3"/>
        <v>-27445.808169422729</v>
      </c>
      <c r="I12" s="8">
        <f t="shared" ref="I12:I14" si="4">SUM(D12:H12)</f>
        <v>-85991.032776888271</v>
      </c>
    </row>
    <row r="13" spans="1:13" s="6" customFormat="1" ht="15.6" x14ac:dyDescent="0.3">
      <c r="A13" s="6" t="s">
        <v>9</v>
      </c>
      <c r="C13" s="10"/>
      <c r="D13" s="10">
        <v>-2000</v>
      </c>
      <c r="E13" s="10">
        <v>-3000</v>
      </c>
      <c r="F13" s="7">
        <f>E13*(1+F11)</f>
        <v>-3180.0000300000002</v>
      </c>
      <c r="G13" s="7">
        <f t="shared" ref="G13:H13" si="5">F13*(1+G11)</f>
        <v>-3338.9936979988806</v>
      </c>
      <c r="H13" s="7">
        <f t="shared" si="5"/>
        <v>-3489.2424292616247</v>
      </c>
      <c r="I13" s="8">
        <f t="shared" si="4"/>
        <v>-15008.236157260506</v>
      </c>
    </row>
    <row r="14" spans="1:13" s="6" customFormat="1" ht="15.6" x14ac:dyDescent="0.3">
      <c r="A14" s="6" t="s">
        <v>10</v>
      </c>
      <c r="C14" s="10"/>
      <c r="D14" s="10">
        <f>-D15*D7</f>
        <v>-8250</v>
      </c>
      <c r="E14" s="10">
        <f>-E15*E7</f>
        <v>-3531</v>
      </c>
      <c r="F14" s="10">
        <f>-F15*F7</f>
        <v>-15595.251394745012</v>
      </c>
      <c r="G14" s="10">
        <f>-G15*G7</f>
        <v>-19649.979484721644</v>
      </c>
      <c r="H14" s="10">
        <f>-H15*H7</f>
        <v>-23956.565740161106</v>
      </c>
      <c r="I14" s="8">
        <f t="shared" si="4"/>
        <v>-70982.79661962777</v>
      </c>
    </row>
    <row r="15" spans="1:13" s="6" customFormat="1" ht="15.6" x14ac:dyDescent="0.3">
      <c r="A15" s="6" t="s">
        <v>13</v>
      </c>
      <c r="C15" s="10"/>
      <c r="D15" s="10">
        <v>110</v>
      </c>
      <c r="E15" s="10">
        <f>D15*(1+E11)</f>
        <v>117.7</v>
      </c>
      <c r="F15" s="10">
        <f t="shared" ref="F15:H15" si="6">E15*(1+F11)</f>
        <v>124.762001177</v>
      </c>
      <c r="G15" s="10">
        <f t="shared" si="6"/>
        <v>130.99985275148941</v>
      </c>
      <c r="H15" s="10">
        <f t="shared" si="6"/>
        <v>136.89461130803107</v>
      </c>
      <c r="I15" s="8">
        <f>SUM(D15:H15)/COUNTA(D15:H15)</f>
        <v>124.07129304730411</v>
      </c>
      <c r="J15" s="1"/>
    </row>
    <row r="16" spans="1:13" s="6" customFormat="1" ht="15.6" x14ac:dyDescent="0.3">
      <c r="A16" s="6" t="s">
        <v>14</v>
      </c>
      <c r="C16" s="10"/>
      <c r="D16" s="10">
        <f>-D12/D7</f>
        <v>136.66666666666666</v>
      </c>
      <c r="E16" s="10">
        <f>-E12/E7</f>
        <v>217.7</v>
      </c>
      <c r="F16" s="10">
        <f>-F12/F7</f>
        <v>150.20199938180014</v>
      </c>
      <c r="G16" s="10">
        <f>-G12/G7</f>
        <v>153.25980895735211</v>
      </c>
      <c r="H16" s="10">
        <f>-H12/H7</f>
        <v>156.83313218343795</v>
      </c>
      <c r="I16" s="8">
        <f>SUM(D16:H16)/COUNTA(D16:H16)</f>
        <v>162.93232143785139</v>
      </c>
      <c r="J16" s="1"/>
    </row>
    <row r="17" spans="1:13" s="5" customFormat="1" ht="28.8" x14ac:dyDescent="0.3">
      <c r="A17" s="111" t="s">
        <v>207</v>
      </c>
      <c r="B17" s="108"/>
      <c r="C17" s="109"/>
      <c r="D17" s="109">
        <v>5000</v>
      </c>
      <c r="E17" s="109">
        <v>6000</v>
      </c>
      <c r="F17" s="109">
        <v>7000</v>
      </c>
      <c r="G17" s="109">
        <v>8000</v>
      </c>
      <c r="H17" s="109">
        <v>9000</v>
      </c>
      <c r="I17" s="110">
        <f t="shared" ref="I17:I27" si="7">SUM(D17:H17)</f>
        <v>35000</v>
      </c>
    </row>
    <row r="18" spans="1:13" s="152" customFormat="1" ht="16.2" thickBot="1" x14ac:dyDescent="0.35">
      <c r="A18" s="128" t="s">
        <v>21</v>
      </c>
      <c r="B18" s="128"/>
      <c r="C18" s="129"/>
      <c r="D18" s="129">
        <f>-D17</f>
        <v>-5000</v>
      </c>
      <c r="E18" s="129">
        <f t="shared" ref="E18:H18" si="8">-E17</f>
        <v>-6000</v>
      </c>
      <c r="F18" s="129">
        <f t="shared" si="8"/>
        <v>-7000</v>
      </c>
      <c r="G18" s="129">
        <f t="shared" si="8"/>
        <v>-8000</v>
      </c>
      <c r="H18" s="129">
        <f t="shared" si="8"/>
        <v>-9000</v>
      </c>
      <c r="I18" s="130">
        <f t="shared" si="7"/>
        <v>-35000</v>
      </c>
    </row>
    <row r="19" spans="1:13" s="6" customFormat="1" ht="16.2" thickBot="1" x14ac:dyDescent="0.35">
      <c r="A19" s="104" t="s">
        <v>205</v>
      </c>
      <c r="B19" s="104"/>
      <c r="C19" s="105"/>
      <c r="D19" s="257">
        <v>0.08</v>
      </c>
      <c r="E19" s="253">
        <f>D19*0.875</f>
        <v>7.0000000000000007E-2</v>
      </c>
      <c r="F19" s="253">
        <f>E19*0.857143</f>
        <v>6.0000010000000006E-2</v>
      </c>
      <c r="G19" s="253">
        <f>F19*0.8333</f>
        <v>4.9998008333000006E-2</v>
      </c>
      <c r="H19" s="253">
        <f>G19*0.9</f>
        <v>4.4998207499700009E-2</v>
      </c>
      <c r="I19" s="107"/>
      <c r="K19" s="259">
        <v>7.0000000000000007E-2</v>
      </c>
      <c r="L19" s="259">
        <v>0.08</v>
      </c>
      <c r="M19" s="259">
        <v>0.12</v>
      </c>
    </row>
    <row r="20" spans="1:13" s="3" customFormat="1" ht="31.8" thickBot="1" x14ac:dyDescent="0.35">
      <c r="A20" s="13" t="s">
        <v>23</v>
      </c>
      <c r="B20" s="13"/>
      <c r="C20" s="8">
        <f>C10+C12</f>
        <v>0</v>
      </c>
      <c r="D20" s="8">
        <f>D10+D12</f>
        <v>4750</v>
      </c>
      <c r="E20" s="8">
        <f t="shared" ref="E20:H20" si="9">E10+E12</f>
        <v>-231.01200000000063</v>
      </c>
      <c r="F20" s="8">
        <f t="shared" si="9"/>
        <v>8655.9012698370279</v>
      </c>
      <c r="G20" s="8">
        <f t="shared" si="9"/>
        <v>11245.069170337956</v>
      </c>
      <c r="H20" s="8">
        <f t="shared" si="9"/>
        <v>14091.464485590543</v>
      </c>
      <c r="I20" s="51">
        <f t="shared" si="7"/>
        <v>38511.422925765524</v>
      </c>
    </row>
    <row r="21" spans="1:13" s="5" customFormat="1" ht="15.6" x14ac:dyDescent="0.3">
      <c r="A21" s="5" t="s">
        <v>19</v>
      </c>
      <c r="B21" s="16"/>
      <c r="C21" s="9">
        <v>0</v>
      </c>
      <c r="D21" s="9">
        <f>-D83</f>
        <v>-225</v>
      </c>
      <c r="E21" s="9">
        <f t="shared" ref="E21:H21" si="10">-E83</f>
        <v>-1025</v>
      </c>
      <c r="F21" s="9">
        <f t="shared" si="10"/>
        <v>-1600.8333783333333</v>
      </c>
      <c r="G21" s="9">
        <f t="shared" si="10"/>
        <v>-1454.6667206666666</v>
      </c>
      <c r="H21" s="9">
        <f t="shared" si="10"/>
        <v>-1385.3002880000179</v>
      </c>
      <c r="I21" s="8">
        <f t="shared" si="7"/>
        <v>-5690.8003870000175</v>
      </c>
    </row>
    <row r="22" spans="1:13" s="5" customFormat="1" ht="15.6" x14ac:dyDescent="0.3">
      <c r="A22" s="3" t="s">
        <v>24</v>
      </c>
      <c r="B22" s="17"/>
      <c r="C22" s="8">
        <f>C20+C21</f>
        <v>0</v>
      </c>
      <c r="D22" s="8">
        <f>D20+D21</f>
        <v>4525</v>
      </c>
      <c r="E22" s="8">
        <f t="shared" ref="E22:H22" si="11">E20+E21</f>
        <v>-1256.0120000000006</v>
      </c>
      <c r="F22" s="8">
        <f t="shared" si="11"/>
        <v>7055.0678915036951</v>
      </c>
      <c r="G22" s="8">
        <f t="shared" si="11"/>
        <v>9790.40244967129</v>
      </c>
      <c r="H22" s="8">
        <f t="shared" si="11"/>
        <v>12706.164197590524</v>
      </c>
      <c r="I22" s="8">
        <f t="shared" si="7"/>
        <v>32820.622538765507</v>
      </c>
    </row>
    <row r="23" spans="1:13" s="152" customFormat="1" ht="15.6" x14ac:dyDescent="0.3">
      <c r="A23" s="152" t="s">
        <v>208</v>
      </c>
      <c r="B23" s="117"/>
      <c r="D23" s="153">
        <f>-D17*D19</f>
        <v>-400</v>
      </c>
      <c r="E23" s="153">
        <f t="shared" ref="E23:H23" si="12">-E17*E19</f>
        <v>-420.00000000000006</v>
      </c>
      <c r="F23" s="153">
        <f t="shared" si="12"/>
        <v>-420.00007000000005</v>
      </c>
      <c r="G23" s="153">
        <f t="shared" si="12"/>
        <v>-399.98406666400007</v>
      </c>
      <c r="H23" s="153">
        <f t="shared" si="12"/>
        <v>-404.98386749730008</v>
      </c>
      <c r="I23" s="154">
        <f t="shared" si="7"/>
        <v>-2044.9680041613001</v>
      </c>
    </row>
    <row r="24" spans="1:13" s="5" customFormat="1" ht="16.2" thickBot="1" x14ac:dyDescent="0.35">
      <c r="A24" s="5" t="s">
        <v>25</v>
      </c>
      <c r="B24" s="16">
        <v>0.2</v>
      </c>
      <c r="C24" s="9">
        <f t="shared" ref="C24:D24" si="13">IF(C22+C23&lt;0,0,-(C22+C23)*$B$24)</f>
        <v>0</v>
      </c>
      <c r="D24" s="9">
        <f t="shared" si="13"/>
        <v>-825</v>
      </c>
      <c r="E24" s="9">
        <f>IF(E22+E23&lt;0,0,-(E22+E23)*$B$24)</f>
        <v>0</v>
      </c>
      <c r="F24" s="9">
        <f t="shared" ref="F24:H24" si="14">IF(F22+F23&lt;0,0,-(F22+F23)*$B$24)</f>
        <v>-1327.0135643007391</v>
      </c>
      <c r="G24" s="9">
        <f t="shared" si="14"/>
        <v>-1878.0836766014581</v>
      </c>
      <c r="H24" s="9">
        <f t="shared" si="14"/>
        <v>-2460.236066018645</v>
      </c>
      <c r="I24" s="8">
        <f t="shared" si="7"/>
        <v>-6490.333306920842</v>
      </c>
    </row>
    <row r="25" spans="1:13" s="3" customFormat="1" ht="16.2" thickBot="1" x14ac:dyDescent="0.35">
      <c r="A25" s="3" t="s">
        <v>29</v>
      </c>
      <c r="C25" s="8">
        <f>C22+C23+C24</f>
        <v>0</v>
      </c>
      <c r="D25" s="8">
        <f>D22+D23+D24</f>
        <v>3300</v>
      </c>
      <c r="E25" s="8">
        <f t="shared" ref="E25:H25" si="15">E22+E23+E24</f>
        <v>-1676.0120000000006</v>
      </c>
      <c r="F25" s="8">
        <f t="shared" si="15"/>
        <v>5308.0542572029563</v>
      </c>
      <c r="G25" s="8">
        <f t="shared" si="15"/>
        <v>7512.3347064058325</v>
      </c>
      <c r="H25" s="8">
        <f t="shared" si="15"/>
        <v>9840.9442640745801</v>
      </c>
      <c r="I25" s="51">
        <f t="shared" si="7"/>
        <v>24285.321227683369</v>
      </c>
    </row>
    <row r="26" spans="1:13" s="5" customFormat="1" x14ac:dyDescent="0.3">
      <c r="A26" s="5" t="s">
        <v>17</v>
      </c>
      <c r="C26" s="9">
        <f>C5</f>
        <v>5000</v>
      </c>
      <c r="D26" s="9">
        <f>C30</f>
        <v>0</v>
      </c>
      <c r="E26" s="9">
        <f t="shared" ref="E26:H26" si="16">D30</f>
        <v>3525</v>
      </c>
      <c r="F26" s="9">
        <f t="shared" si="16"/>
        <v>2873.9879999999976</v>
      </c>
      <c r="G26" s="9">
        <f t="shared" si="16"/>
        <v>9782.8756355362857</v>
      </c>
      <c r="H26" s="9">
        <f t="shared" si="16"/>
        <v>18749.877062608779</v>
      </c>
      <c r="I26" s="9">
        <f>C26</f>
        <v>5000</v>
      </c>
    </row>
    <row r="27" spans="1:13" s="4" customFormat="1" x14ac:dyDescent="0.3">
      <c r="A27" s="4" t="s">
        <v>367</v>
      </c>
      <c r="C27" s="11">
        <f>C10</f>
        <v>0</v>
      </c>
      <c r="D27" s="11">
        <f>D10+D5+D17</f>
        <v>22000</v>
      </c>
      <c r="E27" s="11">
        <f t="shared" ref="E27:H27" si="17">E10+E5+E17</f>
        <v>17299.987999999998</v>
      </c>
      <c r="F27" s="11">
        <f t="shared" si="17"/>
        <v>34431.152694582037</v>
      </c>
      <c r="G27" s="11">
        <f t="shared" si="17"/>
        <v>42234.042353058481</v>
      </c>
      <c r="H27" s="11">
        <f t="shared" si="17"/>
        <v>50537.272655013272</v>
      </c>
      <c r="I27" s="11">
        <f t="shared" si="7"/>
        <v>166502.4557026538</v>
      </c>
    </row>
    <row r="28" spans="1:13" s="4" customFormat="1" ht="15" thickBot="1" x14ac:dyDescent="0.35">
      <c r="A28" s="4" t="s">
        <v>368</v>
      </c>
      <c r="C28" s="11">
        <f t="shared" ref="C28" si="18">C6+C12+C23+C24</f>
        <v>-5000</v>
      </c>
      <c r="D28" s="11">
        <f>D6+D12+D23+D24+D18</f>
        <v>-18475</v>
      </c>
      <c r="E28" s="11">
        <f t="shared" ref="E28:H28" si="19">E6+E12+E23+E24+E18</f>
        <v>-17951</v>
      </c>
      <c r="F28" s="11">
        <f t="shared" si="19"/>
        <v>-27522.265059045749</v>
      </c>
      <c r="G28" s="11">
        <f t="shared" si="19"/>
        <v>-33267.040925985988</v>
      </c>
      <c r="H28" s="11">
        <f t="shared" si="19"/>
        <v>-39311.028102938675</v>
      </c>
      <c r="I28" s="11">
        <f>SUM(C28:H28)</f>
        <v>-141526.3340879704</v>
      </c>
    </row>
    <row r="29" spans="1:13" s="4" customFormat="1" ht="15" thickBot="1" x14ac:dyDescent="0.35">
      <c r="A29" s="4" t="s">
        <v>26</v>
      </c>
      <c r="C29" s="11">
        <f>C6</f>
        <v>-5000</v>
      </c>
      <c r="D29" s="11">
        <f>D28+D27</f>
        <v>3525</v>
      </c>
      <c r="E29" s="11">
        <f t="shared" ref="E29:H29" si="20">E28+E27</f>
        <v>-651.01200000000244</v>
      </c>
      <c r="F29" s="11">
        <f t="shared" si="20"/>
        <v>6908.8876355362881</v>
      </c>
      <c r="G29" s="11">
        <f t="shared" si="20"/>
        <v>8967.0014270724932</v>
      </c>
      <c r="H29" s="11">
        <f t="shared" si="20"/>
        <v>11226.244552074597</v>
      </c>
      <c r="I29" s="44">
        <f>SUM(C29:H29)</f>
        <v>24976.121614683376</v>
      </c>
    </row>
    <row r="30" spans="1:13" s="5" customFormat="1" x14ac:dyDescent="0.3">
      <c r="A30" s="5" t="s">
        <v>18</v>
      </c>
      <c r="C30" s="9">
        <f>C29+C26</f>
        <v>0</v>
      </c>
      <c r="D30" s="9">
        <f>D29+D26</f>
        <v>3525</v>
      </c>
      <c r="E30" s="9">
        <f t="shared" ref="E30:H30" si="21">E29+E26</f>
        <v>2873.9879999999976</v>
      </c>
      <c r="F30" s="9">
        <f t="shared" si="21"/>
        <v>9782.8756355362857</v>
      </c>
      <c r="G30" s="9">
        <f t="shared" si="21"/>
        <v>18749.877062608779</v>
      </c>
      <c r="H30" s="9">
        <f t="shared" si="21"/>
        <v>29976.121614683376</v>
      </c>
      <c r="I30" s="9">
        <f>H30</f>
        <v>29976.121614683376</v>
      </c>
    </row>
    <row r="31" spans="1:13" s="5" customFormat="1" ht="15" thickBot="1" x14ac:dyDescent="0.35">
      <c r="A31" s="5" t="s">
        <v>30</v>
      </c>
      <c r="C31" s="9">
        <f>C29</f>
        <v>-5000</v>
      </c>
      <c r="D31" s="9">
        <f>C31+D29</f>
        <v>-1475</v>
      </c>
      <c r="E31" s="9">
        <f t="shared" ref="E31:H31" si="22">D31+E29</f>
        <v>-2126.0120000000024</v>
      </c>
      <c r="F31" s="9">
        <f t="shared" si="22"/>
        <v>4782.8756355362857</v>
      </c>
      <c r="G31" s="9">
        <f t="shared" si="22"/>
        <v>13749.877062608779</v>
      </c>
      <c r="H31" s="9">
        <f t="shared" si="22"/>
        <v>24976.121614683376</v>
      </c>
      <c r="I31" s="48">
        <f>H31</f>
        <v>24976.121614683376</v>
      </c>
    </row>
    <row r="32" spans="1:13" ht="16.2" thickBot="1" x14ac:dyDescent="0.35">
      <c r="A32" s="113" t="s">
        <v>209</v>
      </c>
      <c r="B32" s="112">
        <v>0.25</v>
      </c>
      <c r="C32" s="114"/>
      <c r="D32" s="115">
        <f>IF(C25&gt;0,C25*$B$32,0)</f>
        <v>0</v>
      </c>
      <c r="E32" s="115">
        <f>IF(D25&gt;0,D25*$B$32,0)</f>
        <v>825</v>
      </c>
      <c r="F32" s="115">
        <f t="shared" ref="F32:H32" si="23">IF(E25&gt;0,E25*$B$32,0)</f>
        <v>0</v>
      </c>
      <c r="G32" s="115">
        <f t="shared" si="23"/>
        <v>1327.0135643007391</v>
      </c>
      <c r="H32" s="115">
        <f t="shared" si="23"/>
        <v>1878.0836766014581</v>
      </c>
      <c r="I32" s="116">
        <f>SUM(C32:H32)</f>
        <v>4030.097240902197</v>
      </c>
    </row>
    <row r="33" spans="1:9" s="67" customFormat="1" ht="16.2" thickBot="1" x14ac:dyDescent="0.35">
      <c r="A33" s="123" t="s">
        <v>226</v>
      </c>
      <c r="B33" s="124">
        <v>0.05</v>
      </c>
      <c r="C33" s="125"/>
      <c r="D33" s="126"/>
      <c r="E33" s="126"/>
      <c r="F33" s="126"/>
      <c r="G33" s="126"/>
      <c r="H33" s="126"/>
      <c r="I33" s="127"/>
    </row>
    <row r="34" spans="1:9" s="67" customFormat="1" ht="15" thickBot="1" x14ac:dyDescent="0.35">
      <c r="A34" s="114" t="s">
        <v>227</v>
      </c>
      <c r="B34" s="39"/>
      <c r="C34" s="39"/>
      <c r="D34" s="39"/>
      <c r="E34" s="122">
        <f>(E20-D20)/D20</f>
        <v>-1.048634105263158</v>
      </c>
      <c r="F34" s="122">
        <f>(F20-E20)/E20</f>
        <v>-38.46948760167006</v>
      </c>
      <c r="G34" s="122">
        <f>(G20-F20)/F20</f>
        <v>0.29912169972678959</v>
      </c>
      <c r="H34" s="122">
        <f>(H20-G20)/G20</f>
        <v>0.25312386007911425</v>
      </c>
      <c r="I34" s="132">
        <f>AVERAGE(E34:H34)</f>
        <v>-9.7414690367818277</v>
      </c>
    </row>
    <row r="35" spans="1:9" s="67" customFormat="1" ht="15" thickBot="1" x14ac:dyDescent="0.35">
      <c r="A35" s="125" t="s">
        <v>228</v>
      </c>
      <c r="B35" s="126"/>
      <c r="C35" s="126"/>
      <c r="D35" s="126"/>
      <c r="E35" s="131">
        <f>(E22-D22)/D22</f>
        <v>-1.2775717127071824</v>
      </c>
      <c r="F35" s="131">
        <f t="shared" ref="F35:H35" si="24">(F22-E22)/E22</f>
        <v>-6.6170386043315599</v>
      </c>
      <c r="G35" s="131">
        <f t="shared" si="24"/>
        <v>0.38771201074644712</v>
      </c>
      <c r="H35" s="131">
        <f t="shared" si="24"/>
        <v>0.29781837497570185</v>
      </c>
      <c r="I35" s="133">
        <f t="shared" ref="I35:I36" si="25">AVERAGE(E35:H35)</f>
        <v>-1.8022699828291484</v>
      </c>
    </row>
    <row r="36" spans="1:9" s="67" customFormat="1" ht="15" thickBot="1" x14ac:dyDescent="0.35">
      <c r="A36" s="114" t="s">
        <v>229</v>
      </c>
      <c r="B36" s="39"/>
      <c r="C36" s="39"/>
      <c r="D36" s="39"/>
      <c r="E36" s="122">
        <f>(E25-D25)/D25</f>
        <v>-1.5078824242424245</v>
      </c>
      <c r="F36" s="122">
        <f t="shared" ref="F36:H36" si="26">(F25-E25)/E25</f>
        <v>-4.1670741362251311</v>
      </c>
      <c r="G36" s="122">
        <f t="shared" si="26"/>
        <v>0.41527089633865333</v>
      </c>
      <c r="H36" s="122">
        <f t="shared" si="26"/>
        <v>0.30997148671812003</v>
      </c>
      <c r="I36" s="132">
        <f t="shared" si="25"/>
        <v>-1.2374285443526956</v>
      </c>
    </row>
    <row r="37" spans="1:9" s="67" customFormat="1" ht="36.6" hidden="1" thickBot="1" x14ac:dyDescent="0.35">
      <c r="A37" s="64" t="s">
        <v>303</v>
      </c>
      <c r="C37" s="61" t="s">
        <v>6</v>
      </c>
      <c r="D37" s="62" t="s">
        <v>1</v>
      </c>
      <c r="E37" s="62" t="s">
        <v>2</v>
      </c>
      <c r="F37" s="62" t="s">
        <v>3</v>
      </c>
      <c r="G37" s="62" t="s">
        <v>4</v>
      </c>
      <c r="H37" s="62" t="s">
        <v>5</v>
      </c>
      <c r="I37" s="63" t="s">
        <v>11</v>
      </c>
    </row>
    <row r="38" spans="1:9" s="67" customFormat="1" ht="21.6" hidden="1" thickBot="1" x14ac:dyDescent="0.35">
      <c r="A38" s="170" t="s">
        <v>304</v>
      </c>
      <c r="E38" s="163"/>
      <c r="F38" s="163"/>
      <c r="G38" s="163"/>
      <c r="H38" s="163"/>
      <c r="I38" s="164"/>
    </row>
    <row r="39" spans="1:9" s="67" customFormat="1" ht="15.6" hidden="1" x14ac:dyDescent="0.3">
      <c r="A39" s="190" t="s">
        <v>306</v>
      </c>
      <c r="B39" s="168">
        <f>C5</f>
        <v>5000</v>
      </c>
      <c r="C39" s="177">
        <f>B39</f>
        <v>5000</v>
      </c>
      <c r="D39" s="177">
        <f>C39-D46</f>
        <v>4775</v>
      </c>
      <c r="E39" s="177">
        <f t="shared" ref="E39:H39" si="27">D39-E46</f>
        <v>4550</v>
      </c>
      <c r="F39" s="177">
        <f t="shared" si="27"/>
        <v>4325</v>
      </c>
      <c r="G39" s="177">
        <f t="shared" si="27"/>
        <v>4100</v>
      </c>
      <c r="H39" s="177">
        <f t="shared" si="27"/>
        <v>3875</v>
      </c>
      <c r="I39" s="164"/>
    </row>
    <row r="40" spans="1:9" s="67" customFormat="1" ht="15.6" hidden="1" x14ac:dyDescent="0.3">
      <c r="A40" s="190" t="s">
        <v>319</v>
      </c>
      <c r="B40" s="168" t="s">
        <v>1</v>
      </c>
      <c r="E40" s="163"/>
      <c r="F40" s="163"/>
      <c r="G40" s="163"/>
      <c r="H40" s="163"/>
      <c r="I40" s="164"/>
    </row>
    <row r="41" spans="1:9" s="67" customFormat="1" ht="28.8" hidden="1" x14ac:dyDescent="0.3">
      <c r="A41" s="190" t="s">
        <v>305</v>
      </c>
      <c r="B41" s="167" t="s">
        <v>311</v>
      </c>
      <c r="C41" s="186" t="s">
        <v>339</v>
      </c>
      <c r="D41" s="155"/>
      <c r="E41" s="174"/>
      <c r="F41" s="174"/>
      <c r="G41" s="174"/>
      <c r="H41" s="174"/>
      <c r="I41"/>
    </row>
    <row r="42" spans="1:9" s="67" customFormat="1" ht="15.6" hidden="1" x14ac:dyDescent="0.3">
      <c r="A42" s="190" t="s">
        <v>310</v>
      </c>
      <c r="B42" s="168">
        <v>20</v>
      </c>
      <c r="E42" s="163"/>
      <c r="F42" s="163"/>
      <c r="G42" s="163"/>
      <c r="H42" s="163"/>
      <c r="I42" s="164"/>
    </row>
    <row r="43" spans="1:9" s="67" customFormat="1" ht="15.6" hidden="1" x14ac:dyDescent="0.3">
      <c r="A43" s="190" t="s">
        <v>307</v>
      </c>
      <c r="B43" s="168">
        <v>500</v>
      </c>
      <c r="E43" s="163"/>
      <c r="F43" s="163"/>
      <c r="G43" s="163"/>
      <c r="H43" s="163"/>
      <c r="I43" s="164"/>
    </row>
    <row r="44" spans="1:9" s="67" customFormat="1" ht="15.6" hidden="1" x14ac:dyDescent="0.3">
      <c r="A44" s="190" t="s">
        <v>324</v>
      </c>
      <c r="B44" s="168">
        <f>B39-B43</f>
        <v>4500</v>
      </c>
      <c r="E44" s="163"/>
      <c r="F44" s="163"/>
      <c r="G44" s="163"/>
      <c r="H44" s="163"/>
      <c r="I44" s="164"/>
    </row>
    <row r="45" spans="1:9" s="67" customFormat="1" ht="16.2" hidden="1" thickBot="1" x14ac:dyDescent="0.35">
      <c r="A45" s="190" t="s">
        <v>318</v>
      </c>
      <c r="B45" s="169">
        <f>1/B42</f>
        <v>0.05</v>
      </c>
      <c r="E45" s="163"/>
      <c r="F45" s="163"/>
      <c r="G45" s="163"/>
      <c r="H45" s="163"/>
      <c r="I45" s="164"/>
    </row>
    <row r="46" spans="1:9" s="67" customFormat="1" ht="18.600000000000001" hidden="1" thickBot="1" x14ac:dyDescent="0.35">
      <c r="A46" s="190" t="s">
        <v>317</v>
      </c>
      <c r="B46" s="172">
        <f>(B39-B43)/B42</f>
        <v>225</v>
      </c>
      <c r="D46" s="177">
        <f>B46</f>
        <v>225</v>
      </c>
      <c r="E46" s="177">
        <f>D46</f>
        <v>225</v>
      </c>
      <c r="F46" s="177">
        <f t="shared" ref="F46:H46" si="28">E46</f>
        <v>225</v>
      </c>
      <c r="G46" s="177">
        <f t="shared" si="28"/>
        <v>225</v>
      </c>
      <c r="H46" s="177">
        <f t="shared" si="28"/>
        <v>225</v>
      </c>
      <c r="I46" s="178">
        <f>SUM(D46:H46)</f>
        <v>1125</v>
      </c>
    </row>
    <row r="47" spans="1:9" s="67" customFormat="1" ht="26.4" hidden="1" thickBot="1" x14ac:dyDescent="0.35">
      <c r="A47" s="170" t="s">
        <v>313</v>
      </c>
      <c r="B47" s="168"/>
      <c r="C47" s="61" t="s">
        <v>6</v>
      </c>
      <c r="D47" s="62" t="s">
        <v>1</v>
      </c>
      <c r="E47" s="62" t="s">
        <v>2</v>
      </c>
      <c r="F47" s="62" t="s">
        <v>3</v>
      </c>
      <c r="G47" s="62" t="s">
        <v>4</v>
      </c>
      <c r="H47" s="62" t="s">
        <v>5</v>
      </c>
      <c r="I47" s="164"/>
    </row>
    <row r="48" spans="1:9" s="67" customFormat="1" ht="15.6" hidden="1" x14ac:dyDescent="0.3">
      <c r="A48" s="190" t="s">
        <v>306</v>
      </c>
      <c r="B48" s="183">
        <f>D5</f>
        <v>2000</v>
      </c>
      <c r="D48" s="177">
        <f>B48</f>
        <v>2000</v>
      </c>
      <c r="E48" s="177">
        <f>D48-E54</f>
        <v>1200</v>
      </c>
      <c r="F48" s="177">
        <f>E48-F54</f>
        <v>720</v>
      </c>
      <c r="G48" s="177">
        <f>F48-G54</f>
        <v>432</v>
      </c>
      <c r="H48" s="177">
        <f>G48-H54</f>
        <v>259.2</v>
      </c>
      <c r="I48" s="164"/>
    </row>
    <row r="49" spans="1:15" s="67" customFormat="1" ht="15.6" hidden="1" x14ac:dyDescent="0.3">
      <c r="A49" s="190" t="s">
        <v>309</v>
      </c>
      <c r="B49" s="183" t="s">
        <v>2</v>
      </c>
      <c r="E49" s="163"/>
      <c r="F49" s="163"/>
      <c r="G49" s="163"/>
      <c r="H49" s="163"/>
      <c r="I49" s="164"/>
    </row>
    <row r="50" spans="1:15" s="67" customFormat="1" ht="42.6" hidden="1" customHeight="1" x14ac:dyDescent="0.3">
      <c r="A50" s="190" t="s">
        <v>305</v>
      </c>
      <c r="B50" s="167" t="s">
        <v>312</v>
      </c>
      <c r="C50" s="282" t="s">
        <v>333</v>
      </c>
      <c r="D50" s="282"/>
      <c r="E50" s="282"/>
      <c r="F50" s="282"/>
      <c r="G50" s="282"/>
      <c r="H50" s="282"/>
      <c r="I50" s="283" t="s">
        <v>343</v>
      </c>
      <c r="J50" s="283"/>
      <c r="K50" s="283"/>
      <c r="L50" s="283"/>
      <c r="M50" s="283"/>
      <c r="N50" s="283"/>
      <c r="O50" s="283"/>
    </row>
    <row r="51" spans="1:15" s="67" customFormat="1" ht="30.6" hidden="1" customHeight="1" x14ac:dyDescent="0.3">
      <c r="A51" s="190" t="s">
        <v>310</v>
      </c>
      <c r="B51" s="183">
        <v>5</v>
      </c>
      <c r="E51" s="163"/>
      <c r="F51" s="163"/>
      <c r="G51" s="163"/>
      <c r="H51" s="163"/>
      <c r="I51" s="284" t="s">
        <v>342</v>
      </c>
      <c r="J51" s="284"/>
      <c r="K51" s="284"/>
      <c r="L51" s="284"/>
      <c r="M51" s="284"/>
      <c r="N51" s="284"/>
      <c r="O51" s="284"/>
    </row>
    <row r="52" spans="1:15" s="67" customFormat="1" ht="15.6" hidden="1" x14ac:dyDescent="0.3">
      <c r="A52" s="190" t="s">
        <v>307</v>
      </c>
      <c r="B52" s="183">
        <v>200</v>
      </c>
      <c r="E52" s="163"/>
      <c r="F52" s="163"/>
      <c r="G52" s="163"/>
      <c r="H52" s="163"/>
      <c r="I52"/>
    </row>
    <row r="53" spans="1:15" s="67" customFormat="1" ht="16.2" hidden="1" thickBot="1" x14ac:dyDescent="0.35">
      <c r="A53" s="190" t="s">
        <v>324</v>
      </c>
      <c r="B53" s="183">
        <f>B48-B52</f>
        <v>1800</v>
      </c>
      <c r="E53" s="163"/>
      <c r="F53" s="163"/>
      <c r="G53" s="163"/>
      <c r="H53" s="163"/>
      <c r="I53" s="164"/>
    </row>
    <row r="54" spans="1:15" s="67" customFormat="1" ht="41.4" hidden="1" customHeight="1" thickBot="1" x14ac:dyDescent="0.35">
      <c r="A54" s="191" t="s">
        <v>320</v>
      </c>
      <c r="B54" s="184">
        <f>2*1/B51</f>
        <v>0.4</v>
      </c>
      <c r="E54" s="177">
        <f>$B$54*B48</f>
        <v>800</v>
      </c>
      <c r="F54" s="177">
        <f>$B$54*E48</f>
        <v>480</v>
      </c>
      <c r="G54" s="177">
        <f>$B$54*F48</f>
        <v>288</v>
      </c>
      <c r="H54" s="177">
        <f>$B$54*G48</f>
        <v>172.8</v>
      </c>
      <c r="I54" s="178">
        <f>H48-B52</f>
        <v>59.199999999999989</v>
      </c>
      <c r="J54" s="280" t="s">
        <v>321</v>
      </c>
      <c r="K54" s="281"/>
      <c r="L54" s="281"/>
    </row>
    <row r="55" spans="1:15" s="67" customFormat="1" ht="28.2" hidden="1" customHeight="1" thickBot="1" x14ac:dyDescent="0.35">
      <c r="A55" s="190" t="s">
        <v>323</v>
      </c>
      <c r="B55" s="173">
        <f>1-(B52/B48)^(1/B51)</f>
        <v>0.36904265551980675</v>
      </c>
      <c r="E55" s="175">
        <f>(B48-B52)/B51</f>
        <v>360</v>
      </c>
      <c r="F55" s="175">
        <f>E55</f>
        <v>360</v>
      </c>
      <c r="G55" s="175">
        <f t="shared" ref="G55:H55" si="29">F55</f>
        <v>360</v>
      </c>
      <c r="H55" s="175">
        <f t="shared" si="29"/>
        <v>360</v>
      </c>
      <c r="I55" s="176">
        <f>H55</f>
        <v>360</v>
      </c>
      <c r="J55" s="280" t="s">
        <v>322</v>
      </c>
      <c r="K55" s="281"/>
      <c r="L55" s="281"/>
    </row>
    <row r="56" spans="1:15" s="67" customFormat="1" ht="26.4" hidden="1" thickBot="1" x14ac:dyDescent="0.35">
      <c r="A56" s="170" t="s">
        <v>308</v>
      </c>
      <c r="B56" s="168"/>
      <c r="C56" s="61" t="s">
        <v>6</v>
      </c>
      <c r="D56" s="62" t="s">
        <v>1</v>
      </c>
      <c r="E56" s="62" t="s">
        <v>2</v>
      </c>
      <c r="F56" s="62" t="s">
        <v>3</v>
      </c>
      <c r="G56" s="62" t="s">
        <v>4</v>
      </c>
      <c r="H56" s="62" t="s">
        <v>5</v>
      </c>
    </row>
    <row r="57" spans="1:15" s="67" customFormat="1" ht="15.6" hidden="1" x14ac:dyDescent="0.3">
      <c r="A57" s="190" t="s">
        <v>306</v>
      </c>
      <c r="B57" s="183">
        <v>1000</v>
      </c>
      <c r="E57" s="183">
        <f>B57</f>
        <v>1000</v>
      </c>
      <c r="F57" s="183">
        <f>E57-F65</f>
        <v>666.66666666666674</v>
      </c>
      <c r="G57" s="183">
        <f t="shared" ref="G57:J57" si="30">F57-G65</f>
        <v>400.00000000000006</v>
      </c>
      <c r="H57" s="183">
        <f t="shared" si="30"/>
        <v>200.00000000000006</v>
      </c>
      <c r="I57" s="183">
        <f>H57-I65</f>
        <v>66.666666666666714</v>
      </c>
      <c r="J57" s="183">
        <f t="shared" si="30"/>
        <v>0</v>
      </c>
    </row>
    <row r="58" spans="1:15" s="67" customFormat="1" ht="15.6" hidden="1" x14ac:dyDescent="0.3">
      <c r="A58" s="190" t="s">
        <v>309</v>
      </c>
      <c r="B58" s="183" t="s">
        <v>3</v>
      </c>
      <c r="E58" s="163"/>
      <c r="F58" s="163"/>
      <c r="G58" s="163"/>
      <c r="H58" s="163"/>
      <c r="I58" s="164"/>
    </row>
    <row r="59" spans="1:15" s="67" customFormat="1" ht="28.8" hidden="1" x14ac:dyDescent="0.3">
      <c r="A59" s="190" t="s">
        <v>326</v>
      </c>
      <c r="B59" s="167" t="s">
        <v>314</v>
      </c>
      <c r="E59" s="282" t="s">
        <v>334</v>
      </c>
      <c r="F59" s="282"/>
      <c r="G59" s="282"/>
      <c r="H59" s="282"/>
      <c r="I59" s="282"/>
      <c r="J59" s="282"/>
    </row>
    <row r="60" spans="1:15" s="67" customFormat="1" ht="15.6" hidden="1" x14ac:dyDescent="0.3">
      <c r="A60" s="190" t="s">
        <v>310</v>
      </c>
      <c r="B60" s="183">
        <v>5</v>
      </c>
    </row>
    <row r="61" spans="1:15" s="67" customFormat="1" ht="15.6" hidden="1" x14ac:dyDescent="0.3">
      <c r="A61" s="190" t="s">
        <v>307</v>
      </c>
      <c r="B61" s="183">
        <v>0</v>
      </c>
      <c r="E61" s="163"/>
      <c r="F61" s="163"/>
      <c r="G61" s="163"/>
      <c r="H61" s="163"/>
      <c r="I61" s="164"/>
    </row>
    <row r="62" spans="1:15" s="67" customFormat="1" ht="15.6" hidden="1" x14ac:dyDescent="0.3">
      <c r="A62" s="190" t="s">
        <v>325</v>
      </c>
      <c r="B62" s="183">
        <f>B57-B61</f>
        <v>1000</v>
      </c>
      <c r="E62" s="163"/>
      <c r="F62" s="163"/>
      <c r="G62" s="163"/>
      <c r="H62" s="163"/>
      <c r="I62" s="164"/>
    </row>
    <row r="63" spans="1:15" s="67" customFormat="1" ht="15.6" hidden="1" x14ac:dyDescent="0.3">
      <c r="A63" s="190" t="s">
        <v>244</v>
      </c>
      <c r="B63" s="183" t="s">
        <v>328</v>
      </c>
      <c r="E63" s="163"/>
      <c r="F63" s="183">
        <v>1</v>
      </c>
      <c r="G63" s="183">
        <v>2</v>
      </c>
      <c r="H63" s="183">
        <v>3</v>
      </c>
      <c r="I63" s="183">
        <v>4</v>
      </c>
      <c r="J63" s="183">
        <v>5</v>
      </c>
    </row>
    <row r="64" spans="1:15" s="67" customFormat="1" ht="16.2" hidden="1" thickBot="1" x14ac:dyDescent="0.35">
      <c r="A64" s="190" t="s">
        <v>327</v>
      </c>
      <c r="B64" s="183" t="s">
        <v>329</v>
      </c>
      <c r="E64" s="163"/>
      <c r="F64" s="189">
        <f>($J$63-F63+1)/(($J$63^2+$J$63)/2)</f>
        <v>0.33333333333333331</v>
      </c>
      <c r="G64" s="189">
        <f t="shared" ref="G64:J64" si="31">($J$63-G63+1)/(($J$63^2+$J$63)/2)</f>
        <v>0.26666666666666666</v>
      </c>
      <c r="H64" s="189">
        <f t="shared" si="31"/>
        <v>0.2</v>
      </c>
      <c r="I64" s="189">
        <f t="shared" si="31"/>
        <v>0.13333333333333333</v>
      </c>
      <c r="J64" s="189">
        <f t="shared" si="31"/>
        <v>6.6666666666666666E-2</v>
      </c>
    </row>
    <row r="65" spans="1:10" s="67" customFormat="1" ht="16.2" hidden="1" thickBot="1" x14ac:dyDescent="0.35">
      <c r="A65" s="190" t="s">
        <v>331</v>
      </c>
      <c r="B65" s="179" t="s">
        <v>330</v>
      </c>
      <c r="C65" s="180"/>
      <c r="E65" s="163"/>
      <c r="F65" s="177">
        <f>$B$62*F64</f>
        <v>333.33333333333331</v>
      </c>
      <c r="G65" s="177">
        <f t="shared" ref="G65:J65" si="32">$B$62*G64</f>
        <v>266.66666666666669</v>
      </c>
      <c r="H65" s="177">
        <f t="shared" si="32"/>
        <v>200</v>
      </c>
      <c r="I65" s="177">
        <f t="shared" si="32"/>
        <v>133.33333333333334</v>
      </c>
      <c r="J65" s="177">
        <f t="shared" si="32"/>
        <v>66.666666666666671</v>
      </c>
    </row>
    <row r="66" spans="1:10" s="67" customFormat="1" ht="26.4" hidden="1" thickBot="1" x14ac:dyDescent="0.35">
      <c r="A66" s="170" t="s">
        <v>315</v>
      </c>
      <c r="B66" s="168"/>
      <c r="C66" s="61" t="s">
        <v>6</v>
      </c>
      <c r="D66" s="62" t="s">
        <v>1</v>
      </c>
      <c r="E66" s="62" t="s">
        <v>2</v>
      </c>
      <c r="F66" s="62" t="s">
        <v>3</v>
      </c>
      <c r="G66" s="62" t="s">
        <v>4</v>
      </c>
      <c r="H66" s="62" t="s">
        <v>5</v>
      </c>
    </row>
    <row r="67" spans="1:10" s="67" customFormat="1" ht="16.2" hidden="1" thickBot="1" x14ac:dyDescent="0.35">
      <c r="A67" s="190" t="s">
        <v>306</v>
      </c>
      <c r="B67" s="183">
        <v>4000</v>
      </c>
      <c r="E67" s="183">
        <f>B67</f>
        <v>4000</v>
      </c>
      <c r="F67" s="183">
        <f>E67-F75</f>
        <v>3437.4999550000002</v>
      </c>
      <c r="G67" s="183">
        <f t="shared" ref="G67:H67" si="33">F67-G75</f>
        <v>2762.4999010000001</v>
      </c>
      <c r="H67" s="183">
        <f t="shared" si="33"/>
        <v>1974.9996129999822</v>
      </c>
      <c r="I67" s="185">
        <f>I75</f>
        <v>900</v>
      </c>
      <c r="J67" s="183"/>
    </row>
    <row r="68" spans="1:10" s="67" customFormat="1" ht="15.6" hidden="1" x14ac:dyDescent="0.3">
      <c r="A68" s="190" t="s">
        <v>309</v>
      </c>
      <c r="B68" s="183" t="s">
        <v>3</v>
      </c>
      <c r="E68" s="163"/>
      <c r="F68" s="163"/>
      <c r="G68" s="163"/>
      <c r="H68" s="163"/>
      <c r="I68" s="164"/>
    </row>
    <row r="69" spans="1:10" s="67" customFormat="1" ht="43.2" hidden="1" x14ac:dyDescent="0.3">
      <c r="A69" s="190" t="s">
        <v>305</v>
      </c>
      <c r="B69" s="167" t="s">
        <v>316</v>
      </c>
      <c r="C69" s="282" t="s">
        <v>338</v>
      </c>
      <c r="D69" s="282"/>
      <c r="E69" s="282"/>
      <c r="F69" s="282"/>
      <c r="G69" s="282"/>
      <c r="H69" s="282"/>
    </row>
    <row r="70" spans="1:10" s="67" customFormat="1" ht="15.6" hidden="1" x14ac:dyDescent="0.3">
      <c r="A70" s="190" t="s">
        <v>332</v>
      </c>
      <c r="B70" s="183">
        <v>800</v>
      </c>
    </row>
    <row r="71" spans="1:10" s="67" customFormat="1" ht="15.6" hidden="1" x14ac:dyDescent="0.3">
      <c r="A71" s="190" t="s">
        <v>307</v>
      </c>
      <c r="B71" s="183">
        <v>400</v>
      </c>
      <c r="E71" s="163"/>
      <c r="F71" s="163"/>
      <c r="G71" s="163"/>
      <c r="H71" s="163"/>
      <c r="I71" s="164"/>
    </row>
    <row r="72" spans="1:10" s="67" customFormat="1" ht="15.6" hidden="1" x14ac:dyDescent="0.3">
      <c r="A72" s="190" t="s">
        <v>324</v>
      </c>
      <c r="B72" s="183">
        <f>B67-B71</f>
        <v>3600</v>
      </c>
      <c r="E72" s="163"/>
      <c r="F72" s="163"/>
      <c r="G72" s="163"/>
      <c r="H72" s="163"/>
      <c r="I72" s="164"/>
    </row>
    <row r="73" spans="1:10" s="67" customFormat="1" ht="15.6" hidden="1" x14ac:dyDescent="0.3">
      <c r="A73" s="190" t="s">
        <v>335</v>
      </c>
      <c r="B73" s="183"/>
      <c r="C73" s="177"/>
      <c r="D73" s="177"/>
      <c r="E73" s="187"/>
      <c r="F73" s="177">
        <f>F7</f>
        <v>125.00001</v>
      </c>
      <c r="G73" s="177">
        <f>G7</f>
        <v>150.000012</v>
      </c>
      <c r="H73" s="177">
        <f>H7</f>
        <v>175.00006400000399</v>
      </c>
      <c r="I73" s="177">
        <v>200</v>
      </c>
    </row>
    <row r="74" spans="1:10" s="67" customFormat="1" ht="16.2" hidden="1" thickBot="1" x14ac:dyDescent="0.35">
      <c r="A74" s="30" t="s">
        <v>43</v>
      </c>
      <c r="B74" s="30"/>
      <c r="C74" s="30">
        <f>C40</f>
        <v>0</v>
      </c>
      <c r="D74" s="30">
        <f>D7</f>
        <v>75</v>
      </c>
      <c r="E74" s="30">
        <f>E7+D74</f>
        <v>105</v>
      </c>
      <c r="F74" s="30">
        <f>F7+E74</f>
        <v>230.00001</v>
      </c>
      <c r="G74" s="30">
        <f>G7+F74</f>
        <v>380.000022</v>
      </c>
      <c r="H74" s="30">
        <f>H7+G74</f>
        <v>555.00008600000399</v>
      </c>
      <c r="I74" s="177">
        <f>H74+I73</f>
        <v>755.00008600000399</v>
      </c>
    </row>
    <row r="75" spans="1:10" s="67" customFormat="1" ht="16.2" hidden="1" thickBot="1" x14ac:dyDescent="0.35">
      <c r="A75" s="190" t="s">
        <v>317</v>
      </c>
      <c r="B75" s="183"/>
      <c r="C75" s="177"/>
      <c r="D75" s="177"/>
      <c r="E75" s="187"/>
      <c r="F75" s="177">
        <f>IF(F74&lt;$B$70,$B$72*F73/$B$70,"write-off")</f>
        <v>562.500045</v>
      </c>
      <c r="G75" s="177">
        <f t="shared" ref="G75:I75" si="34">IF(G74&lt;$B$70,$B$72*G73/$B$70,"write-off")</f>
        <v>675.00005399999998</v>
      </c>
      <c r="H75" s="177">
        <f t="shared" si="34"/>
        <v>787.50028800001792</v>
      </c>
      <c r="I75" s="188">
        <f t="shared" si="34"/>
        <v>900</v>
      </c>
      <c r="J75" s="171"/>
    </row>
    <row r="76" spans="1:10" s="67" customFormat="1" ht="52.2" hidden="1" thickBot="1" x14ac:dyDescent="0.35">
      <c r="A76" s="192" t="s">
        <v>336</v>
      </c>
      <c r="C76" s="61" t="s">
        <v>6</v>
      </c>
      <c r="D76" s="62" t="s">
        <v>1</v>
      </c>
      <c r="E76" s="62" t="s">
        <v>2</v>
      </c>
      <c r="F76" s="62" t="s">
        <v>3</v>
      </c>
      <c r="G76" s="62" t="s">
        <v>4</v>
      </c>
      <c r="H76" s="62" t="s">
        <v>5</v>
      </c>
      <c r="I76" s="63" t="s">
        <v>11</v>
      </c>
    </row>
    <row r="77" spans="1:10" s="67" customFormat="1" ht="18" hidden="1" x14ac:dyDescent="0.3">
      <c r="A77" s="165" t="s">
        <v>337</v>
      </c>
      <c r="B77" s="168"/>
      <c r="C77" s="80">
        <f>SUM(C79:C82)</f>
        <v>5000</v>
      </c>
      <c r="D77" s="80">
        <f t="shared" ref="D77:H77" si="35">SUM(D79:D82)</f>
        <v>6775</v>
      </c>
      <c r="E77" s="80">
        <f t="shared" si="35"/>
        <v>10750</v>
      </c>
      <c r="F77" s="80">
        <f t="shared" si="35"/>
        <v>9149.1666216666672</v>
      </c>
      <c r="G77" s="80">
        <f t="shared" si="35"/>
        <v>7694.4999010000001</v>
      </c>
      <c r="H77" s="80">
        <f t="shared" si="35"/>
        <v>6309.1996129999825</v>
      </c>
      <c r="I77" s="164"/>
    </row>
    <row r="78" spans="1:10" s="67" customFormat="1" hidden="1" x14ac:dyDescent="0.3">
      <c r="A78" s="166" t="s">
        <v>340</v>
      </c>
      <c r="B78" s="168"/>
      <c r="E78" s="163"/>
      <c r="F78" s="163"/>
      <c r="G78" s="163"/>
      <c r="H78" s="163"/>
      <c r="I78" s="164"/>
    </row>
    <row r="79" spans="1:10" s="67" customFormat="1" ht="15.6" hidden="1" x14ac:dyDescent="0.3">
      <c r="A79" s="190" t="s">
        <v>304</v>
      </c>
      <c r="B79" s="168"/>
      <c r="C79" s="183">
        <f>C39</f>
        <v>5000</v>
      </c>
      <c r="D79" s="183">
        <f t="shared" ref="D79:H79" si="36">D39</f>
        <v>4775</v>
      </c>
      <c r="E79" s="183">
        <f t="shared" si="36"/>
        <v>4550</v>
      </c>
      <c r="F79" s="183">
        <f t="shared" si="36"/>
        <v>4325</v>
      </c>
      <c r="G79" s="183">
        <f t="shared" si="36"/>
        <v>4100</v>
      </c>
      <c r="H79" s="183">
        <f t="shared" si="36"/>
        <v>3875</v>
      </c>
      <c r="I79" s="164"/>
    </row>
    <row r="80" spans="1:10" s="67" customFormat="1" ht="15.6" hidden="1" x14ac:dyDescent="0.3">
      <c r="A80" s="190" t="s">
        <v>313</v>
      </c>
      <c r="B80" s="168"/>
      <c r="C80" s="183">
        <f>C48</f>
        <v>0</v>
      </c>
      <c r="D80" s="183">
        <f t="shared" ref="D80:H80" si="37">D48</f>
        <v>2000</v>
      </c>
      <c r="E80" s="183">
        <f t="shared" si="37"/>
        <v>1200</v>
      </c>
      <c r="F80" s="183">
        <f t="shared" si="37"/>
        <v>720</v>
      </c>
      <c r="G80" s="183">
        <f t="shared" si="37"/>
        <v>432</v>
      </c>
      <c r="H80" s="183">
        <f t="shared" si="37"/>
        <v>259.2</v>
      </c>
      <c r="I80" s="164"/>
    </row>
    <row r="81" spans="1:9" s="67" customFormat="1" ht="15.6" hidden="1" x14ac:dyDescent="0.3">
      <c r="A81" s="190" t="s">
        <v>308</v>
      </c>
      <c r="B81" s="168"/>
      <c r="C81" s="183">
        <f>C57</f>
        <v>0</v>
      </c>
      <c r="D81" s="183">
        <f t="shared" ref="D81:H81" si="38">D57</f>
        <v>0</v>
      </c>
      <c r="E81" s="183">
        <f t="shared" si="38"/>
        <v>1000</v>
      </c>
      <c r="F81" s="183">
        <f t="shared" si="38"/>
        <v>666.66666666666674</v>
      </c>
      <c r="G81" s="183">
        <f t="shared" si="38"/>
        <v>400.00000000000006</v>
      </c>
      <c r="H81" s="183">
        <f t="shared" si="38"/>
        <v>200.00000000000006</v>
      </c>
      <c r="I81" s="164"/>
    </row>
    <row r="82" spans="1:9" s="67" customFormat="1" ht="16.2" hidden="1" thickBot="1" x14ac:dyDescent="0.35">
      <c r="A82" s="190" t="s">
        <v>315</v>
      </c>
      <c r="B82" s="168"/>
      <c r="C82" s="183">
        <f>C67</f>
        <v>0</v>
      </c>
      <c r="D82" s="183">
        <f t="shared" ref="D82:H82" si="39">D67</f>
        <v>0</v>
      </c>
      <c r="E82" s="183">
        <f t="shared" si="39"/>
        <v>4000</v>
      </c>
      <c r="F82" s="183">
        <f t="shared" si="39"/>
        <v>3437.4999550000002</v>
      </c>
      <c r="G82" s="183">
        <f t="shared" si="39"/>
        <v>2762.4999010000001</v>
      </c>
      <c r="H82" s="183">
        <f t="shared" si="39"/>
        <v>1974.9996129999822</v>
      </c>
      <c r="I82" s="164"/>
    </row>
    <row r="83" spans="1:9" s="67" customFormat="1" ht="18.600000000000001" hidden="1" thickBot="1" x14ac:dyDescent="0.35">
      <c r="A83" s="165" t="s">
        <v>341</v>
      </c>
      <c r="B83" s="168"/>
      <c r="C83" s="80">
        <f>SUM(C85:C88)</f>
        <v>0</v>
      </c>
      <c r="D83" s="80">
        <f t="shared" ref="D83:H83" si="40">SUM(D85:D88)</f>
        <v>225</v>
      </c>
      <c r="E83" s="80">
        <f t="shared" si="40"/>
        <v>1025</v>
      </c>
      <c r="F83" s="80">
        <f t="shared" si="40"/>
        <v>1600.8333783333333</v>
      </c>
      <c r="G83" s="80">
        <f t="shared" si="40"/>
        <v>1454.6667206666666</v>
      </c>
      <c r="H83" s="80">
        <f t="shared" si="40"/>
        <v>1385.3002880000179</v>
      </c>
      <c r="I83" s="193">
        <f>SUM(C83:H83)</f>
        <v>5690.8003870000175</v>
      </c>
    </row>
    <row r="84" spans="1:9" s="67" customFormat="1" hidden="1" x14ac:dyDescent="0.3">
      <c r="A84" s="166" t="s">
        <v>340</v>
      </c>
      <c r="B84" s="168"/>
      <c r="E84" s="163"/>
      <c r="F84" s="163"/>
      <c r="G84" s="163"/>
      <c r="H84" s="163"/>
      <c r="I84" s="164"/>
    </row>
    <row r="85" spans="1:9" s="67" customFormat="1" ht="15.6" hidden="1" x14ac:dyDescent="0.3">
      <c r="A85" s="190" t="s">
        <v>304</v>
      </c>
      <c r="B85" s="168"/>
      <c r="C85" s="183">
        <f t="shared" ref="C85:H85" si="41">C46</f>
        <v>0</v>
      </c>
      <c r="D85" s="183">
        <f t="shared" si="41"/>
        <v>225</v>
      </c>
      <c r="E85" s="183">
        <f t="shared" si="41"/>
        <v>225</v>
      </c>
      <c r="F85" s="183">
        <f t="shared" si="41"/>
        <v>225</v>
      </c>
      <c r="G85" s="183">
        <f t="shared" si="41"/>
        <v>225</v>
      </c>
      <c r="H85" s="183">
        <f t="shared" si="41"/>
        <v>225</v>
      </c>
      <c r="I85" s="164"/>
    </row>
    <row r="86" spans="1:9" s="67" customFormat="1" ht="15.6" hidden="1" x14ac:dyDescent="0.3">
      <c r="A86" s="190" t="s">
        <v>313</v>
      </c>
      <c r="B86" s="168"/>
      <c r="C86" s="183">
        <f t="shared" ref="C86:H86" si="42">C54</f>
        <v>0</v>
      </c>
      <c r="D86" s="183">
        <f t="shared" si="42"/>
        <v>0</v>
      </c>
      <c r="E86" s="183">
        <f t="shared" si="42"/>
        <v>800</v>
      </c>
      <c r="F86" s="183">
        <f t="shared" si="42"/>
        <v>480</v>
      </c>
      <c r="G86" s="183">
        <f t="shared" si="42"/>
        <v>288</v>
      </c>
      <c r="H86" s="183">
        <f t="shared" si="42"/>
        <v>172.8</v>
      </c>
      <c r="I86" s="164"/>
    </row>
    <row r="87" spans="1:9" s="67" customFormat="1" ht="15.6" hidden="1" x14ac:dyDescent="0.3">
      <c r="A87" s="190" t="s">
        <v>308</v>
      </c>
      <c r="B87" s="168"/>
      <c r="C87" s="183">
        <f t="shared" ref="C87:H87" si="43">C65</f>
        <v>0</v>
      </c>
      <c r="D87" s="183">
        <f t="shared" si="43"/>
        <v>0</v>
      </c>
      <c r="E87" s="183">
        <f t="shared" si="43"/>
        <v>0</v>
      </c>
      <c r="F87" s="183">
        <f t="shared" si="43"/>
        <v>333.33333333333331</v>
      </c>
      <c r="G87" s="183">
        <f t="shared" si="43"/>
        <v>266.66666666666669</v>
      </c>
      <c r="H87" s="183">
        <f t="shared" si="43"/>
        <v>200</v>
      </c>
      <c r="I87" s="164"/>
    </row>
    <row r="88" spans="1:9" s="67" customFormat="1" ht="16.2" hidden="1" thickBot="1" x14ac:dyDescent="0.35">
      <c r="A88" s="190" t="s">
        <v>315</v>
      </c>
      <c r="B88" s="168"/>
      <c r="C88" s="183">
        <f t="shared" ref="C88:H88" si="44">C75</f>
        <v>0</v>
      </c>
      <c r="D88" s="183">
        <f t="shared" si="44"/>
        <v>0</v>
      </c>
      <c r="E88" s="183">
        <f t="shared" si="44"/>
        <v>0</v>
      </c>
      <c r="F88" s="183">
        <f t="shared" si="44"/>
        <v>562.500045</v>
      </c>
      <c r="G88" s="183">
        <f t="shared" si="44"/>
        <v>675.00005399999998</v>
      </c>
      <c r="H88" s="183">
        <f t="shared" si="44"/>
        <v>787.50028800001792</v>
      </c>
      <c r="I88" s="164"/>
    </row>
    <row r="89" spans="1:9" s="67" customFormat="1" ht="36.6" hidden="1" thickBot="1" x14ac:dyDescent="0.35">
      <c r="A89" s="182" t="s">
        <v>385</v>
      </c>
      <c r="C89" s="61" t="s">
        <v>6</v>
      </c>
      <c r="D89" s="62" t="s">
        <v>1</v>
      </c>
      <c r="E89" s="62" t="s">
        <v>2</v>
      </c>
      <c r="F89" s="62" t="s">
        <v>3</v>
      </c>
      <c r="G89" s="62" t="s">
        <v>4</v>
      </c>
      <c r="H89" s="62" t="s">
        <v>5</v>
      </c>
      <c r="I89" s="63" t="s">
        <v>11</v>
      </c>
    </row>
    <row r="90" spans="1:9" s="67" customFormat="1" ht="21.6" hidden="1" thickBot="1" x14ac:dyDescent="0.35">
      <c r="A90" s="170" t="s">
        <v>347</v>
      </c>
      <c r="B90" s="168"/>
      <c r="E90" s="163"/>
      <c r="F90" s="163"/>
      <c r="G90" s="163"/>
      <c r="H90" s="163"/>
      <c r="I90" s="164"/>
    </row>
    <row r="91" spans="1:9" s="67" customFormat="1" ht="15.6" hidden="1" x14ac:dyDescent="0.3">
      <c r="A91" s="190" t="s">
        <v>344</v>
      </c>
      <c r="B91" s="168"/>
      <c r="C91" s="183">
        <f t="shared" ref="C91:H91" si="45">C7</f>
        <v>0</v>
      </c>
      <c r="D91" s="183">
        <f t="shared" si="45"/>
        <v>75</v>
      </c>
      <c r="E91" s="183">
        <f t="shared" si="45"/>
        <v>30</v>
      </c>
      <c r="F91" s="183">
        <f t="shared" si="45"/>
        <v>125.00001</v>
      </c>
      <c r="G91" s="183">
        <f t="shared" si="45"/>
        <v>150.000012</v>
      </c>
      <c r="H91" s="183">
        <f t="shared" si="45"/>
        <v>175.00006400000399</v>
      </c>
      <c r="I91" s="194">
        <f>SUM(C91:H91)</f>
        <v>555.00008600000399</v>
      </c>
    </row>
    <row r="92" spans="1:9" s="67" customFormat="1" ht="15.6" hidden="1" x14ac:dyDescent="0.3">
      <c r="A92" s="190" t="s">
        <v>345</v>
      </c>
      <c r="B92" s="168"/>
      <c r="C92" s="195">
        <f>C91/365</f>
        <v>0</v>
      </c>
      <c r="D92" s="195">
        <f t="shared" ref="D92:H92" si="46">D91/365</f>
        <v>0.20547945205479451</v>
      </c>
      <c r="E92" s="195">
        <f t="shared" si="46"/>
        <v>8.2191780821917804E-2</v>
      </c>
      <c r="F92" s="195">
        <f t="shared" si="46"/>
        <v>0.34246578082191781</v>
      </c>
      <c r="G92" s="195">
        <f t="shared" si="46"/>
        <v>0.41095893698630137</v>
      </c>
      <c r="H92" s="195">
        <f t="shared" si="46"/>
        <v>0.47945223013699723</v>
      </c>
      <c r="I92" s="164"/>
    </row>
    <row r="93" spans="1:9" s="67" customFormat="1" ht="15.6" hidden="1" x14ac:dyDescent="0.3">
      <c r="A93" s="190" t="s">
        <v>355</v>
      </c>
      <c r="B93" s="168"/>
      <c r="C93" s="197">
        <f>C92*12</f>
        <v>0</v>
      </c>
      <c r="D93" s="198">
        <f t="shared" ref="D93:H93" si="47">D92*12</f>
        <v>2.4657534246575343</v>
      </c>
      <c r="E93" s="198">
        <f t="shared" si="47"/>
        <v>0.98630136986301364</v>
      </c>
      <c r="F93" s="198">
        <f t="shared" si="47"/>
        <v>4.1095893698630137</v>
      </c>
      <c r="G93" s="198">
        <f t="shared" si="47"/>
        <v>4.9315072438356164</v>
      </c>
      <c r="H93" s="198">
        <f t="shared" si="47"/>
        <v>5.7534267616439667</v>
      </c>
      <c r="I93" s="164"/>
    </row>
    <row r="94" spans="1:9" s="67" customFormat="1" ht="31.2" hidden="1" x14ac:dyDescent="0.3">
      <c r="A94" s="191" t="s">
        <v>352</v>
      </c>
      <c r="B94" s="168"/>
      <c r="C94" s="197">
        <f t="shared" ref="C94:H94" si="48">C16</f>
        <v>0</v>
      </c>
      <c r="D94" s="197">
        <f t="shared" si="48"/>
        <v>136.66666666666666</v>
      </c>
      <c r="E94" s="197">
        <f t="shared" si="48"/>
        <v>217.7</v>
      </c>
      <c r="F94" s="197">
        <f t="shared" si="48"/>
        <v>150.20199938180014</v>
      </c>
      <c r="G94" s="197">
        <f t="shared" si="48"/>
        <v>153.25980895735211</v>
      </c>
      <c r="H94" s="197">
        <f t="shared" si="48"/>
        <v>156.83313218343795</v>
      </c>
      <c r="I94" s="164"/>
    </row>
    <row r="95" spans="1:9" s="67" customFormat="1" ht="16.2" hidden="1" thickBot="1" x14ac:dyDescent="0.35">
      <c r="A95" s="190" t="s">
        <v>394</v>
      </c>
      <c r="B95" s="168"/>
      <c r="C95" s="197">
        <f>C94*C93</f>
        <v>0</v>
      </c>
      <c r="D95" s="197">
        <f t="shared" ref="D95:H95" si="49">D94*D93</f>
        <v>336.98630136986299</v>
      </c>
      <c r="E95" s="197">
        <f t="shared" si="49"/>
        <v>214.71780821917807</v>
      </c>
      <c r="F95" s="197">
        <f t="shared" si="49"/>
        <v>617.26853999161676</v>
      </c>
      <c r="G95" s="197">
        <f t="shared" si="49"/>
        <v>755.80185806204463</v>
      </c>
      <c r="H95" s="197">
        <f t="shared" si="49"/>
        <v>902.32793981663758</v>
      </c>
      <c r="I95" s="164"/>
    </row>
    <row r="96" spans="1:9" s="67" customFormat="1" ht="26.4" hidden="1" thickBot="1" x14ac:dyDescent="0.35">
      <c r="A96" s="170" t="s">
        <v>280</v>
      </c>
      <c r="B96" s="168"/>
      <c r="C96" s="61" t="s">
        <v>6</v>
      </c>
      <c r="D96" s="62" t="s">
        <v>1</v>
      </c>
      <c r="E96" s="62" t="s">
        <v>2</v>
      </c>
      <c r="F96" s="62" t="s">
        <v>3</v>
      </c>
      <c r="G96" s="62" t="s">
        <v>4</v>
      </c>
      <c r="H96" s="62" t="s">
        <v>5</v>
      </c>
      <c r="I96" s="164"/>
    </row>
    <row r="97" spans="1:9" s="67" customFormat="1" ht="15.6" hidden="1" x14ac:dyDescent="0.3">
      <c r="A97" s="190" t="s">
        <v>344</v>
      </c>
      <c r="B97" s="168"/>
      <c r="C97" s="183">
        <f>C91</f>
        <v>0</v>
      </c>
      <c r="D97" s="183">
        <f t="shared" ref="D97:H98" si="50">D91</f>
        <v>75</v>
      </c>
      <c r="E97" s="183">
        <f t="shared" si="50"/>
        <v>30</v>
      </c>
      <c r="F97" s="183">
        <f t="shared" si="50"/>
        <v>125.00001</v>
      </c>
      <c r="G97" s="183">
        <f t="shared" si="50"/>
        <v>150.000012</v>
      </c>
      <c r="H97" s="183">
        <f t="shared" si="50"/>
        <v>175.00006400000399</v>
      </c>
      <c r="I97" s="194">
        <f>SUM(C97:H97)</f>
        <v>555.00008600000399</v>
      </c>
    </row>
    <row r="98" spans="1:9" s="67" customFormat="1" ht="15.6" hidden="1" x14ac:dyDescent="0.3">
      <c r="A98" s="190" t="s">
        <v>345</v>
      </c>
      <c r="B98" s="168"/>
      <c r="C98" s="195">
        <f>C92</f>
        <v>0</v>
      </c>
      <c r="D98" s="195">
        <f t="shared" si="50"/>
        <v>0.20547945205479451</v>
      </c>
      <c r="E98" s="195">
        <f t="shared" si="50"/>
        <v>8.2191780821917804E-2</v>
      </c>
      <c r="F98" s="195">
        <f t="shared" si="50"/>
        <v>0.34246578082191781</v>
      </c>
      <c r="G98" s="195">
        <f t="shared" si="50"/>
        <v>0.41095893698630137</v>
      </c>
      <c r="H98" s="195">
        <f t="shared" si="50"/>
        <v>0.47945223013699723</v>
      </c>
      <c r="I98" s="164"/>
    </row>
    <row r="99" spans="1:9" s="67" customFormat="1" ht="31.2" hidden="1" x14ac:dyDescent="0.3">
      <c r="A99" s="191" t="s">
        <v>348</v>
      </c>
      <c r="B99" s="168"/>
      <c r="C99" s="197">
        <f>C98*12</f>
        <v>0</v>
      </c>
      <c r="D99" s="198">
        <f t="shared" ref="D99:H99" si="51">D98*12</f>
        <v>2.4657534246575343</v>
      </c>
      <c r="E99" s="198">
        <f t="shared" si="51"/>
        <v>0.98630136986301364</v>
      </c>
      <c r="F99" s="198">
        <f t="shared" si="51"/>
        <v>4.1095893698630137</v>
      </c>
      <c r="G99" s="198">
        <f t="shared" si="51"/>
        <v>4.9315072438356164</v>
      </c>
      <c r="H99" s="198">
        <f t="shared" si="51"/>
        <v>5.7534267616439667</v>
      </c>
      <c r="I99" s="164"/>
    </row>
    <row r="100" spans="1:9" s="67" customFormat="1" ht="31.2" hidden="1" x14ac:dyDescent="0.3">
      <c r="A100" s="191" t="s">
        <v>353</v>
      </c>
      <c r="B100" s="168"/>
      <c r="C100" s="197">
        <f t="shared" ref="C100:H100" si="52">C15</f>
        <v>0</v>
      </c>
      <c r="D100" s="197">
        <f t="shared" si="52"/>
        <v>110</v>
      </c>
      <c r="E100" s="197">
        <f t="shared" si="52"/>
        <v>117.7</v>
      </c>
      <c r="F100" s="197">
        <f t="shared" si="52"/>
        <v>124.762001177</v>
      </c>
      <c r="G100" s="197">
        <f t="shared" si="52"/>
        <v>130.99985275148941</v>
      </c>
      <c r="H100" s="197">
        <f t="shared" si="52"/>
        <v>136.89461130803107</v>
      </c>
      <c r="I100" s="164"/>
    </row>
    <row r="101" spans="1:9" s="67" customFormat="1" ht="16.2" hidden="1" thickBot="1" x14ac:dyDescent="0.35">
      <c r="A101" s="190" t="s">
        <v>346</v>
      </c>
      <c r="B101" s="168"/>
      <c r="C101" s="197">
        <f>C100*C99</f>
        <v>0</v>
      </c>
      <c r="D101" s="197">
        <f t="shared" ref="D101:H101" si="53">D100*D99</f>
        <v>271.23287671232879</v>
      </c>
      <c r="E101" s="197">
        <f t="shared" si="53"/>
        <v>116.08767123287672</v>
      </c>
      <c r="F101" s="197">
        <f t="shared" si="53"/>
        <v>512.72059379983602</v>
      </c>
      <c r="G101" s="197">
        <f t="shared" si="53"/>
        <v>646.0267227853692</v>
      </c>
      <c r="H101" s="197">
        <f t="shared" si="53"/>
        <v>787.61312022447476</v>
      </c>
      <c r="I101" s="164"/>
    </row>
    <row r="102" spans="1:9" s="67" customFormat="1" ht="26.4" hidden="1" thickBot="1" x14ac:dyDescent="0.35">
      <c r="A102" s="170" t="s">
        <v>283</v>
      </c>
      <c r="B102" s="168"/>
      <c r="C102" s="61" t="s">
        <v>6</v>
      </c>
      <c r="D102" s="62" t="s">
        <v>1</v>
      </c>
      <c r="E102" s="62" t="s">
        <v>2</v>
      </c>
      <c r="F102" s="62" t="s">
        <v>3</v>
      </c>
      <c r="G102" s="62" t="s">
        <v>4</v>
      </c>
      <c r="H102" s="62" t="s">
        <v>5</v>
      </c>
      <c r="I102" s="164"/>
    </row>
    <row r="103" spans="1:9" s="67" customFormat="1" ht="15.6" hidden="1" x14ac:dyDescent="0.3">
      <c r="A103" s="190" t="s">
        <v>356</v>
      </c>
      <c r="B103" s="196"/>
      <c r="C103" s="197">
        <f t="shared" ref="C103:H103" si="54">-C14/12</f>
        <v>0</v>
      </c>
      <c r="D103" s="197">
        <f t="shared" si="54"/>
        <v>687.5</v>
      </c>
      <c r="E103" s="197">
        <f t="shared" si="54"/>
        <v>294.25</v>
      </c>
      <c r="F103" s="197">
        <f t="shared" si="54"/>
        <v>1299.6042828954176</v>
      </c>
      <c r="G103" s="197">
        <f t="shared" si="54"/>
        <v>1637.4982903934704</v>
      </c>
      <c r="H103" s="197">
        <f t="shared" si="54"/>
        <v>1996.3804783467588</v>
      </c>
      <c r="I103" s="164"/>
    </row>
    <row r="104" spans="1:9" s="67" customFormat="1" ht="16.2" hidden="1" thickBot="1" x14ac:dyDescent="0.35">
      <c r="A104" s="190" t="s">
        <v>357</v>
      </c>
      <c r="B104" s="196" t="s">
        <v>398</v>
      </c>
      <c r="C104" s="197">
        <f>C103</f>
        <v>0</v>
      </c>
      <c r="D104" s="197">
        <f>D103</f>
        <v>687.5</v>
      </c>
      <c r="E104" s="197">
        <f t="shared" ref="E104:H104" si="55">E103</f>
        <v>294.25</v>
      </c>
      <c r="F104" s="197">
        <f t="shared" si="55"/>
        <v>1299.6042828954176</v>
      </c>
      <c r="G104" s="197">
        <f t="shared" si="55"/>
        <v>1637.4982903934704</v>
      </c>
      <c r="H104" s="197">
        <f t="shared" si="55"/>
        <v>1996.3804783467588</v>
      </c>
      <c r="I104" s="164"/>
    </row>
    <row r="105" spans="1:9" s="67" customFormat="1" ht="26.4" hidden="1" thickBot="1" x14ac:dyDescent="0.35">
      <c r="A105" s="170" t="s">
        <v>282</v>
      </c>
      <c r="B105" s="168"/>
      <c r="C105" s="61" t="s">
        <v>6</v>
      </c>
      <c r="D105" s="62" t="s">
        <v>1</v>
      </c>
      <c r="E105" s="62" t="s">
        <v>2</v>
      </c>
      <c r="F105" s="62" t="s">
        <v>3</v>
      </c>
      <c r="G105" s="62" t="s">
        <v>4</v>
      </c>
      <c r="H105" s="62" t="s">
        <v>5</v>
      </c>
      <c r="I105" s="164"/>
    </row>
    <row r="106" spans="1:9" s="67" customFormat="1" ht="15.6" hidden="1" x14ac:dyDescent="0.3">
      <c r="A106" s="190" t="s">
        <v>369</v>
      </c>
      <c r="B106" s="196"/>
      <c r="C106" s="197">
        <f t="shared" ref="C106:H106" si="56">C10</f>
        <v>0</v>
      </c>
      <c r="D106" s="197">
        <f t="shared" si="56"/>
        <v>15000</v>
      </c>
      <c r="E106" s="197">
        <f t="shared" si="56"/>
        <v>6299.9879999999994</v>
      </c>
      <c r="F106" s="197">
        <f t="shared" si="56"/>
        <v>27431.152694582041</v>
      </c>
      <c r="G106" s="197">
        <f t="shared" si="56"/>
        <v>34234.042353058481</v>
      </c>
      <c r="H106" s="197">
        <f t="shared" si="56"/>
        <v>41537.272655013272</v>
      </c>
      <c r="I106" s="164"/>
    </row>
    <row r="107" spans="1:9" s="67" customFormat="1" ht="31.2" hidden="1" x14ac:dyDescent="0.3">
      <c r="A107" s="191" t="s">
        <v>360</v>
      </c>
      <c r="B107" s="117">
        <v>0.3</v>
      </c>
      <c r="C107" s="197">
        <f>$B$107*C106</f>
        <v>0</v>
      </c>
      <c r="D107" s="197">
        <f t="shared" ref="D107:H107" si="57">$B$107*D106</f>
        <v>4500</v>
      </c>
      <c r="E107" s="197">
        <f t="shared" si="57"/>
        <v>1889.9963999999998</v>
      </c>
      <c r="F107" s="197">
        <f t="shared" si="57"/>
        <v>8229.3458083746118</v>
      </c>
      <c r="G107" s="197">
        <f t="shared" si="57"/>
        <v>10270.212705917544</v>
      </c>
      <c r="H107" s="197">
        <f t="shared" si="57"/>
        <v>12461.181796503981</v>
      </c>
      <c r="I107" s="199" t="s">
        <v>363</v>
      </c>
    </row>
    <row r="108" spans="1:9" ht="31.2" hidden="1" x14ac:dyDescent="0.3">
      <c r="A108" s="191" t="s">
        <v>396</v>
      </c>
      <c r="B108" s="117">
        <v>0.2</v>
      </c>
      <c r="C108" s="197">
        <f>$B$108*C106</f>
        <v>0</v>
      </c>
      <c r="D108" s="197">
        <f t="shared" ref="D108:H108" si="58">$B$108*D106</f>
        <v>3000</v>
      </c>
      <c r="E108" s="197">
        <f t="shared" si="58"/>
        <v>1259.9975999999999</v>
      </c>
      <c r="F108" s="197">
        <f t="shared" si="58"/>
        <v>5486.2305389164085</v>
      </c>
      <c r="G108" s="197">
        <f t="shared" si="58"/>
        <v>6846.808470611697</v>
      </c>
      <c r="H108" s="197">
        <f t="shared" si="58"/>
        <v>8307.4545310026551</v>
      </c>
      <c r="I108" s="199" t="s">
        <v>364</v>
      </c>
    </row>
    <row r="109" spans="1:9" ht="29.4" hidden="1" customHeight="1" x14ac:dyDescent="0.3">
      <c r="A109" s="191" t="s">
        <v>361</v>
      </c>
      <c r="B109" s="117">
        <v>0.2</v>
      </c>
      <c r="C109" s="197">
        <f>C106*$B$109</f>
        <v>0</v>
      </c>
      <c r="D109" s="197">
        <f t="shared" ref="D109:H109" si="59">D106*$B$109</f>
        <v>3000</v>
      </c>
      <c r="E109" s="197">
        <f t="shared" si="59"/>
        <v>1259.9975999999999</v>
      </c>
      <c r="F109" s="197">
        <f t="shared" si="59"/>
        <v>5486.2305389164085</v>
      </c>
      <c r="G109" s="197">
        <f t="shared" si="59"/>
        <v>6846.808470611697</v>
      </c>
      <c r="H109" s="197">
        <f t="shared" si="59"/>
        <v>8307.4545310026551</v>
      </c>
      <c r="I109" s="199" t="s">
        <v>365</v>
      </c>
    </row>
    <row r="110" spans="1:9" ht="29.4" hidden="1" customHeight="1" x14ac:dyDescent="0.3">
      <c r="A110" s="191" t="s">
        <v>397</v>
      </c>
      <c r="B110" s="202">
        <v>60</v>
      </c>
      <c r="C110" s="197">
        <f>C108*$B$110/365</f>
        <v>0</v>
      </c>
      <c r="D110" s="197">
        <f t="shared" ref="D110:H110" si="60">D108*$B$110/365</f>
        <v>493.15068493150687</v>
      </c>
      <c r="E110" s="197">
        <f t="shared" si="60"/>
        <v>207.12289315068494</v>
      </c>
      <c r="F110" s="197">
        <f t="shared" si="60"/>
        <v>901.84611598625895</v>
      </c>
      <c r="G110" s="197">
        <f t="shared" si="60"/>
        <v>1125.5027622923337</v>
      </c>
      <c r="H110" s="197">
        <f t="shared" si="60"/>
        <v>1365.6089640004363</v>
      </c>
      <c r="I110" s="199"/>
    </row>
    <row r="111" spans="1:9" ht="29.4" hidden="1" customHeight="1" x14ac:dyDescent="0.3">
      <c r="A111" s="191" t="s">
        <v>370</v>
      </c>
      <c r="B111" s="202">
        <v>30</v>
      </c>
      <c r="C111" s="197">
        <f>C108*$B$111/365</f>
        <v>0</v>
      </c>
      <c r="D111" s="197">
        <f t="shared" ref="D111:H111" si="61">D108*$B$111/365</f>
        <v>246.57534246575344</v>
      </c>
      <c r="E111" s="197">
        <f t="shared" si="61"/>
        <v>103.56144657534247</v>
      </c>
      <c r="F111" s="197">
        <f t="shared" si="61"/>
        <v>450.92305799312948</v>
      </c>
      <c r="G111" s="197">
        <f t="shared" si="61"/>
        <v>562.75138114616686</v>
      </c>
      <c r="H111" s="197">
        <f t="shared" si="61"/>
        <v>682.80448200021817</v>
      </c>
      <c r="I111" s="199"/>
    </row>
    <row r="112" spans="1:9" ht="16.2" hidden="1" thickBot="1" x14ac:dyDescent="0.35">
      <c r="A112" s="200" t="s">
        <v>366</v>
      </c>
      <c r="B112" s="4"/>
      <c r="C112" s="201">
        <f>C111+C110</f>
        <v>0</v>
      </c>
      <c r="D112" s="201">
        <f t="shared" ref="D112:H112" si="62">D111+D110</f>
        <v>739.72602739726028</v>
      </c>
      <c r="E112" s="201">
        <f t="shared" si="62"/>
        <v>310.68433972602742</v>
      </c>
      <c r="F112" s="201">
        <f t="shared" si="62"/>
        <v>1352.7691739793884</v>
      </c>
      <c r="G112" s="201">
        <f t="shared" si="62"/>
        <v>1688.2541434385007</v>
      </c>
      <c r="H112" s="201">
        <f t="shared" si="62"/>
        <v>2048.4134460006544</v>
      </c>
    </row>
    <row r="113" spans="1:9" ht="26.4" hidden="1" thickBot="1" x14ac:dyDescent="0.35">
      <c r="A113" s="170" t="s">
        <v>300</v>
      </c>
      <c r="C113" s="61" t="s">
        <v>6</v>
      </c>
      <c r="D113" s="62" t="s">
        <v>1</v>
      </c>
      <c r="E113" s="62" t="s">
        <v>2</v>
      </c>
      <c r="F113" s="62" t="s">
        <v>3</v>
      </c>
      <c r="G113" s="62" t="s">
        <v>4</v>
      </c>
      <c r="H113" s="62" t="s">
        <v>5</v>
      </c>
    </row>
    <row r="114" spans="1:9" ht="15.6" hidden="1" x14ac:dyDescent="0.3">
      <c r="A114" s="200" t="s">
        <v>379</v>
      </c>
      <c r="D114" s="197"/>
      <c r="E114" s="197"/>
      <c r="F114" s="197"/>
      <c r="G114" s="197"/>
      <c r="H114" s="197"/>
    </row>
    <row r="115" spans="1:9" ht="31.2" hidden="1" x14ac:dyDescent="0.3">
      <c r="A115" s="191" t="s">
        <v>372</v>
      </c>
      <c r="B115" s="117">
        <v>0.3</v>
      </c>
      <c r="C115" s="197">
        <f>$B$115*C106</f>
        <v>0</v>
      </c>
      <c r="D115" s="197">
        <f t="shared" ref="D115:H115" si="63">$B$115*D106</f>
        <v>4500</v>
      </c>
      <c r="E115" s="197">
        <f t="shared" si="63"/>
        <v>1889.9963999999998</v>
      </c>
      <c r="F115" s="197">
        <f t="shared" si="63"/>
        <v>8229.3458083746118</v>
      </c>
      <c r="G115" s="197">
        <f t="shared" si="63"/>
        <v>10270.212705917544</v>
      </c>
      <c r="H115" s="197">
        <f t="shared" si="63"/>
        <v>12461.181796503981</v>
      </c>
    </row>
    <row r="116" spans="1:9" ht="15.6" hidden="1" x14ac:dyDescent="0.3">
      <c r="A116" s="191" t="s">
        <v>373</v>
      </c>
      <c r="B116" s="202">
        <v>30</v>
      </c>
      <c r="C116" s="197">
        <f>C115*$B$116/365</f>
        <v>0</v>
      </c>
      <c r="D116" s="197">
        <f t="shared" ref="D116:H116" si="64">D115*$B$116/365</f>
        <v>369.86301369863014</v>
      </c>
      <c r="E116" s="197">
        <f t="shared" si="64"/>
        <v>155.34216986301368</v>
      </c>
      <c r="F116" s="197">
        <f t="shared" si="64"/>
        <v>676.38458698969418</v>
      </c>
      <c r="G116" s="197">
        <f t="shared" si="64"/>
        <v>844.12707171925024</v>
      </c>
      <c r="H116" s="197">
        <f t="shared" si="64"/>
        <v>1024.2067230003272</v>
      </c>
    </row>
    <row r="117" spans="1:9" ht="15.6" hidden="1" x14ac:dyDescent="0.3">
      <c r="A117" s="200" t="s">
        <v>9</v>
      </c>
      <c r="B117" s="202"/>
      <c r="C117" s="197"/>
      <c r="D117" s="197"/>
      <c r="E117" s="197"/>
      <c r="F117" s="197"/>
      <c r="G117" s="197"/>
      <c r="H117" s="197"/>
    </row>
    <row r="118" spans="1:9" ht="15.6" hidden="1" x14ac:dyDescent="0.3">
      <c r="A118" s="191" t="s">
        <v>377</v>
      </c>
      <c r="B118" s="117">
        <v>0.7</v>
      </c>
      <c r="C118" s="197">
        <f t="shared" ref="C118:H118" si="65">-$B$118*C13</f>
        <v>0</v>
      </c>
      <c r="D118" s="197">
        <f t="shared" si="65"/>
        <v>1400</v>
      </c>
      <c r="E118" s="197">
        <f t="shared" si="65"/>
        <v>2100</v>
      </c>
      <c r="F118" s="197">
        <f t="shared" si="65"/>
        <v>2226.0000209999998</v>
      </c>
      <c r="G118" s="197">
        <f t="shared" si="65"/>
        <v>2337.2955885992164</v>
      </c>
      <c r="H118" s="197">
        <f t="shared" si="65"/>
        <v>2442.4697004831373</v>
      </c>
    </row>
    <row r="119" spans="1:9" ht="15.6" hidden="1" x14ac:dyDescent="0.3">
      <c r="A119" s="191" t="s">
        <v>378</v>
      </c>
      <c r="B119" s="117">
        <v>0.3</v>
      </c>
      <c r="C119" s="197">
        <f t="shared" ref="C119:H119" si="66">-$B$119*C13</f>
        <v>0</v>
      </c>
      <c r="D119" s="197">
        <f t="shared" si="66"/>
        <v>600</v>
      </c>
      <c r="E119" s="197">
        <f t="shared" si="66"/>
        <v>900</v>
      </c>
      <c r="F119" s="197">
        <f t="shared" si="66"/>
        <v>954.00000899999998</v>
      </c>
      <c r="G119" s="197">
        <f t="shared" si="66"/>
        <v>1001.6981093996642</v>
      </c>
      <c r="H119" s="197">
        <f t="shared" si="66"/>
        <v>1046.7727287784874</v>
      </c>
    </row>
    <row r="120" spans="1:9" ht="15.6" hidden="1" x14ac:dyDescent="0.3">
      <c r="A120" s="191" t="s">
        <v>381</v>
      </c>
      <c r="B120" s="202">
        <v>15</v>
      </c>
      <c r="C120" s="197">
        <f>(C118/12)*($B$120/30)</f>
        <v>0</v>
      </c>
      <c r="D120" s="197">
        <f>(D118/12)*($B$120/30)</f>
        <v>58.333333333333336</v>
      </c>
      <c r="E120" s="197">
        <f t="shared" ref="E120:H120" si="67">(E118/12)*($B$120/30)</f>
        <v>87.5</v>
      </c>
      <c r="F120" s="197">
        <f t="shared" si="67"/>
        <v>92.750000874999998</v>
      </c>
      <c r="G120" s="197">
        <f t="shared" si="67"/>
        <v>97.387316191634014</v>
      </c>
      <c r="H120" s="197">
        <f t="shared" si="67"/>
        <v>101.76957085346406</v>
      </c>
    </row>
    <row r="121" spans="1:9" ht="15.6" hidden="1" x14ac:dyDescent="0.3">
      <c r="A121" s="191" t="s">
        <v>383</v>
      </c>
      <c r="B121" s="202">
        <v>20</v>
      </c>
      <c r="C121" s="197">
        <f>(C119/12)*($B$121/30)</f>
        <v>0</v>
      </c>
      <c r="D121" s="197">
        <f>(D119/12)*($B$121/30)</f>
        <v>33.333333333333329</v>
      </c>
      <c r="E121" s="197">
        <f t="shared" ref="E121:H121" si="68">(E119/12)*($B$121/30)</f>
        <v>50</v>
      </c>
      <c r="F121" s="197">
        <f t="shared" si="68"/>
        <v>53.000000499999999</v>
      </c>
      <c r="G121" s="197">
        <f t="shared" si="68"/>
        <v>55.649894966648006</v>
      </c>
      <c r="H121" s="197">
        <f t="shared" si="68"/>
        <v>58.154040487693734</v>
      </c>
    </row>
    <row r="122" spans="1:9" ht="16.2" hidden="1" thickBot="1" x14ac:dyDescent="0.35">
      <c r="A122" s="200" t="s">
        <v>384</v>
      </c>
      <c r="B122" s="202"/>
      <c r="C122" s="201">
        <f>C121+C120+C116</f>
        <v>0</v>
      </c>
      <c r="D122" s="201">
        <f t="shared" ref="D122:H122" si="69">D121+D120+D116</f>
        <v>461.52968036529683</v>
      </c>
      <c r="E122" s="201">
        <f t="shared" si="69"/>
        <v>292.84216986301368</v>
      </c>
      <c r="F122" s="201">
        <f t="shared" si="69"/>
        <v>822.1345883646942</v>
      </c>
      <c r="G122" s="201">
        <f t="shared" si="69"/>
        <v>997.16428287753229</v>
      </c>
      <c r="H122" s="201">
        <f t="shared" si="69"/>
        <v>1184.130334341485</v>
      </c>
    </row>
    <row r="123" spans="1:9" ht="36.6" hidden="1" thickBot="1" x14ac:dyDescent="0.35">
      <c r="A123" s="182" t="s">
        <v>386</v>
      </c>
      <c r="B123" s="67"/>
      <c r="C123" s="61" t="s">
        <v>6</v>
      </c>
      <c r="D123" s="62" t="s">
        <v>1</v>
      </c>
      <c r="E123" s="62" t="s">
        <v>2</v>
      </c>
      <c r="F123" s="62" t="s">
        <v>3</v>
      </c>
      <c r="G123" s="62" t="s">
        <v>4</v>
      </c>
      <c r="H123" s="62" t="s">
        <v>5</v>
      </c>
      <c r="I123" s="63" t="s">
        <v>11</v>
      </c>
    </row>
    <row r="124" spans="1:9" ht="15.6" hidden="1" x14ac:dyDescent="0.3">
      <c r="A124" s="191" t="s">
        <v>388</v>
      </c>
      <c r="B124" s="202"/>
      <c r="C124" s="197">
        <f>C101</f>
        <v>0</v>
      </c>
      <c r="D124" s="197">
        <f t="shared" ref="D124:H124" si="70">D101</f>
        <v>271.23287671232879</v>
      </c>
      <c r="E124" s="197">
        <f t="shared" si="70"/>
        <v>116.08767123287672</v>
      </c>
      <c r="F124" s="197">
        <f t="shared" si="70"/>
        <v>512.72059379983602</v>
      </c>
      <c r="G124" s="197">
        <f t="shared" si="70"/>
        <v>646.0267227853692</v>
      </c>
      <c r="H124" s="197">
        <f t="shared" si="70"/>
        <v>787.61312022447476</v>
      </c>
      <c r="I124" s="197"/>
    </row>
    <row r="125" spans="1:9" ht="15.6" hidden="1" x14ac:dyDescent="0.3">
      <c r="A125" s="191" t="s">
        <v>389</v>
      </c>
      <c r="B125" s="202"/>
      <c r="C125" s="197">
        <f>C95</f>
        <v>0</v>
      </c>
      <c r="D125" s="197">
        <f t="shared" ref="D125:H125" si="71">D95</f>
        <v>336.98630136986299</v>
      </c>
      <c r="E125" s="197">
        <f t="shared" si="71"/>
        <v>214.71780821917807</v>
      </c>
      <c r="F125" s="197">
        <f t="shared" si="71"/>
        <v>617.26853999161676</v>
      </c>
      <c r="G125" s="197">
        <f t="shared" si="71"/>
        <v>755.80185806204463</v>
      </c>
      <c r="H125" s="197">
        <f t="shared" si="71"/>
        <v>902.32793981663758</v>
      </c>
      <c r="I125" s="197"/>
    </row>
    <row r="126" spans="1:9" ht="15.6" hidden="1" x14ac:dyDescent="0.3">
      <c r="A126" s="191" t="s">
        <v>390</v>
      </c>
      <c r="B126" s="202"/>
      <c r="C126" s="197">
        <f>C104</f>
        <v>0</v>
      </c>
      <c r="D126" s="197">
        <f t="shared" ref="D126:H126" si="72">D104</f>
        <v>687.5</v>
      </c>
      <c r="E126" s="197">
        <f t="shared" si="72"/>
        <v>294.25</v>
      </c>
      <c r="F126" s="197">
        <f t="shared" si="72"/>
        <v>1299.6042828954176</v>
      </c>
      <c r="G126" s="197">
        <f t="shared" si="72"/>
        <v>1637.4982903934704</v>
      </c>
      <c r="H126" s="197">
        <f t="shared" si="72"/>
        <v>1996.3804783467588</v>
      </c>
      <c r="I126" s="197"/>
    </row>
    <row r="127" spans="1:9" ht="15.6" hidden="1" x14ac:dyDescent="0.3">
      <c r="A127" s="191" t="s">
        <v>391</v>
      </c>
      <c r="B127" s="202"/>
      <c r="C127" s="197">
        <f>C112</f>
        <v>0</v>
      </c>
      <c r="D127" s="197">
        <f t="shared" ref="D127:H127" si="73">D112</f>
        <v>739.72602739726028</v>
      </c>
      <c r="E127" s="197">
        <f t="shared" si="73"/>
        <v>310.68433972602742</v>
      </c>
      <c r="F127" s="197">
        <f t="shared" si="73"/>
        <v>1352.7691739793884</v>
      </c>
      <c r="G127" s="197">
        <f t="shared" si="73"/>
        <v>1688.2541434385007</v>
      </c>
      <c r="H127" s="197">
        <f t="shared" si="73"/>
        <v>2048.4134460006544</v>
      </c>
      <c r="I127" s="197"/>
    </row>
    <row r="128" spans="1:9" ht="16.2" hidden="1" thickBot="1" x14ac:dyDescent="0.35">
      <c r="A128" s="191" t="s">
        <v>387</v>
      </c>
      <c r="B128" s="202"/>
      <c r="C128" s="197">
        <f>C122</f>
        <v>0</v>
      </c>
      <c r="D128" s="197">
        <f t="shared" ref="D128:H128" si="74">D122</f>
        <v>461.52968036529683</v>
      </c>
      <c r="E128" s="197">
        <f t="shared" si="74"/>
        <v>292.84216986301368</v>
      </c>
      <c r="F128" s="197">
        <f t="shared" si="74"/>
        <v>822.1345883646942</v>
      </c>
      <c r="G128" s="197">
        <f t="shared" si="74"/>
        <v>997.16428287753229</v>
      </c>
      <c r="H128" s="197">
        <f t="shared" si="74"/>
        <v>1184.130334341485</v>
      </c>
      <c r="I128" s="197"/>
    </row>
    <row r="129" spans="1:11" ht="21.6" hidden="1" thickBot="1" x14ac:dyDescent="0.35">
      <c r="A129" s="170" t="s">
        <v>392</v>
      </c>
      <c r="B129" s="202"/>
      <c r="C129" s="203">
        <f>SUM(C124:C128)</f>
        <v>0</v>
      </c>
      <c r="D129" s="203">
        <f>SUM(D124:D127)-D128</f>
        <v>1573.9155251141551</v>
      </c>
      <c r="E129" s="203">
        <f t="shared" ref="E129:H129" si="75">SUM(E124:E127)-E128</f>
        <v>642.89764931506852</v>
      </c>
      <c r="F129" s="203">
        <f t="shared" si="75"/>
        <v>2960.2280023015642</v>
      </c>
      <c r="G129" s="203">
        <f t="shared" si="75"/>
        <v>3730.4167318018526</v>
      </c>
      <c r="H129" s="203">
        <f t="shared" si="75"/>
        <v>4550.6046500470411</v>
      </c>
      <c r="I129" s="197"/>
    </row>
    <row r="130" spans="1:11" ht="16.2" hidden="1" thickBot="1" x14ac:dyDescent="0.35">
      <c r="A130" s="204" t="s">
        <v>393</v>
      </c>
      <c r="B130" s="4"/>
      <c r="C130" s="201"/>
      <c r="D130" s="201">
        <f>D129-C129</f>
        <v>1573.9155251141551</v>
      </c>
      <c r="E130" s="201">
        <f t="shared" ref="E130:H130" si="76">E129-D129</f>
        <v>-931.0178757990866</v>
      </c>
      <c r="F130" s="201">
        <f t="shared" si="76"/>
        <v>2317.3303529864957</v>
      </c>
      <c r="G130" s="201">
        <f t="shared" si="76"/>
        <v>770.18872950028845</v>
      </c>
      <c r="H130" s="201">
        <f t="shared" si="76"/>
        <v>820.18791824518848</v>
      </c>
      <c r="I130" s="197"/>
      <c r="J130" s="68"/>
      <c r="K130" s="68"/>
    </row>
    <row r="131" spans="1:11" ht="36.6" thickBot="1" x14ac:dyDescent="0.35">
      <c r="A131" s="182" t="s">
        <v>395</v>
      </c>
      <c r="B131" s="67"/>
      <c r="C131" s="61" t="s">
        <v>6</v>
      </c>
      <c r="D131" s="62" t="s">
        <v>1</v>
      </c>
      <c r="E131" s="62" t="s">
        <v>2</v>
      </c>
      <c r="F131" s="62" t="s">
        <v>3</v>
      </c>
      <c r="G131" s="62" t="s">
        <v>4</v>
      </c>
      <c r="H131" s="62" t="s">
        <v>5</v>
      </c>
      <c r="I131" s="63" t="s">
        <v>11</v>
      </c>
      <c r="J131" s="68"/>
      <c r="K131" s="68"/>
    </row>
    <row r="132" spans="1:11" ht="21.6" thickBot="1" x14ac:dyDescent="0.35">
      <c r="A132" s="170" t="s">
        <v>400</v>
      </c>
      <c r="B132" s="5"/>
      <c r="D132" s="9"/>
      <c r="E132" s="9"/>
      <c r="F132" s="9"/>
      <c r="G132" s="9"/>
      <c r="H132" s="9"/>
      <c r="I132" s="9"/>
      <c r="J132" s="68"/>
      <c r="K132" s="68"/>
    </row>
    <row r="133" spans="1:11" x14ac:dyDescent="0.3">
      <c r="A133" s="5" t="s">
        <v>17</v>
      </c>
      <c r="B133" s="5"/>
      <c r="C133" s="9">
        <f t="shared" ref="C133:H138" si="77">C26</f>
        <v>5000</v>
      </c>
      <c r="D133" s="9">
        <f t="shared" si="77"/>
        <v>0</v>
      </c>
      <c r="E133" s="9">
        <f t="shared" si="77"/>
        <v>3525</v>
      </c>
      <c r="F133" s="9">
        <f t="shared" si="77"/>
        <v>2873.9879999999976</v>
      </c>
      <c r="G133" s="9">
        <f t="shared" si="77"/>
        <v>9782.8756355362857</v>
      </c>
      <c r="H133" s="9">
        <f t="shared" si="77"/>
        <v>18749.877062608779</v>
      </c>
      <c r="I133" s="9"/>
      <c r="J133" s="68"/>
      <c r="K133" s="68"/>
    </row>
    <row r="134" spans="1:11" x14ac:dyDescent="0.3">
      <c r="A134" s="4" t="s">
        <v>367</v>
      </c>
      <c r="B134" s="4"/>
      <c r="C134" s="11">
        <f t="shared" si="77"/>
        <v>0</v>
      </c>
      <c r="D134" s="11">
        <f t="shared" si="77"/>
        <v>22000</v>
      </c>
      <c r="E134" s="11">
        <f t="shared" si="77"/>
        <v>17299.987999999998</v>
      </c>
      <c r="F134" s="11">
        <f t="shared" si="77"/>
        <v>34431.152694582037</v>
      </c>
      <c r="G134" s="11">
        <f t="shared" si="77"/>
        <v>42234.042353058481</v>
      </c>
      <c r="H134" s="11">
        <f t="shared" si="77"/>
        <v>50537.272655013272</v>
      </c>
      <c r="I134" s="11"/>
      <c r="J134" s="68"/>
      <c r="K134" s="68"/>
    </row>
    <row r="135" spans="1:11" x14ac:dyDescent="0.3">
      <c r="A135" s="4" t="s">
        <v>368</v>
      </c>
      <c r="B135" s="4"/>
      <c r="C135" s="11">
        <f t="shared" si="77"/>
        <v>-5000</v>
      </c>
      <c r="D135" s="11">
        <f t="shared" si="77"/>
        <v>-18475</v>
      </c>
      <c r="E135" s="11">
        <f t="shared" si="77"/>
        <v>-17951</v>
      </c>
      <c r="F135" s="11">
        <f t="shared" si="77"/>
        <v>-27522.265059045749</v>
      </c>
      <c r="G135" s="11">
        <f t="shared" si="77"/>
        <v>-33267.040925985988</v>
      </c>
      <c r="H135" s="11">
        <f t="shared" si="77"/>
        <v>-39311.028102938675</v>
      </c>
      <c r="I135" s="11"/>
      <c r="J135" s="68"/>
      <c r="K135" s="68"/>
    </row>
    <row r="136" spans="1:11" x14ac:dyDescent="0.3">
      <c r="A136" s="4" t="s">
        <v>26</v>
      </c>
      <c r="B136" s="4"/>
      <c r="C136" s="11">
        <f t="shared" si="77"/>
        <v>-5000</v>
      </c>
      <c r="D136" s="11">
        <f t="shared" si="77"/>
        <v>3525</v>
      </c>
      <c r="E136" s="11">
        <f t="shared" si="77"/>
        <v>-651.01200000000244</v>
      </c>
      <c r="F136" s="11">
        <f t="shared" si="77"/>
        <v>6908.8876355362881</v>
      </c>
      <c r="G136" s="11">
        <f t="shared" si="77"/>
        <v>8967.0014270724932</v>
      </c>
      <c r="H136" s="11">
        <f t="shared" si="77"/>
        <v>11226.244552074597</v>
      </c>
      <c r="I136" s="11"/>
      <c r="J136" s="68"/>
      <c r="K136" s="68"/>
    </row>
    <row r="137" spans="1:11" x14ac:dyDescent="0.3">
      <c r="A137" s="5" t="s">
        <v>18</v>
      </c>
      <c r="B137" s="5"/>
      <c r="C137" s="9">
        <f t="shared" si="77"/>
        <v>0</v>
      </c>
      <c r="D137" s="9">
        <f t="shared" si="77"/>
        <v>3525</v>
      </c>
      <c r="E137" s="9">
        <f t="shared" si="77"/>
        <v>2873.9879999999976</v>
      </c>
      <c r="F137" s="9">
        <f t="shared" si="77"/>
        <v>9782.8756355362857</v>
      </c>
      <c r="G137" s="9">
        <f t="shared" si="77"/>
        <v>18749.877062608779</v>
      </c>
      <c r="H137" s="9">
        <f t="shared" si="77"/>
        <v>29976.121614683376</v>
      </c>
      <c r="I137" s="9"/>
      <c r="J137" s="68"/>
      <c r="K137" s="68"/>
    </row>
    <row r="138" spans="1:11" x14ac:dyDescent="0.3">
      <c r="A138" s="5" t="s">
        <v>30</v>
      </c>
      <c r="B138" s="5"/>
      <c r="C138" s="9">
        <f t="shared" si="77"/>
        <v>-5000</v>
      </c>
      <c r="D138" s="9">
        <f t="shared" si="77"/>
        <v>-1475</v>
      </c>
      <c r="E138" s="9">
        <f t="shared" si="77"/>
        <v>-2126.0120000000024</v>
      </c>
      <c r="F138" s="9">
        <f t="shared" si="77"/>
        <v>4782.8756355362857</v>
      </c>
      <c r="G138" s="9">
        <f t="shared" si="77"/>
        <v>13749.877062608779</v>
      </c>
      <c r="H138" s="9">
        <f t="shared" si="77"/>
        <v>24976.121614683376</v>
      </c>
      <c r="I138" s="9"/>
      <c r="J138" s="68"/>
      <c r="K138" s="68"/>
    </row>
    <row r="139" spans="1:11" ht="16.2" thickBot="1" x14ac:dyDescent="0.35">
      <c r="A139" s="204" t="s">
        <v>393</v>
      </c>
      <c r="B139" s="4"/>
      <c r="C139" s="201"/>
      <c r="D139" s="205">
        <f>D130</f>
        <v>1573.9155251141551</v>
      </c>
      <c r="E139" s="205">
        <f t="shared" ref="E139:H139" si="78">E130</f>
        <v>-931.0178757990866</v>
      </c>
      <c r="F139" s="205">
        <f t="shared" si="78"/>
        <v>2317.3303529864957</v>
      </c>
      <c r="G139" s="205">
        <f t="shared" si="78"/>
        <v>770.18872950028845</v>
      </c>
      <c r="H139" s="205">
        <f t="shared" si="78"/>
        <v>820.18791824518848</v>
      </c>
      <c r="I139" s="9"/>
      <c r="J139" s="68"/>
      <c r="K139" s="68"/>
    </row>
    <row r="140" spans="1:11" ht="26.4" thickBot="1" x14ac:dyDescent="0.35">
      <c r="A140" s="170" t="s">
        <v>399</v>
      </c>
      <c r="B140" s="5"/>
      <c r="C140" s="61" t="s">
        <v>6</v>
      </c>
      <c r="D140" s="62" t="s">
        <v>1</v>
      </c>
      <c r="E140" s="62" t="s">
        <v>2</v>
      </c>
      <c r="F140" s="62" t="s">
        <v>3</v>
      </c>
      <c r="G140" s="62" t="s">
        <v>4</v>
      </c>
      <c r="H140" s="62" t="s">
        <v>5</v>
      </c>
      <c r="I140" s="9"/>
      <c r="J140" s="68"/>
      <c r="K140" s="68"/>
    </row>
    <row r="141" spans="1:11" x14ac:dyDescent="0.3">
      <c r="A141" s="5" t="s">
        <v>17</v>
      </c>
      <c r="B141" s="5"/>
      <c r="C141" s="9">
        <f>C133</f>
        <v>5000</v>
      </c>
      <c r="D141" s="9">
        <f>D133</f>
        <v>0</v>
      </c>
      <c r="E141" s="9">
        <f>D144</f>
        <v>1951.0844748858435</v>
      </c>
      <c r="F141" s="9">
        <f>E145+F5</f>
        <v>2231.0903506849281</v>
      </c>
      <c r="G141" s="9">
        <f>F145+G5</f>
        <v>6822.6476332347193</v>
      </c>
      <c r="H141" s="9">
        <f>G145+H5</f>
        <v>15019.460330806924</v>
      </c>
      <c r="I141" s="9"/>
      <c r="J141" s="68"/>
      <c r="K141" s="68"/>
    </row>
    <row r="142" spans="1:11" x14ac:dyDescent="0.3">
      <c r="A142" s="4" t="s">
        <v>367</v>
      </c>
      <c r="B142" s="5"/>
      <c r="C142" s="9">
        <f>C134</f>
        <v>0</v>
      </c>
      <c r="D142" s="9">
        <f>D134</f>
        <v>22000</v>
      </c>
      <c r="E142" s="9">
        <f t="shared" ref="E142:H142" si="79">E134</f>
        <v>17299.987999999998</v>
      </c>
      <c r="F142" s="9">
        <f t="shared" si="79"/>
        <v>34431.152694582037</v>
      </c>
      <c r="G142" s="9">
        <f t="shared" si="79"/>
        <v>42234.042353058481</v>
      </c>
      <c r="H142" s="9">
        <f t="shared" si="79"/>
        <v>50537.272655013272</v>
      </c>
      <c r="I142" s="9"/>
      <c r="J142" s="68"/>
      <c r="K142" s="68"/>
    </row>
    <row r="143" spans="1:11" x14ac:dyDescent="0.3">
      <c r="A143" s="4" t="s">
        <v>368</v>
      </c>
      <c r="B143" s="5"/>
      <c r="C143" s="11">
        <f t="shared" ref="C143:H143" si="80">C135-C139</f>
        <v>-5000</v>
      </c>
      <c r="D143" s="11">
        <f t="shared" si="80"/>
        <v>-20048.915525114156</v>
      </c>
      <c r="E143" s="11">
        <f t="shared" si="80"/>
        <v>-17019.982124200913</v>
      </c>
      <c r="F143" s="11">
        <f t="shared" si="80"/>
        <v>-29839.595412032246</v>
      </c>
      <c r="G143" s="11">
        <f t="shared" si="80"/>
        <v>-34037.229655486277</v>
      </c>
      <c r="H143" s="11">
        <f t="shared" si="80"/>
        <v>-40131.216021183864</v>
      </c>
      <c r="I143" s="9"/>
      <c r="J143" s="68"/>
      <c r="K143" s="68"/>
    </row>
    <row r="144" spans="1:11" x14ac:dyDescent="0.3">
      <c r="A144" s="4" t="s">
        <v>26</v>
      </c>
      <c r="B144" s="5"/>
      <c r="C144" s="11">
        <f>C142+C143</f>
        <v>-5000</v>
      </c>
      <c r="D144" s="11">
        <f>D142+D143</f>
        <v>1951.0844748858435</v>
      </c>
      <c r="E144" s="11">
        <f t="shared" ref="E144:H144" si="81">E142+E143</f>
        <v>280.00587579908461</v>
      </c>
      <c r="F144" s="11">
        <f t="shared" si="81"/>
        <v>4591.5572825497911</v>
      </c>
      <c r="G144" s="11">
        <f t="shared" si="81"/>
        <v>8196.8126975722043</v>
      </c>
      <c r="H144" s="11">
        <f t="shared" si="81"/>
        <v>10406.056633829408</v>
      </c>
      <c r="I144" s="9"/>
      <c r="J144" s="68"/>
      <c r="K144" s="68"/>
    </row>
    <row r="145" spans="1:11" s="14" customFormat="1" ht="18" x14ac:dyDescent="0.3">
      <c r="A145" s="14" t="s">
        <v>18</v>
      </c>
      <c r="C145" s="208">
        <f>C141+C144</f>
        <v>0</v>
      </c>
      <c r="D145" s="208">
        <f>D141+D144</f>
        <v>1951.0844748858435</v>
      </c>
      <c r="E145" s="208">
        <f t="shared" ref="E145:H145" si="82">E141+E144</f>
        <v>2231.0903506849281</v>
      </c>
      <c r="F145" s="208">
        <f t="shared" si="82"/>
        <v>6822.6476332347193</v>
      </c>
      <c r="G145" s="208">
        <f t="shared" si="82"/>
        <v>15019.460330806924</v>
      </c>
      <c r="H145" s="208">
        <f t="shared" si="82"/>
        <v>25425.516964636332</v>
      </c>
      <c r="I145" s="206"/>
      <c r="J145" s="207"/>
      <c r="K145" s="207"/>
    </row>
    <row r="146" spans="1:11" ht="15" thickBot="1" x14ac:dyDescent="0.35">
      <c r="A146" s="5" t="s">
        <v>30</v>
      </c>
      <c r="B146" s="5"/>
      <c r="C146" s="9">
        <f>C145</f>
        <v>0</v>
      </c>
      <c r="D146" s="9">
        <f>C146+D145</f>
        <v>1951.0844748858435</v>
      </c>
      <c r="E146" s="9">
        <f t="shared" ref="E146:H146" si="83">D146+E145</f>
        <v>4182.1748255707716</v>
      </c>
      <c r="F146" s="9">
        <f t="shared" si="83"/>
        <v>11004.822458805491</v>
      </c>
      <c r="G146" s="9">
        <f t="shared" si="83"/>
        <v>26024.282789612414</v>
      </c>
      <c r="H146" s="9">
        <f t="shared" si="83"/>
        <v>51449.799754248743</v>
      </c>
      <c r="I146" s="9"/>
      <c r="J146" s="68"/>
      <c r="K146" s="68"/>
    </row>
    <row r="147" spans="1:11" s="67" customFormat="1" ht="26.4" hidden="1" thickBot="1" x14ac:dyDescent="0.35">
      <c r="A147" s="228" t="s">
        <v>401</v>
      </c>
      <c r="C147" s="225" t="s">
        <v>6</v>
      </c>
      <c r="D147" s="226" t="s">
        <v>1</v>
      </c>
      <c r="E147" s="226" t="s">
        <v>2</v>
      </c>
      <c r="F147" s="226" t="s">
        <v>3</v>
      </c>
      <c r="G147" s="226" t="s">
        <v>4</v>
      </c>
      <c r="H147" s="226" t="s">
        <v>5</v>
      </c>
      <c r="I147" s="164"/>
    </row>
    <row r="148" spans="1:11" s="67" customFormat="1" ht="23.4" hidden="1" x14ac:dyDescent="0.3">
      <c r="A148" s="229" t="s">
        <v>274</v>
      </c>
      <c r="B148" s="209"/>
      <c r="C148" s="209"/>
      <c r="D148" s="209"/>
      <c r="E148" s="210"/>
      <c r="F148" s="210"/>
      <c r="G148" s="210"/>
      <c r="H148" s="211"/>
      <c r="I148" s="164"/>
    </row>
    <row r="149" spans="1:11" s="67" customFormat="1" ht="18" hidden="1" x14ac:dyDescent="0.3">
      <c r="A149" s="212" t="s">
        <v>279</v>
      </c>
      <c r="B149" s="227"/>
      <c r="C149" s="214">
        <f>SUM(C151:C153)</f>
        <v>5000</v>
      </c>
      <c r="D149" s="214">
        <f t="shared" ref="D149:H149" si="84">SUM(D151:D153)</f>
        <v>6775</v>
      </c>
      <c r="E149" s="214">
        <f t="shared" si="84"/>
        <v>10750</v>
      </c>
      <c r="F149" s="214">
        <f t="shared" si="84"/>
        <v>9149.1666216666654</v>
      </c>
      <c r="G149" s="214">
        <f t="shared" si="84"/>
        <v>7694.4999010000001</v>
      </c>
      <c r="H149" s="215">
        <f t="shared" si="84"/>
        <v>6309.1996129999825</v>
      </c>
      <c r="I149" s="164"/>
    </row>
    <row r="150" spans="1:11" s="67" customFormat="1" hidden="1" x14ac:dyDescent="0.3">
      <c r="A150" s="216" t="s">
        <v>278</v>
      </c>
      <c r="B150" s="213"/>
      <c r="C150" s="213"/>
      <c r="D150" s="213"/>
      <c r="E150" s="217"/>
      <c r="F150" s="217"/>
      <c r="G150" s="217"/>
      <c r="H150" s="218"/>
      <c r="I150" s="164"/>
    </row>
    <row r="151" spans="1:11" s="67" customFormat="1" ht="15.6" hidden="1" x14ac:dyDescent="0.3">
      <c r="A151" s="219" t="s">
        <v>275</v>
      </c>
      <c r="B151" s="213"/>
      <c r="C151" s="213">
        <f t="shared" ref="C151:H151" si="85">C79+C80+C82</f>
        <v>5000</v>
      </c>
      <c r="D151" s="213">
        <f t="shared" si="85"/>
        <v>6775</v>
      </c>
      <c r="E151" s="213">
        <f t="shared" si="85"/>
        <v>9750</v>
      </c>
      <c r="F151" s="213">
        <f t="shared" si="85"/>
        <v>8482.4999549999993</v>
      </c>
      <c r="G151" s="213">
        <f t="shared" si="85"/>
        <v>7294.4999010000001</v>
      </c>
      <c r="H151" s="220">
        <f t="shared" si="85"/>
        <v>6109.1996129999825</v>
      </c>
      <c r="I151" s="164"/>
    </row>
    <row r="152" spans="1:11" s="67" customFormat="1" ht="15.6" hidden="1" x14ac:dyDescent="0.3">
      <c r="A152" s="219" t="s">
        <v>371</v>
      </c>
      <c r="B152" s="213"/>
      <c r="C152" s="213">
        <f t="shared" ref="C152:H152" si="86">C81</f>
        <v>0</v>
      </c>
      <c r="D152" s="213">
        <f t="shared" si="86"/>
        <v>0</v>
      </c>
      <c r="E152" s="213">
        <f t="shared" si="86"/>
        <v>1000</v>
      </c>
      <c r="F152" s="213">
        <f t="shared" si="86"/>
        <v>666.66666666666674</v>
      </c>
      <c r="G152" s="213">
        <f t="shared" si="86"/>
        <v>400.00000000000006</v>
      </c>
      <c r="H152" s="220">
        <f t="shared" si="86"/>
        <v>200.00000000000006</v>
      </c>
      <c r="I152" s="164"/>
    </row>
    <row r="153" spans="1:11" s="67" customFormat="1" ht="15.6" hidden="1" x14ac:dyDescent="0.3">
      <c r="A153" s="219" t="s">
        <v>276</v>
      </c>
      <c r="B153" s="213"/>
      <c r="C153" s="213"/>
      <c r="D153" s="213"/>
      <c r="E153" s="217"/>
      <c r="F153" s="217"/>
      <c r="G153" s="217"/>
      <c r="H153" s="218"/>
      <c r="I153" s="164"/>
    </row>
    <row r="154" spans="1:11" s="67" customFormat="1" ht="18" hidden="1" x14ac:dyDescent="0.3">
      <c r="A154" s="212" t="s">
        <v>277</v>
      </c>
      <c r="B154" s="213"/>
      <c r="C154" s="214">
        <f t="shared" ref="C154:H154" si="87">SUM(C156:C161)</f>
        <v>0</v>
      </c>
      <c r="D154" s="214">
        <f t="shared" si="87"/>
        <v>3986.5296803652955</v>
      </c>
      <c r="E154" s="214">
        <f t="shared" si="87"/>
        <v>3166.8301698630103</v>
      </c>
      <c r="F154" s="214">
        <f t="shared" si="87"/>
        <v>10605.010223900979</v>
      </c>
      <c r="G154" s="214">
        <f t="shared" si="87"/>
        <v>19747.041345486308</v>
      </c>
      <c r="H154" s="215">
        <f t="shared" si="87"/>
        <v>31160.25194902486</v>
      </c>
      <c r="I154" s="164"/>
    </row>
    <row r="155" spans="1:11" s="67" customFormat="1" hidden="1" x14ac:dyDescent="0.3">
      <c r="A155" s="216" t="s">
        <v>278</v>
      </c>
      <c r="B155" s="213"/>
      <c r="C155" s="213"/>
      <c r="D155" s="213"/>
      <c r="E155" s="217"/>
      <c r="F155" s="217"/>
      <c r="G155" s="217"/>
      <c r="H155" s="218"/>
      <c r="I155" s="164"/>
    </row>
    <row r="156" spans="1:11" s="67" customFormat="1" ht="15.6" hidden="1" x14ac:dyDescent="0.3">
      <c r="A156" s="219" t="s">
        <v>280</v>
      </c>
      <c r="B156" s="213"/>
      <c r="C156" s="213">
        <f t="shared" ref="C156:H156" si="88">C101</f>
        <v>0</v>
      </c>
      <c r="D156" s="213">
        <f t="shared" si="88"/>
        <v>271.23287671232879</v>
      </c>
      <c r="E156" s="213">
        <f t="shared" si="88"/>
        <v>116.08767123287672</v>
      </c>
      <c r="F156" s="213">
        <f t="shared" si="88"/>
        <v>512.72059379983602</v>
      </c>
      <c r="G156" s="213">
        <f t="shared" si="88"/>
        <v>646.0267227853692</v>
      </c>
      <c r="H156" s="220">
        <f t="shared" si="88"/>
        <v>787.61312022447476</v>
      </c>
      <c r="I156" s="164"/>
    </row>
    <row r="157" spans="1:11" s="67" customFormat="1" ht="15.6" hidden="1" x14ac:dyDescent="0.3">
      <c r="A157" s="219" t="s">
        <v>281</v>
      </c>
      <c r="B157" s="213"/>
      <c r="C157" s="213">
        <f t="shared" ref="C157:H157" si="89">C95</f>
        <v>0</v>
      </c>
      <c r="D157" s="213">
        <f t="shared" si="89"/>
        <v>336.98630136986299</v>
      </c>
      <c r="E157" s="213">
        <f t="shared" si="89"/>
        <v>214.71780821917807</v>
      </c>
      <c r="F157" s="213">
        <f t="shared" si="89"/>
        <v>617.26853999161676</v>
      </c>
      <c r="G157" s="213">
        <f t="shared" si="89"/>
        <v>755.80185806204463</v>
      </c>
      <c r="H157" s="220">
        <f t="shared" si="89"/>
        <v>902.32793981663758</v>
      </c>
      <c r="I157" s="164"/>
    </row>
    <row r="158" spans="1:11" s="67" customFormat="1" ht="15.6" hidden="1" x14ac:dyDescent="0.3">
      <c r="A158" s="219" t="s">
        <v>282</v>
      </c>
      <c r="B158" s="213"/>
      <c r="C158" s="213">
        <f t="shared" ref="C158:H158" si="90">C112</f>
        <v>0</v>
      </c>
      <c r="D158" s="213">
        <f t="shared" si="90"/>
        <v>739.72602739726028</v>
      </c>
      <c r="E158" s="213">
        <f t="shared" si="90"/>
        <v>310.68433972602742</v>
      </c>
      <c r="F158" s="213">
        <f t="shared" si="90"/>
        <v>1352.7691739793884</v>
      </c>
      <c r="G158" s="213">
        <f t="shared" si="90"/>
        <v>1688.2541434385007</v>
      </c>
      <c r="H158" s="220">
        <f t="shared" si="90"/>
        <v>2048.4134460006544</v>
      </c>
      <c r="I158" s="164"/>
    </row>
    <row r="159" spans="1:11" s="67" customFormat="1" ht="15.6" hidden="1" x14ac:dyDescent="0.3">
      <c r="A159" s="219" t="s">
        <v>283</v>
      </c>
      <c r="B159" s="213"/>
      <c r="C159" s="213">
        <f t="shared" ref="C159:H159" si="91">C104</f>
        <v>0</v>
      </c>
      <c r="D159" s="213">
        <f t="shared" si="91"/>
        <v>687.5</v>
      </c>
      <c r="E159" s="213">
        <f t="shared" si="91"/>
        <v>294.25</v>
      </c>
      <c r="F159" s="213">
        <f t="shared" si="91"/>
        <v>1299.6042828954176</v>
      </c>
      <c r="G159" s="213">
        <f t="shared" si="91"/>
        <v>1637.4982903934704</v>
      </c>
      <c r="H159" s="220">
        <f t="shared" si="91"/>
        <v>1996.3804783467588</v>
      </c>
      <c r="I159" s="164"/>
    </row>
    <row r="160" spans="1:11" s="67" customFormat="1" ht="15.6" hidden="1" x14ac:dyDescent="0.3">
      <c r="A160" s="219" t="s">
        <v>284</v>
      </c>
      <c r="B160" s="213"/>
      <c r="C160" s="213">
        <f t="shared" ref="C160:H160" si="92">C145</f>
        <v>0</v>
      </c>
      <c r="D160" s="213">
        <f t="shared" si="92"/>
        <v>1951.0844748858435</v>
      </c>
      <c r="E160" s="213">
        <f t="shared" si="92"/>
        <v>2231.0903506849281</v>
      </c>
      <c r="F160" s="213">
        <f t="shared" si="92"/>
        <v>6822.6476332347193</v>
      </c>
      <c r="G160" s="213">
        <f t="shared" si="92"/>
        <v>15019.460330806924</v>
      </c>
      <c r="H160" s="220">
        <f t="shared" si="92"/>
        <v>25425.516964636332</v>
      </c>
      <c r="I160" s="164"/>
    </row>
    <row r="161" spans="1:9" s="67" customFormat="1" ht="15.6" hidden="1" x14ac:dyDescent="0.3">
      <c r="A161" s="219" t="s">
        <v>285</v>
      </c>
      <c r="B161" s="213"/>
      <c r="C161" s="213"/>
      <c r="D161" s="213"/>
      <c r="E161" s="217"/>
      <c r="F161" s="217"/>
      <c r="G161" s="217"/>
      <c r="H161" s="218"/>
      <c r="I161" s="164"/>
    </row>
    <row r="162" spans="1:9" s="67" customFormat="1" ht="21.6" hidden="1" thickBot="1" x14ac:dyDescent="0.35">
      <c r="A162" s="221" t="s">
        <v>286</v>
      </c>
      <c r="B162" s="222"/>
      <c r="C162" s="223">
        <f>C154+C149</f>
        <v>5000</v>
      </c>
      <c r="D162" s="223">
        <f t="shared" ref="D162:H162" si="93">D154+D149</f>
        <v>10761.529680365296</v>
      </c>
      <c r="E162" s="223">
        <f t="shared" si="93"/>
        <v>13916.830169863009</v>
      </c>
      <c r="F162" s="223">
        <f t="shared" si="93"/>
        <v>19754.176845567643</v>
      </c>
      <c r="G162" s="223">
        <f t="shared" si="93"/>
        <v>27441.541246486308</v>
      </c>
      <c r="H162" s="224">
        <f t="shared" si="93"/>
        <v>37469.451562024842</v>
      </c>
      <c r="I162" s="164"/>
    </row>
    <row r="163" spans="1:9" s="67" customFormat="1" ht="23.4" hidden="1" x14ac:dyDescent="0.3">
      <c r="A163" s="229" t="s">
        <v>287</v>
      </c>
      <c r="B163" s="209"/>
      <c r="C163" s="209"/>
      <c r="D163" s="209"/>
      <c r="E163" s="210"/>
      <c r="F163" s="210"/>
      <c r="G163" s="210"/>
      <c r="H163" s="211"/>
      <c r="I163" s="164"/>
    </row>
    <row r="164" spans="1:9" s="67" customFormat="1" ht="18" hidden="1" x14ac:dyDescent="0.3">
      <c r="A164" s="212" t="s">
        <v>288</v>
      </c>
      <c r="B164" s="213"/>
      <c r="C164" s="214">
        <f t="shared" ref="C164:H164" si="94">SUM(C166:C169)</f>
        <v>5000</v>
      </c>
      <c r="D164" s="214">
        <f t="shared" si="94"/>
        <v>10300</v>
      </c>
      <c r="E164" s="214">
        <f t="shared" si="94"/>
        <v>13623.987999999999</v>
      </c>
      <c r="F164" s="214">
        <f t="shared" si="94"/>
        <v>18932.042257202957</v>
      </c>
      <c r="G164" s="214">
        <f t="shared" si="94"/>
        <v>26444.376963608789</v>
      </c>
      <c r="H164" s="215">
        <f t="shared" si="94"/>
        <v>36285.321227683366</v>
      </c>
      <c r="I164" s="164"/>
    </row>
    <row r="165" spans="1:9" s="67" customFormat="1" hidden="1" x14ac:dyDescent="0.3">
      <c r="A165" s="216" t="s">
        <v>278</v>
      </c>
      <c r="B165" s="213"/>
      <c r="C165" s="213"/>
      <c r="D165" s="213"/>
      <c r="E165" s="217"/>
      <c r="F165" s="217"/>
      <c r="G165" s="217"/>
      <c r="H165" s="218"/>
      <c r="I165" s="164"/>
    </row>
    <row r="166" spans="1:9" s="67" customFormat="1" ht="15.6" hidden="1" x14ac:dyDescent="0.3">
      <c r="A166" s="219" t="s">
        <v>289</v>
      </c>
      <c r="B166" s="213"/>
      <c r="C166" s="213">
        <f>C5</f>
        <v>5000</v>
      </c>
      <c r="D166" s="213">
        <f>C166+D5</f>
        <v>7000</v>
      </c>
      <c r="E166" s="213">
        <f>D166+E5</f>
        <v>12000</v>
      </c>
      <c r="F166" s="213">
        <f>E166+F5</f>
        <v>12000</v>
      </c>
      <c r="G166" s="213">
        <f>F166+G5</f>
        <v>12000</v>
      </c>
      <c r="H166" s="220">
        <f>G166+H5</f>
        <v>12000</v>
      </c>
      <c r="I166" s="164"/>
    </row>
    <row r="167" spans="1:9" s="67" customFormat="1" ht="15.6" hidden="1" x14ac:dyDescent="0.3">
      <c r="A167" s="219" t="s">
        <v>290</v>
      </c>
      <c r="B167" s="213"/>
      <c r="C167" s="213"/>
      <c r="D167" s="213">
        <f>C32</f>
        <v>0</v>
      </c>
      <c r="E167" s="213">
        <f>D167+E32</f>
        <v>825</v>
      </c>
      <c r="F167" s="213">
        <f>E167+F32</f>
        <v>825</v>
      </c>
      <c r="G167" s="213">
        <f>F167+G32</f>
        <v>2152.0135643007388</v>
      </c>
      <c r="H167" s="220">
        <f>G167+H32</f>
        <v>4030.097240902197</v>
      </c>
      <c r="I167" s="164"/>
    </row>
    <row r="168" spans="1:9" s="67" customFormat="1" ht="15.6" hidden="1" x14ac:dyDescent="0.3">
      <c r="A168" s="219" t="s">
        <v>291</v>
      </c>
      <c r="B168" s="213"/>
      <c r="C168" s="213">
        <v>0</v>
      </c>
      <c r="D168" s="213">
        <f>C169-C32</f>
        <v>0</v>
      </c>
      <c r="E168" s="213">
        <f>D169-E32</f>
        <v>2475</v>
      </c>
      <c r="F168" s="213">
        <f>E168+E169-F32</f>
        <v>798.98799999999937</v>
      </c>
      <c r="G168" s="213">
        <f>F168+F169-G32</f>
        <v>4780.0286929022168</v>
      </c>
      <c r="H168" s="220">
        <f>G168+G169-H32</f>
        <v>10414.279722706591</v>
      </c>
      <c r="I168" s="164"/>
    </row>
    <row r="169" spans="1:9" s="67" customFormat="1" ht="15.6" hidden="1" x14ac:dyDescent="0.3">
      <c r="A169" s="219" t="s">
        <v>292</v>
      </c>
      <c r="B169" s="213"/>
      <c r="C169" s="213">
        <f t="shared" ref="C169:H169" si="95">C25</f>
        <v>0</v>
      </c>
      <c r="D169" s="213">
        <f t="shared" si="95"/>
        <v>3300</v>
      </c>
      <c r="E169" s="213">
        <f t="shared" si="95"/>
        <v>-1676.0120000000006</v>
      </c>
      <c r="F169" s="213">
        <f t="shared" si="95"/>
        <v>5308.0542572029563</v>
      </c>
      <c r="G169" s="213">
        <f t="shared" si="95"/>
        <v>7512.3347064058325</v>
      </c>
      <c r="H169" s="220">
        <f t="shared" si="95"/>
        <v>9840.9442640745801</v>
      </c>
      <c r="I169" s="164"/>
    </row>
    <row r="170" spans="1:9" s="67" customFormat="1" ht="18" hidden="1" x14ac:dyDescent="0.3">
      <c r="A170" s="212" t="s">
        <v>297</v>
      </c>
      <c r="B170" s="213"/>
      <c r="C170" s="214">
        <f>SUM(C172:C174)</f>
        <v>0</v>
      </c>
      <c r="D170" s="214">
        <f t="shared" ref="D170:H170" si="96">SUM(D172:D174)</f>
        <v>0</v>
      </c>
      <c r="E170" s="214">
        <f t="shared" si="96"/>
        <v>0</v>
      </c>
      <c r="F170" s="214">
        <f t="shared" si="96"/>
        <v>0</v>
      </c>
      <c r="G170" s="214">
        <f t="shared" si="96"/>
        <v>0</v>
      </c>
      <c r="H170" s="215">
        <f t="shared" si="96"/>
        <v>0</v>
      </c>
      <c r="I170" s="164"/>
    </row>
    <row r="171" spans="1:9" s="67" customFormat="1" hidden="1" x14ac:dyDescent="0.3">
      <c r="A171" s="216" t="s">
        <v>278</v>
      </c>
      <c r="B171" s="213"/>
      <c r="C171" s="213"/>
      <c r="D171" s="213"/>
      <c r="E171" s="217"/>
      <c r="F171" s="217"/>
      <c r="G171" s="217"/>
      <c r="H171" s="218"/>
      <c r="I171" s="164"/>
    </row>
    <row r="172" spans="1:9" s="67" customFormat="1" ht="15.6" hidden="1" x14ac:dyDescent="0.3">
      <c r="A172" s="219" t="s">
        <v>293</v>
      </c>
      <c r="B172" s="213"/>
      <c r="C172" s="213"/>
      <c r="D172" s="213"/>
      <c r="E172" s="217"/>
      <c r="F172" s="217"/>
      <c r="G172" s="217"/>
      <c r="H172" s="218"/>
      <c r="I172" s="164"/>
    </row>
    <row r="173" spans="1:9" s="67" customFormat="1" ht="15.6" hidden="1" x14ac:dyDescent="0.3">
      <c r="A173" s="219" t="s">
        <v>294</v>
      </c>
      <c r="B173" s="213"/>
      <c r="C173" s="213"/>
      <c r="D173" s="213"/>
      <c r="E173" s="217"/>
      <c r="F173" s="217"/>
      <c r="G173" s="217"/>
      <c r="H173" s="218"/>
      <c r="I173" s="164"/>
    </row>
    <row r="174" spans="1:9" s="67" customFormat="1" ht="15.6" hidden="1" x14ac:dyDescent="0.3">
      <c r="A174" s="219" t="s">
        <v>295</v>
      </c>
      <c r="B174" s="213"/>
      <c r="C174" s="213"/>
      <c r="D174" s="213"/>
      <c r="E174" s="217"/>
      <c r="F174" s="217"/>
      <c r="G174" s="217"/>
      <c r="H174" s="218"/>
      <c r="I174" s="164"/>
    </row>
    <row r="175" spans="1:9" s="67" customFormat="1" ht="18" hidden="1" x14ac:dyDescent="0.3">
      <c r="A175" s="212" t="s">
        <v>296</v>
      </c>
      <c r="B175" s="213"/>
      <c r="C175" s="214">
        <f>SUM(C177:C180)</f>
        <v>0</v>
      </c>
      <c r="D175" s="214">
        <f t="shared" ref="D175:H175" si="97">SUM(D177:D180)</f>
        <v>461.52968036529683</v>
      </c>
      <c r="E175" s="214">
        <f t="shared" si="97"/>
        <v>292.84216986301368</v>
      </c>
      <c r="F175" s="214">
        <f t="shared" si="97"/>
        <v>822.1345883646942</v>
      </c>
      <c r="G175" s="214">
        <f t="shared" si="97"/>
        <v>997.16428287753229</v>
      </c>
      <c r="H175" s="215">
        <f t="shared" si="97"/>
        <v>1184.130334341485</v>
      </c>
      <c r="I175" s="164"/>
    </row>
    <row r="176" spans="1:9" s="67" customFormat="1" hidden="1" x14ac:dyDescent="0.3">
      <c r="A176" s="216" t="s">
        <v>278</v>
      </c>
      <c r="B176" s="213"/>
      <c r="C176" s="213"/>
      <c r="D176" s="213"/>
      <c r="E176" s="217"/>
      <c r="F176" s="217"/>
      <c r="G176" s="217"/>
      <c r="H176" s="218"/>
      <c r="I176" s="164"/>
    </row>
    <row r="177" spans="1:11" s="67" customFormat="1" ht="15.6" hidden="1" x14ac:dyDescent="0.3">
      <c r="A177" s="219" t="s">
        <v>298</v>
      </c>
      <c r="B177" s="213"/>
      <c r="C177" s="213"/>
      <c r="D177" s="213"/>
      <c r="E177" s="217"/>
      <c r="F177" s="217"/>
      <c r="G177" s="217"/>
      <c r="H177" s="218"/>
      <c r="I177" s="164"/>
    </row>
    <row r="178" spans="1:11" s="67" customFormat="1" ht="15.6" hidden="1" x14ac:dyDescent="0.3">
      <c r="A178" s="219" t="s">
        <v>299</v>
      </c>
      <c r="B178" s="213"/>
      <c r="C178" s="213"/>
      <c r="D178" s="213"/>
      <c r="E178" s="217"/>
      <c r="F178" s="217"/>
      <c r="G178" s="217"/>
      <c r="H178" s="218"/>
      <c r="I178" s="164"/>
    </row>
    <row r="179" spans="1:11" s="67" customFormat="1" ht="15.6" hidden="1" x14ac:dyDescent="0.3">
      <c r="A179" s="219" t="s">
        <v>300</v>
      </c>
      <c r="B179" s="213"/>
      <c r="C179" s="213">
        <f t="shared" ref="C179:H179" si="98">C122</f>
        <v>0</v>
      </c>
      <c r="D179" s="213">
        <f t="shared" si="98"/>
        <v>461.52968036529683</v>
      </c>
      <c r="E179" s="213">
        <f t="shared" si="98"/>
        <v>292.84216986301368</v>
      </c>
      <c r="F179" s="213">
        <f t="shared" si="98"/>
        <v>822.1345883646942</v>
      </c>
      <c r="G179" s="213">
        <f t="shared" si="98"/>
        <v>997.16428287753229</v>
      </c>
      <c r="H179" s="220">
        <f t="shared" si="98"/>
        <v>1184.130334341485</v>
      </c>
      <c r="I179" s="164"/>
    </row>
    <row r="180" spans="1:11" s="67" customFormat="1" ht="15.6" hidden="1" x14ac:dyDescent="0.3">
      <c r="A180" s="219" t="s">
        <v>301</v>
      </c>
      <c r="B180" s="213"/>
      <c r="C180" s="213"/>
      <c r="D180" s="213"/>
      <c r="E180" s="217"/>
      <c r="F180" s="217"/>
      <c r="G180" s="217"/>
      <c r="H180" s="218"/>
      <c r="I180" s="164"/>
    </row>
    <row r="181" spans="1:11" s="67" customFormat="1" ht="21.6" hidden="1" thickBot="1" x14ac:dyDescent="0.35">
      <c r="A181" s="221" t="s">
        <v>302</v>
      </c>
      <c r="B181" s="222"/>
      <c r="C181" s="223">
        <f t="shared" ref="C181:H181" si="99">C164+C170+C175</f>
        <v>5000</v>
      </c>
      <c r="D181" s="223">
        <f t="shared" si="99"/>
        <v>10761.529680365296</v>
      </c>
      <c r="E181" s="223">
        <f t="shared" si="99"/>
        <v>13916.830169863013</v>
      </c>
      <c r="F181" s="223">
        <f t="shared" si="99"/>
        <v>19754.17684556765</v>
      </c>
      <c r="G181" s="223">
        <f t="shared" si="99"/>
        <v>27441.541246486322</v>
      </c>
      <c r="H181" s="224">
        <f t="shared" si="99"/>
        <v>37469.451562024849</v>
      </c>
      <c r="I181" s="164"/>
    </row>
    <row r="182" spans="1:11" s="67" customFormat="1" ht="18" hidden="1" x14ac:dyDescent="0.3">
      <c r="A182" s="232" t="s">
        <v>349</v>
      </c>
      <c r="E182" s="163"/>
      <c r="F182" s="163"/>
      <c r="G182" s="163"/>
      <c r="H182" s="163"/>
      <c r="I182" s="164"/>
    </row>
    <row r="183" spans="1:11" ht="28.8" hidden="1" x14ac:dyDescent="0.3">
      <c r="A183" s="233" t="s">
        <v>350</v>
      </c>
      <c r="B183" s="5"/>
      <c r="C183" s="9"/>
      <c r="D183" s="9"/>
      <c r="E183" s="9"/>
      <c r="F183" s="9"/>
      <c r="G183" s="9"/>
      <c r="H183" s="9"/>
      <c r="I183" s="9"/>
      <c r="J183" s="68"/>
      <c r="K183" s="68"/>
    </row>
    <row r="184" spans="1:11" ht="28.8" hidden="1" x14ac:dyDescent="0.3">
      <c r="A184" s="233" t="s">
        <v>351</v>
      </c>
      <c r="B184" s="5"/>
      <c r="C184" s="9"/>
      <c r="D184" s="9"/>
      <c r="E184" s="9"/>
      <c r="F184" s="9"/>
      <c r="G184" s="9"/>
      <c r="H184" s="9"/>
      <c r="I184" s="9"/>
      <c r="J184" s="68"/>
      <c r="K184" s="68"/>
    </row>
    <row r="185" spans="1:11" hidden="1" x14ac:dyDescent="0.3">
      <c r="A185" s="234" t="s">
        <v>375</v>
      </c>
      <c r="G185" s="68"/>
      <c r="J185" s="68"/>
      <c r="K185" s="68"/>
    </row>
    <row r="186" spans="1:11" ht="28.8" hidden="1" x14ac:dyDescent="0.3">
      <c r="A186" s="233" t="s">
        <v>358</v>
      </c>
    </row>
    <row r="187" spans="1:11" hidden="1" x14ac:dyDescent="0.3">
      <c r="A187" s="234" t="s">
        <v>362</v>
      </c>
    </row>
    <row r="188" spans="1:11" hidden="1" x14ac:dyDescent="0.3">
      <c r="A188" s="234" t="s">
        <v>359</v>
      </c>
    </row>
    <row r="189" spans="1:11" ht="28.8" hidden="1" x14ac:dyDescent="0.3">
      <c r="A189" s="233" t="s">
        <v>376</v>
      </c>
    </row>
    <row r="190" spans="1:11" hidden="1" x14ac:dyDescent="0.3">
      <c r="A190" s="234" t="s">
        <v>354</v>
      </c>
    </row>
    <row r="191" spans="1:11" hidden="1" x14ac:dyDescent="0.3">
      <c r="A191" s="234" t="s">
        <v>374</v>
      </c>
    </row>
    <row r="192" spans="1:11" hidden="1" x14ac:dyDescent="0.3">
      <c r="A192" s="234" t="s">
        <v>380</v>
      </c>
    </row>
    <row r="193" spans="1:12" ht="15" hidden="1" thickBot="1" x14ac:dyDescent="0.35">
      <c r="A193" s="235" t="s">
        <v>382</v>
      </c>
    </row>
    <row r="194" spans="1:12" ht="58.2" thickBot="1" x14ac:dyDescent="0.35">
      <c r="A194" s="182" t="s">
        <v>405</v>
      </c>
      <c r="B194" s="67"/>
      <c r="C194" s="61" t="s">
        <v>6</v>
      </c>
      <c r="D194" s="62" t="s">
        <v>1</v>
      </c>
      <c r="E194" s="62" t="s">
        <v>2</v>
      </c>
      <c r="F194" s="62" t="s">
        <v>3</v>
      </c>
      <c r="G194" s="62" t="s">
        <v>4</v>
      </c>
      <c r="H194" s="62" t="s">
        <v>5</v>
      </c>
      <c r="I194" s="63" t="s">
        <v>11</v>
      </c>
      <c r="J194" s="63" t="s">
        <v>407</v>
      </c>
    </row>
    <row r="195" spans="1:12" ht="36.6" thickBot="1" x14ac:dyDescent="0.35">
      <c r="A195" s="236" t="s">
        <v>406</v>
      </c>
    </row>
    <row r="196" spans="1:12" ht="18.600000000000001" thickBot="1" x14ac:dyDescent="0.35">
      <c r="A196" s="18" t="s">
        <v>234</v>
      </c>
      <c r="B196" s="136">
        <f>'Proj Ratios Var'!B61</f>
        <v>0.18516293810914031</v>
      </c>
    </row>
    <row r="197" spans="1:12" ht="18.600000000000001" thickBot="1" x14ac:dyDescent="0.35">
      <c r="A197" s="18" t="s">
        <v>399</v>
      </c>
      <c r="C197" s="80">
        <f>C144</f>
        <v>-5000</v>
      </c>
      <c r="D197" s="80">
        <f t="shared" ref="D197:H197" si="100">D144</f>
        <v>1951.0844748858435</v>
      </c>
      <c r="E197" s="80">
        <f t="shared" si="100"/>
        <v>280.00587579908461</v>
      </c>
      <c r="F197" s="80">
        <f t="shared" si="100"/>
        <v>4591.5572825497911</v>
      </c>
      <c r="G197" s="80">
        <f t="shared" si="100"/>
        <v>8196.8126975722043</v>
      </c>
      <c r="H197" s="80">
        <f t="shared" si="100"/>
        <v>10406.056633829408</v>
      </c>
      <c r="I197" s="238">
        <f>SUM(C197:H197)</f>
        <v>20425.516964636332</v>
      </c>
      <c r="J197" s="237">
        <f>'Proj Ratios Var'!I63</f>
        <v>24976.386169999991</v>
      </c>
    </row>
    <row r="198" spans="1:12" ht="21.6" thickBot="1" x14ac:dyDescent="0.35">
      <c r="A198" s="170" t="s">
        <v>225</v>
      </c>
      <c r="B198" s="117"/>
      <c r="C198" s="8">
        <f>C197*'Proj Ratios Var'!C65</f>
        <v>-5000</v>
      </c>
      <c r="D198" s="8">
        <f>D197*'Proj Ratios Var'!D65</f>
        <v>1646.2584275531663</v>
      </c>
      <c r="E198" s="8">
        <f>E197*'Proj Ratios Var'!E65</f>
        <v>199.34760438972452</v>
      </c>
      <c r="F198" s="8">
        <f>F197*'Proj Ratios Var'!F65</f>
        <v>2758.2004241295062</v>
      </c>
      <c r="G198" s="8">
        <f>G197*'Proj Ratios Var'!G65</f>
        <v>4154.6339289987673</v>
      </c>
      <c r="H198" s="8">
        <f>H197*'Proj Ratios Var'!H65</f>
        <v>4450.3674999644272</v>
      </c>
      <c r="I198" s="86">
        <f>SUM(C198:H198)</f>
        <v>8208.8078850355923</v>
      </c>
      <c r="J198" s="237">
        <f>'Proj Ratios Var'!I66</f>
        <v>11007.325678089361</v>
      </c>
    </row>
    <row r="199" spans="1:12" ht="21.6" thickBot="1" x14ac:dyDescent="0.35">
      <c r="A199" s="240" t="s">
        <v>408</v>
      </c>
      <c r="I199" s="96">
        <f>IRR(C197:H197,0.0001)</f>
        <v>0.56830619740549615</v>
      </c>
      <c r="J199" s="239">
        <f>'Proj Ratios Var'!I68</f>
        <v>0.71462228398451022</v>
      </c>
    </row>
    <row r="200" spans="1:12" ht="16.2" thickBot="1" x14ac:dyDescent="0.35">
      <c r="A200" s="241" t="s">
        <v>409</v>
      </c>
      <c r="B200" s="241"/>
      <c r="C200" s="242">
        <f>C198</f>
        <v>-5000</v>
      </c>
      <c r="D200" s="242">
        <f>C200+D198</f>
        <v>-3353.7415724468337</v>
      </c>
      <c r="E200" s="242">
        <f t="shared" ref="E200:H200" si="101">D200+E198</f>
        <v>-3154.3939680571093</v>
      </c>
      <c r="F200" s="242">
        <f t="shared" si="101"/>
        <v>-396.19354392760306</v>
      </c>
      <c r="G200" s="242">
        <f t="shared" si="101"/>
        <v>3758.4403850711642</v>
      </c>
      <c r="H200" s="242">
        <f t="shared" si="101"/>
        <v>8208.8078850355923</v>
      </c>
    </row>
    <row r="201" spans="1:12" ht="21.6" thickBot="1" x14ac:dyDescent="0.35">
      <c r="A201" s="240" t="s">
        <v>170</v>
      </c>
      <c r="G201" s="20">
        <f>G200/G198</f>
        <v>0.90463815809084236</v>
      </c>
      <c r="I201" s="90">
        <f>COUNTIF(C200:H200,"&lt;0")-G201</f>
        <v>3.0953618419091575</v>
      </c>
      <c r="J201" s="100">
        <f>'Proj Ratios Var'!I92</f>
        <v>2.5833994956627619</v>
      </c>
    </row>
    <row r="202" spans="1:12" ht="15.6" x14ac:dyDescent="0.3">
      <c r="A202" s="241" t="s">
        <v>133</v>
      </c>
      <c r="B202" s="136">
        <f>'Proj Ratios Var'!B97</f>
        <v>0.1</v>
      </c>
      <c r="C202" s="243">
        <f>IF(C197&gt;0,C197*'Proj Ratios Var'!C75,0)</f>
        <v>0</v>
      </c>
      <c r="D202" s="243">
        <f>IF(D197&gt;0,D197*'Proj Ratios Var'!D75,0)</f>
        <v>2856.5827796803642</v>
      </c>
      <c r="E202" s="243">
        <f>IF(E197&gt;0,E197*'Proj Ratios Var'!E75,0)</f>
        <v>372.68782068858172</v>
      </c>
      <c r="F202" s="243">
        <f>IF(F197&gt;0,F197*'Proj Ratios Var'!F75,0)</f>
        <v>5555.7843118852479</v>
      </c>
      <c r="G202" s="243">
        <f>IF(G197&gt;0,G197*'Proj Ratios Var'!G75,0)</f>
        <v>9016.4939673294248</v>
      </c>
      <c r="H202" s="243">
        <f>IF(H197&gt;0,H197*'Proj Ratios Var'!H75,0)</f>
        <v>10406.056633829408</v>
      </c>
      <c r="I202" s="30">
        <f>SUM(C202:H202)</f>
        <v>28207.605513413029</v>
      </c>
    </row>
    <row r="203" spans="1:12" ht="15.6" x14ac:dyDescent="0.3">
      <c r="A203" s="241" t="s">
        <v>411</v>
      </c>
      <c r="B203" s="136">
        <f>B196</f>
        <v>0.18516293810914031</v>
      </c>
      <c r="C203" s="30">
        <f>IF(C197&lt;0,-C197*'Proj Ratios Var'!C76,0)</f>
        <v>5000</v>
      </c>
      <c r="D203" s="30">
        <f>IF(D197&lt;0,-D197*'Proj Ratios Var'!D76,0)</f>
        <v>0</v>
      </c>
      <c r="E203" s="30">
        <f>IF(E197&lt;0,-E197*'Proj Ratios Var'!E76,0)</f>
        <v>0</v>
      </c>
      <c r="F203" s="30">
        <f>IF(F197&lt;0,-F197*'Proj Ratios Var'!F76,0)</f>
        <v>0</v>
      </c>
      <c r="G203" s="30">
        <f>IF(G197&lt;0,-G197*'Proj Ratios Var'!G76,0)</f>
        <v>0</v>
      </c>
      <c r="H203" s="30">
        <f>IF(H197&lt;0,-H197*'Proj Ratios Var'!H76,0)</f>
        <v>0</v>
      </c>
      <c r="I203" s="30">
        <f>SUM(C203:H203)</f>
        <v>5000</v>
      </c>
      <c r="L203" s="20"/>
    </row>
    <row r="204" spans="1:12" ht="16.2" thickBot="1" x14ac:dyDescent="0.35">
      <c r="A204" s="241" t="s">
        <v>144</v>
      </c>
      <c r="B204" s="136">
        <f>B203</f>
        <v>0.18516293810914031</v>
      </c>
      <c r="I204" s="30">
        <f>I202/(1+B204)^G4</f>
        <v>12063.571749226045</v>
      </c>
      <c r="L204" s="20"/>
    </row>
    <row r="205" spans="1:12" ht="21.6" thickBot="1" x14ac:dyDescent="0.35">
      <c r="A205" s="240" t="s">
        <v>172</v>
      </c>
      <c r="I205" s="86">
        <f>I204-I203</f>
        <v>7063.5717492260446</v>
      </c>
      <c r="J205" s="244">
        <f>'Proj Ratios Var'!I80</f>
        <v>9338.6136917972744</v>
      </c>
    </row>
    <row r="206" spans="1:12" ht="42.6" thickBot="1" x14ac:dyDescent="0.35">
      <c r="A206" s="240" t="s">
        <v>126</v>
      </c>
      <c r="I206" s="92">
        <f>MIRR(C197:H197,B203,B202)</f>
        <v>0.41344607245511478</v>
      </c>
      <c r="J206" s="245">
        <f>'Proj Ratios Var'!I82</f>
        <v>0.44660141593824876</v>
      </c>
    </row>
    <row r="207" spans="1:12" ht="58.2" thickBot="1" x14ac:dyDescent="0.35">
      <c r="A207" s="182" t="s">
        <v>412</v>
      </c>
      <c r="B207" s="67"/>
      <c r="C207" s="61" t="s">
        <v>6</v>
      </c>
      <c r="D207" s="62" t="s">
        <v>1</v>
      </c>
      <c r="E207" s="62" t="s">
        <v>2</v>
      </c>
      <c r="F207" s="62" t="s">
        <v>3</v>
      </c>
      <c r="G207" s="62" t="s">
        <v>4</v>
      </c>
      <c r="H207" s="62" t="s">
        <v>5</v>
      </c>
      <c r="I207" s="63" t="s">
        <v>237</v>
      </c>
    </row>
    <row r="208" spans="1:12" ht="36.6" thickBot="1" x14ac:dyDescent="0.35">
      <c r="A208" s="18" t="s">
        <v>414</v>
      </c>
      <c r="C208" s="3">
        <f>C149</f>
        <v>5000</v>
      </c>
      <c r="D208" s="3">
        <f t="shared" ref="D208:H208" si="102">D149</f>
        <v>6775</v>
      </c>
      <c r="E208" s="3">
        <f t="shared" si="102"/>
        <v>10750</v>
      </c>
      <c r="F208" s="3">
        <f t="shared" si="102"/>
        <v>9149.1666216666654</v>
      </c>
      <c r="G208" s="3">
        <f t="shared" si="102"/>
        <v>7694.4999010000001</v>
      </c>
      <c r="H208" s="3">
        <f t="shared" si="102"/>
        <v>6309.1996129999825</v>
      </c>
      <c r="I208" s="244">
        <f>AVERAGE(C208:H208)</f>
        <v>7612.9776892777745</v>
      </c>
      <c r="J208"/>
    </row>
    <row r="209" spans="1:12" ht="18.600000000000001" thickBot="1" x14ac:dyDescent="0.35">
      <c r="A209" s="14" t="s">
        <v>413</v>
      </c>
      <c r="C209" s="3">
        <f>C25</f>
        <v>0</v>
      </c>
      <c r="D209" s="3">
        <f t="shared" ref="D209:H209" si="103">D25</f>
        <v>3300</v>
      </c>
      <c r="E209" s="3">
        <f t="shared" si="103"/>
        <v>-1676.0120000000006</v>
      </c>
      <c r="F209" s="3">
        <f t="shared" si="103"/>
        <v>5308.0542572029563</v>
      </c>
      <c r="G209" s="3">
        <f t="shared" si="103"/>
        <v>7512.3347064058325</v>
      </c>
      <c r="H209" s="3">
        <f t="shared" si="103"/>
        <v>9840.9442640745801</v>
      </c>
      <c r="I209" s="244">
        <f>AVERAGE(C209:H209)</f>
        <v>4047.5535379472281</v>
      </c>
    </row>
    <row r="210" spans="1:12" ht="21.6" thickBot="1" x14ac:dyDescent="0.35">
      <c r="A210" s="159" t="s">
        <v>443</v>
      </c>
      <c r="I210" s="92">
        <f>I209/I208</f>
        <v>0.53166496778886663</v>
      </c>
    </row>
    <row r="211" spans="1:12" ht="54.6" thickBot="1" x14ac:dyDescent="0.35">
      <c r="A211" s="182" t="s">
        <v>442</v>
      </c>
      <c r="B211" s="67"/>
      <c r="C211" s="61" t="s">
        <v>6</v>
      </c>
      <c r="D211" s="62" t="s">
        <v>1</v>
      </c>
      <c r="E211" s="62" t="s">
        <v>2</v>
      </c>
      <c r="F211" s="62" t="s">
        <v>3</v>
      </c>
      <c r="G211" s="62" t="s">
        <v>4</v>
      </c>
      <c r="H211" s="62" t="s">
        <v>5</v>
      </c>
      <c r="I211" s="63" t="s">
        <v>237</v>
      </c>
    </row>
    <row r="212" spans="1:12" ht="18" x14ac:dyDescent="0.3">
      <c r="A212" s="14" t="s">
        <v>444</v>
      </c>
      <c r="D212" s="3">
        <f>D25-D23-D21</f>
        <v>3925</v>
      </c>
      <c r="E212" s="3">
        <f>E25-E23-E21</f>
        <v>-231.01200000000063</v>
      </c>
      <c r="F212" s="3">
        <f>F25-F23-F21</f>
        <v>7328.88770553629</v>
      </c>
      <c r="G212" s="3">
        <f>G25-G23-G21</f>
        <v>9366.9854937364998</v>
      </c>
      <c r="H212" s="3">
        <f>H25-H23-H21</f>
        <v>11631.228419571898</v>
      </c>
    </row>
    <row r="213" spans="1:12" ht="18.600000000000001" thickBot="1" x14ac:dyDescent="0.35">
      <c r="A213" s="14" t="s">
        <v>445</v>
      </c>
      <c r="D213" s="3">
        <f>-D18-D23</f>
        <v>5400</v>
      </c>
      <c r="E213" s="3">
        <f t="shared" ref="E213:H213" si="104">-E18-E23</f>
        <v>6420</v>
      </c>
      <c r="F213" s="3">
        <f t="shared" si="104"/>
        <v>7420.0000700000001</v>
      </c>
      <c r="G213" s="3">
        <f t="shared" si="104"/>
        <v>8399.9840666639993</v>
      </c>
      <c r="H213" s="3">
        <f t="shared" si="104"/>
        <v>9404.9838674972998</v>
      </c>
    </row>
    <row r="214" spans="1:12" ht="21.6" thickBot="1" x14ac:dyDescent="0.35">
      <c r="A214" s="159" t="s">
        <v>446</v>
      </c>
      <c r="D214" s="102">
        <f>D212/D213</f>
        <v>0.72685185185185186</v>
      </c>
      <c r="E214" s="102">
        <f t="shared" ref="E214:H214" si="105">E212/E213</f>
        <v>-3.5983177570093554E-2</v>
      </c>
      <c r="F214" s="102">
        <f t="shared" si="105"/>
        <v>0.98772070571372517</v>
      </c>
      <c r="G214" s="102">
        <f t="shared" si="105"/>
        <v>1.1151194358701373</v>
      </c>
      <c r="H214" s="102">
        <f t="shared" si="105"/>
        <v>1.2367090240067589</v>
      </c>
      <c r="I214" s="88">
        <f>AVERAGE(D214:H214)</f>
        <v>0.80608356797447589</v>
      </c>
    </row>
    <row r="215" spans="1:12" ht="15" thickBot="1" x14ac:dyDescent="0.35"/>
    <row r="216" spans="1:12" ht="58.2" thickBot="1" x14ac:dyDescent="0.35">
      <c r="A216" s="252" t="s">
        <v>451</v>
      </c>
      <c r="B216" s="67"/>
      <c r="C216" s="61" t="s">
        <v>6</v>
      </c>
      <c r="D216" s="62" t="s">
        <v>1</v>
      </c>
      <c r="E216" s="62" t="s">
        <v>2</v>
      </c>
      <c r="F216" s="62" t="s">
        <v>3</v>
      </c>
      <c r="G216" s="62" t="s">
        <v>4</v>
      </c>
      <c r="H216" s="62" t="s">
        <v>5</v>
      </c>
      <c r="I216" s="63" t="s">
        <v>449</v>
      </c>
    </row>
    <row r="217" spans="1:12" ht="29.4" thickBot="1" x14ac:dyDescent="0.35">
      <c r="A217" s="182" t="s">
        <v>450</v>
      </c>
      <c r="C217" s="1">
        <v>0</v>
      </c>
      <c r="D217" s="1">
        <v>1</v>
      </c>
      <c r="E217" s="1">
        <v>2</v>
      </c>
      <c r="F217" s="1">
        <v>3</v>
      </c>
      <c r="G217" s="1">
        <v>4</v>
      </c>
      <c r="H217" s="1">
        <v>5</v>
      </c>
    </row>
    <row r="218" spans="1:12" ht="21.6" thickBot="1" x14ac:dyDescent="0.35">
      <c r="A218" s="159" t="s">
        <v>447</v>
      </c>
      <c r="D218" s="1">
        <f>740-J218</f>
        <v>0</v>
      </c>
      <c r="E218" s="1">
        <f>D218*0.42027</f>
        <v>0</v>
      </c>
      <c r="F218" s="1">
        <f>E218*4.35048</f>
        <v>0</v>
      </c>
      <c r="G218" s="1">
        <f>F218*1.2476</f>
        <v>0</v>
      </c>
      <c r="H218" s="1">
        <f>G218*1.21327</f>
        <v>0</v>
      </c>
      <c r="J218" s="254">
        <v>740</v>
      </c>
      <c r="K218" s="1" t="s">
        <v>462</v>
      </c>
      <c r="L218" s="82"/>
    </row>
    <row r="219" spans="1:12" ht="21.6" thickBot="1" x14ac:dyDescent="0.35">
      <c r="A219" s="159"/>
      <c r="D219" s="1">
        <f>J219-462</f>
        <v>0</v>
      </c>
      <c r="E219" s="1">
        <f>D219*0.633858</f>
        <v>0</v>
      </c>
      <c r="F219" s="1">
        <f>E219*2.805461</f>
        <v>0</v>
      </c>
      <c r="G219" s="1">
        <f>F219*1.213</f>
        <v>0</v>
      </c>
      <c r="H219" s="1">
        <f>G219*1.18763</f>
        <v>0</v>
      </c>
      <c r="J219" s="254">
        <v>462</v>
      </c>
      <c r="K219" s="1" t="s">
        <v>463</v>
      </c>
      <c r="L219" s="82"/>
    </row>
    <row r="220" spans="1:12" ht="15.6" x14ac:dyDescent="0.3">
      <c r="A220" s="30" t="s">
        <v>448</v>
      </c>
      <c r="C220" s="1">
        <f>C7</f>
        <v>0</v>
      </c>
      <c r="D220" s="263">
        <f>D7</f>
        <v>75</v>
      </c>
      <c r="E220" s="1">
        <f>D220*0.4</f>
        <v>30</v>
      </c>
      <c r="F220" s="1">
        <f>E220*4.166667</f>
        <v>125.00001</v>
      </c>
      <c r="G220" s="1">
        <f>F220*1.2</f>
        <v>150.000012</v>
      </c>
      <c r="H220" s="1">
        <f>G220*1.166667</f>
        <v>175.00006400000399</v>
      </c>
    </row>
    <row r="221" spans="1:12" ht="15.6" x14ac:dyDescent="0.3">
      <c r="A221" s="177" t="s">
        <v>203</v>
      </c>
      <c r="C221" s="1">
        <f>C8</f>
        <v>0</v>
      </c>
      <c r="D221" s="264">
        <f t="shared" ref="D221" si="106">D8</f>
        <v>0.06</v>
      </c>
      <c r="E221" s="253">
        <f>D221*0.8333</f>
        <v>4.9998000000000001E-2</v>
      </c>
      <c r="F221" s="253">
        <f>E221*0.9</f>
        <v>4.4998200000000002E-2</v>
      </c>
      <c r="G221" s="253">
        <f>F221*0.8889</f>
        <v>3.9998899980000002E-2</v>
      </c>
      <c r="H221" s="253">
        <f>G221</f>
        <v>3.9998899980000002E-2</v>
      </c>
      <c r="K221" s="83"/>
    </row>
    <row r="222" spans="1:12" ht="15.6" x14ac:dyDescent="0.3">
      <c r="A222" s="177" t="s">
        <v>204</v>
      </c>
      <c r="C222" s="1">
        <f>C11</f>
        <v>0</v>
      </c>
      <c r="D222" s="264">
        <f t="shared" ref="D222" si="107">D11</f>
        <v>0.08</v>
      </c>
      <c r="E222" s="253">
        <f>D222*0.875</f>
        <v>7.0000000000000007E-2</v>
      </c>
      <c r="F222" s="253">
        <f>E222*0.857143</f>
        <v>6.0000010000000006E-2</v>
      </c>
      <c r="G222" s="253">
        <f>F222*0.8333</f>
        <v>4.9998008333000006E-2</v>
      </c>
      <c r="H222" s="253">
        <f>G222*0.9</f>
        <v>4.4998207499700009E-2</v>
      </c>
    </row>
    <row r="223" spans="1:12" ht="15.6" x14ac:dyDescent="0.3">
      <c r="A223" s="177" t="s">
        <v>205</v>
      </c>
      <c r="C223" s="1">
        <f>C19</f>
        <v>0</v>
      </c>
      <c r="D223" s="264">
        <f t="shared" ref="D223" si="108">D19</f>
        <v>0.08</v>
      </c>
      <c r="E223" s="253">
        <f>D223*0.875</f>
        <v>7.0000000000000007E-2</v>
      </c>
      <c r="F223" s="253">
        <f>E223*0.857143</f>
        <v>6.0000010000000006E-2</v>
      </c>
      <c r="G223" s="253">
        <f>F223*0.8333</f>
        <v>4.9998008333000006E-2</v>
      </c>
      <c r="H223" s="253">
        <f>G223*0.9</f>
        <v>4.4998207499700009E-2</v>
      </c>
    </row>
    <row r="224" spans="1:12" ht="15.6" x14ac:dyDescent="0.3">
      <c r="A224" s="190" t="s">
        <v>366</v>
      </c>
      <c r="C224" s="1">
        <f>C112</f>
        <v>0</v>
      </c>
      <c r="D224" s="265">
        <f t="shared" ref="D224:H224" si="109">D112</f>
        <v>739.72602739726028</v>
      </c>
      <c r="E224" s="1">
        <f t="shared" si="109"/>
        <v>310.68433972602742</v>
      </c>
      <c r="F224" s="1">
        <f t="shared" si="109"/>
        <v>1352.7691739793884</v>
      </c>
      <c r="G224" s="1">
        <f t="shared" si="109"/>
        <v>1688.2541434385007</v>
      </c>
      <c r="H224" s="1">
        <f t="shared" si="109"/>
        <v>2048.4134460006544</v>
      </c>
    </row>
    <row r="225" spans="1:9" ht="16.2" thickBot="1" x14ac:dyDescent="0.35">
      <c r="A225" s="190" t="s">
        <v>384</v>
      </c>
      <c r="C225" s="1">
        <f>C122</f>
        <v>0</v>
      </c>
      <c r="D225" s="266">
        <f t="shared" ref="D225:H225" si="110">D122</f>
        <v>461.52968036529683</v>
      </c>
      <c r="E225" s="1">
        <f t="shared" si="110"/>
        <v>292.84216986301368</v>
      </c>
      <c r="F225" s="1">
        <f t="shared" si="110"/>
        <v>822.1345883646942</v>
      </c>
      <c r="G225" s="1">
        <f t="shared" si="110"/>
        <v>997.16428287753229</v>
      </c>
      <c r="H225" s="1">
        <f t="shared" si="110"/>
        <v>1184.130334341485</v>
      </c>
    </row>
    <row r="226" spans="1:9" ht="18.600000000000001" thickBot="1" x14ac:dyDescent="0.35">
      <c r="A226" s="14" t="s">
        <v>452</v>
      </c>
      <c r="B226" s="14"/>
      <c r="C226" s="208">
        <f>C144+C218+C219</f>
        <v>-5000</v>
      </c>
      <c r="D226" s="208">
        <f t="shared" ref="D226:H226" si="111">D144+D218+D219</f>
        <v>1951.0844748858435</v>
      </c>
      <c r="E226" s="208">
        <f t="shared" si="111"/>
        <v>280.00587579908461</v>
      </c>
      <c r="F226" s="208">
        <f t="shared" si="111"/>
        <v>4591.5572825497911</v>
      </c>
      <c r="G226" s="208">
        <f t="shared" si="111"/>
        <v>8196.8126975722043</v>
      </c>
      <c r="H226" s="208">
        <f t="shared" si="111"/>
        <v>10406.056633829408</v>
      </c>
    </row>
    <row r="227" spans="1:9" ht="21.6" thickBot="1" x14ac:dyDescent="0.35">
      <c r="A227" s="255" t="s">
        <v>225</v>
      </c>
      <c r="C227" s="1">
        <f>C226*((1+$B$228)^(-C217))</f>
        <v>-5000</v>
      </c>
      <c r="D227" s="1">
        <f t="shared" ref="D227:H227" si="112">D226*((1+$B$228)^(-D217))</f>
        <v>1646.2584275531663</v>
      </c>
      <c r="E227" s="1">
        <f t="shared" si="112"/>
        <v>199.34760438972452</v>
      </c>
      <c r="F227" s="1">
        <f t="shared" si="112"/>
        <v>2758.2004241295062</v>
      </c>
      <c r="G227" s="1">
        <f t="shared" si="112"/>
        <v>4154.6339289987673</v>
      </c>
      <c r="H227" s="1">
        <f t="shared" si="112"/>
        <v>4450.3674999644272</v>
      </c>
      <c r="I227" s="86">
        <f>SUM(C227:H227)</f>
        <v>8208.8078850355923</v>
      </c>
    </row>
    <row r="228" spans="1:9" ht="18.600000000000001" thickBot="1" x14ac:dyDescent="0.35">
      <c r="A228" s="18" t="s">
        <v>234</v>
      </c>
      <c r="B228" s="136">
        <f>B196</f>
        <v>0.18516293810914031</v>
      </c>
    </row>
    <row r="229" spans="1:9" ht="36.6" thickBot="1" x14ac:dyDescent="0.35">
      <c r="C229" s="256" t="s">
        <v>455</v>
      </c>
      <c r="D229" s="256" t="s">
        <v>454</v>
      </c>
      <c r="E229" s="256" t="s">
        <v>456</v>
      </c>
      <c r="F229" s="256" t="s">
        <v>459</v>
      </c>
    </row>
    <row r="230" spans="1:9" s="67" customFormat="1" ht="21.6" thickBot="1" x14ac:dyDescent="0.35">
      <c r="A230" s="240" t="s">
        <v>453</v>
      </c>
      <c r="C230" s="67">
        <v>50</v>
      </c>
      <c r="D230" s="67">
        <v>75</v>
      </c>
      <c r="E230" s="67">
        <v>100</v>
      </c>
      <c r="F230" s="260">
        <f t="shared" ref="F230:F241" si="113">E230-C230</f>
        <v>50</v>
      </c>
    </row>
    <row r="231" spans="1:9" ht="18.600000000000001" thickBot="1" x14ac:dyDescent="0.35">
      <c r="A231" s="14" t="s">
        <v>39</v>
      </c>
      <c r="C231" s="1">
        <v>1037.1614365914425</v>
      </c>
      <c r="D231" s="1">
        <v>8208.8078850355923</v>
      </c>
      <c r="E231" s="1">
        <v>15380.454333479749</v>
      </c>
      <c r="F231" s="261">
        <f t="shared" si="113"/>
        <v>14343.292896888306</v>
      </c>
    </row>
    <row r="232" spans="1:9" ht="42.6" thickBot="1" x14ac:dyDescent="0.35">
      <c r="A232" s="240" t="s">
        <v>457</v>
      </c>
      <c r="C232" s="253">
        <v>0.05</v>
      </c>
      <c r="D232" s="253">
        <f>D8</f>
        <v>0.06</v>
      </c>
      <c r="E232" s="253">
        <v>0.09</v>
      </c>
      <c r="F232" s="262">
        <f t="shared" si="113"/>
        <v>3.9999999999999994E-2</v>
      </c>
    </row>
    <row r="233" spans="1:9" ht="18.600000000000001" thickBot="1" x14ac:dyDescent="0.35">
      <c r="A233" s="14" t="s">
        <v>39</v>
      </c>
      <c r="C233" s="1">
        <v>7299.8813586691722</v>
      </c>
      <c r="D233" s="1">
        <f>D231</f>
        <v>8208.8078850355923</v>
      </c>
      <c r="E233" s="1">
        <v>11018.854302489664</v>
      </c>
      <c r="F233" s="261">
        <f t="shared" si="113"/>
        <v>3718.9729438204922</v>
      </c>
    </row>
    <row r="234" spans="1:9" ht="42.6" thickBot="1" x14ac:dyDescent="0.35">
      <c r="A234" s="240" t="s">
        <v>458</v>
      </c>
      <c r="C234" s="253">
        <v>0.1</v>
      </c>
      <c r="D234" s="253">
        <v>0.08</v>
      </c>
      <c r="E234" s="253">
        <v>7.0000000000000007E-2</v>
      </c>
      <c r="F234" s="262">
        <f t="shared" si="113"/>
        <v>-0.03</v>
      </c>
    </row>
    <row r="235" spans="1:9" ht="18.600000000000001" thickBot="1" x14ac:dyDescent="0.35">
      <c r="A235" s="14" t="s">
        <v>39</v>
      </c>
      <c r="C235" s="1">
        <v>6948.8643222087412</v>
      </c>
      <c r="D235" s="1">
        <f>D233</f>
        <v>8208.8078850355923</v>
      </c>
      <c r="E235" s="1">
        <v>8825.5093606292794</v>
      </c>
      <c r="F235" s="261">
        <f t="shared" si="113"/>
        <v>1876.6450384205382</v>
      </c>
    </row>
    <row r="236" spans="1:9" ht="21.6" thickBot="1" x14ac:dyDescent="0.35">
      <c r="A236" s="240" t="s">
        <v>460</v>
      </c>
      <c r="C236" s="253">
        <v>0.12</v>
      </c>
      <c r="D236" s="253">
        <v>0.08</v>
      </c>
      <c r="E236" s="253">
        <v>7.0000000000000007E-2</v>
      </c>
      <c r="F236" s="262">
        <f t="shared" si="113"/>
        <v>-4.9999999999999989E-2</v>
      </c>
    </row>
    <row r="237" spans="1:9" ht="18.600000000000001" thickBot="1" x14ac:dyDescent="0.35">
      <c r="A237" s="14" t="s">
        <v>39</v>
      </c>
      <c r="C237" s="1">
        <v>7673.0040227562986</v>
      </c>
      <c r="D237" s="1">
        <f>D235</f>
        <v>8208.8078850355923</v>
      </c>
      <c r="E237" s="1">
        <v>8342.7588506054126</v>
      </c>
      <c r="F237" s="261">
        <f t="shared" si="113"/>
        <v>669.75482784911401</v>
      </c>
    </row>
    <row r="238" spans="1:9" ht="42.6" thickBot="1" x14ac:dyDescent="0.35">
      <c r="A238" s="240" t="s">
        <v>461</v>
      </c>
      <c r="C238" s="1">
        <v>1000</v>
      </c>
      <c r="D238" s="1">
        <v>740</v>
      </c>
      <c r="E238" s="1">
        <v>500</v>
      </c>
      <c r="F238" s="260">
        <f t="shared" si="113"/>
        <v>-500</v>
      </c>
    </row>
    <row r="239" spans="1:9" ht="18.600000000000001" thickBot="1" x14ac:dyDescent="0.35">
      <c r="A239" s="14" t="s">
        <v>39</v>
      </c>
      <c r="C239" s="1">
        <v>7017.7227663591902</v>
      </c>
      <c r="D239" s="1">
        <f>D237</f>
        <v>8208.8078850355923</v>
      </c>
      <c r="E239" s="1">
        <v>9308.2710715061166</v>
      </c>
      <c r="F239" s="261">
        <f t="shared" si="113"/>
        <v>2290.5483051469264</v>
      </c>
    </row>
    <row r="240" spans="1:9" ht="42.6" thickBot="1" x14ac:dyDescent="0.35">
      <c r="A240" s="240" t="s">
        <v>464</v>
      </c>
      <c r="C240" s="1">
        <v>300</v>
      </c>
      <c r="D240" s="1">
        <f>D225</f>
        <v>461.52968036529683</v>
      </c>
      <c r="E240" s="1">
        <v>500</v>
      </c>
      <c r="F240" s="260">
        <f t="shared" si="113"/>
        <v>200</v>
      </c>
    </row>
    <row r="241" spans="1:9" ht="18.600000000000001" thickBot="1" x14ac:dyDescent="0.35">
      <c r="A241" s="14" t="s">
        <v>39</v>
      </c>
      <c r="C241" s="1">
        <v>8035.8257445689251</v>
      </c>
      <c r="D241" s="1">
        <f>D239</f>
        <v>8208.8078850355923</v>
      </c>
      <c r="E241" s="1">
        <v>8946.258062814537</v>
      </c>
      <c r="F241" s="261">
        <f t="shared" si="113"/>
        <v>910.4323182456119</v>
      </c>
    </row>
    <row r="242" spans="1:9" ht="58.2" thickBot="1" x14ac:dyDescent="0.35">
      <c r="A242" s="252" t="s">
        <v>465</v>
      </c>
      <c r="B242" s="67"/>
      <c r="C242" s="61" t="s">
        <v>6</v>
      </c>
      <c r="D242" s="62" t="s">
        <v>1</v>
      </c>
      <c r="E242" s="62" t="s">
        <v>2</v>
      </c>
      <c r="F242" s="62" t="s">
        <v>3</v>
      </c>
      <c r="G242" s="62" t="s">
        <v>4</v>
      </c>
      <c r="H242" s="62" t="s">
        <v>5</v>
      </c>
      <c r="I242" s="63" t="s">
        <v>449</v>
      </c>
    </row>
    <row r="243" spans="1:9" ht="29.4" thickBot="1" x14ac:dyDescent="0.35">
      <c r="A243" s="182" t="s">
        <v>466</v>
      </c>
      <c r="C243" s="1">
        <v>0</v>
      </c>
      <c r="D243" s="1">
        <v>1</v>
      </c>
      <c r="E243" s="1">
        <v>2</v>
      </c>
      <c r="F243" s="1">
        <v>3</v>
      </c>
      <c r="G243" s="1">
        <v>4</v>
      </c>
      <c r="H243" s="1">
        <v>5</v>
      </c>
    </row>
    <row r="244" spans="1:9" ht="15.6" x14ac:dyDescent="0.3">
      <c r="A244" s="30" t="s">
        <v>448</v>
      </c>
      <c r="C244" s="1">
        <v>0</v>
      </c>
      <c r="D244" s="263">
        <v>75</v>
      </c>
      <c r="E244" s="1">
        <f>D244*0.4</f>
        <v>30</v>
      </c>
      <c r="F244" s="1">
        <f>E244*4.166667</f>
        <v>125.00001</v>
      </c>
      <c r="G244" s="1">
        <f>F244*1.2</f>
        <v>150.000012</v>
      </c>
      <c r="H244" s="1">
        <f>G244*1.166667</f>
        <v>175.00006400000399</v>
      </c>
    </row>
    <row r="245" spans="1:9" ht="15.6" x14ac:dyDescent="0.3">
      <c r="A245" s="177" t="s">
        <v>203</v>
      </c>
      <c r="C245" s="1">
        <f>C32</f>
        <v>0</v>
      </c>
      <c r="D245" s="264">
        <v>0.06</v>
      </c>
      <c r="E245" s="253">
        <f>D245*0.8333</f>
        <v>4.9998000000000001E-2</v>
      </c>
      <c r="F245" s="253">
        <f>E245*0.9</f>
        <v>4.4998200000000002E-2</v>
      </c>
      <c r="G245" s="253">
        <f>F245*0.8889</f>
        <v>3.9998899980000002E-2</v>
      </c>
      <c r="H245" s="253">
        <f>G245</f>
        <v>3.9998899980000002E-2</v>
      </c>
    </row>
    <row r="246" spans="1:9" ht="15.6" x14ac:dyDescent="0.3">
      <c r="A246" s="177" t="s">
        <v>204</v>
      </c>
      <c r="C246" s="1">
        <f>C35</f>
        <v>0</v>
      </c>
      <c r="D246" s="264">
        <v>0.08</v>
      </c>
      <c r="E246" s="253">
        <f>D246*0.875</f>
        <v>7.0000000000000007E-2</v>
      </c>
      <c r="F246" s="253">
        <f>E246*0.857143</f>
        <v>6.0000010000000006E-2</v>
      </c>
      <c r="G246" s="253">
        <f>F246*0.8333</f>
        <v>4.9998008333000006E-2</v>
      </c>
      <c r="H246" s="253">
        <f>G246*0.9</f>
        <v>4.4998207499700009E-2</v>
      </c>
    </row>
    <row r="247" spans="1:9" ht="15.6" x14ac:dyDescent="0.3">
      <c r="A247" s="177" t="s">
        <v>205</v>
      </c>
      <c r="C247" s="1">
        <f>C43</f>
        <v>0</v>
      </c>
      <c r="D247" s="264">
        <v>0.08</v>
      </c>
      <c r="E247" s="253">
        <f>D247*0.875</f>
        <v>7.0000000000000007E-2</v>
      </c>
      <c r="F247" s="253">
        <f>E247*0.857143</f>
        <v>6.0000010000000006E-2</v>
      </c>
      <c r="G247" s="253">
        <f>F247*0.8333</f>
        <v>4.9998008333000006E-2</v>
      </c>
      <c r="H247" s="253">
        <f>G247*0.9</f>
        <v>4.4998207499700009E-2</v>
      </c>
    </row>
    <row r="248" spans="1:9" ht="15.6" x14ac:dyDescent="0.3">
      <c r="A248" s="190" t="s">
        <v>366</v>
      </c>
      <c r="C248" s="1">
        <v>0</v>
      </c>
      <c r="D248" s="265">
        <v>739.72602739726028</v>
      </c>
      <c r="E248" s="1">
        <f>D248*0.42027</f>
        <v>310.88465753424657</v>
      </c>
      <c r="F248" s="1">
        <f>E248*4.35048</f>
        <v>1352.497484909589</v>
      </c>
      <c r="G248" s="1">
        <f>F248*1.2476</f>
        <v>1687.3758621732034</v>
      </c>
      <c r="H248" s="1">
        <f>G248*1.21327</f>
        <v>2047.2425122988825</v>
      </c>
    </row>
    <row r="249" spans="1:9" ht="16.2" thickBot="1" x14ac:dyDescent="0.35">
      <c r="A249" s="190" t="s">
        <v>384</v>
      </c>
      <c r="C249" s="1">
        <f>C146</f>
        <v>0</v>
      </c>
      <c r="D249" s="266">
        <v>461.52968036529683</v>
      </c>
      <c r="E249" s="1">
        <f>D249*0.633858</f>
        <v>292.54428013698634</v>
      </c>
      <c r="F249" s="1">
        <f>E249*2.805461</f>
        <v>820.7215686973899</v>
      </c>
      <c r="G249" s="1">
        <f>F249*1.213</f>
        <v>995.53526282993403</v>
      </c>
      <c r="H249" s="1">
        <f>G249*1.18763</f>
        <v>1182.3275441947146</v>
      </c>
    </row>
    <row r="250" spans="1:9" ht="21.6" thickBot="1" x14ac:dyDescent="0.35">
      <c r="A250" s="255" t="s">
        <v>225</v>
      </c>
      <c r="B250" s="86">
        <v>8208.8078850355923</v>
      </c>
    </row>
    <row r="251" spans="1:9" ht="29.4" thickBot="1" x14ac:dyDescent="0.35">
      <c r="A251" s="182" t="s">
        <v>467</v>
      </c>
    </row>
    <row r="252" spans="1:9" ht="15.6" x14ac:dyDescent="0.3">
      <c r="A252" s="30" t="s">
        <v>448</v>
      </c>
      <c r="C252" s="1">
        <v>0</v>
      </c>
      <c r="D252" s="263">
        <f>50</f>
        <v>50</v>
      </c>
      <c r="E252" s="1">
        <f>D252*0.4</f>
        <v>20</v>
      </c>
      <c r="F252" s="1">
        <f>E252*4.166667</f>
        <v>83.333340000000007</v>
      </c>
      <c r="G252" s="1">
        <f>F252*1.2</f>
        <v>100.00000800000001</v>
      </c>
      <c r="H252" s="1">
        <f>G252*1.166667</f>
        <v>116.666709333336</v>
      </c>
    </row>
    <row r="253" spans="1:9" ht="15.6" x14ac:dyDescent="0.3">
      <c r="A253" s="177" t="s">
        <v>203</v>
      </c>
      <c r="C253" s="1">
        <f>C40</f>
        <v>0</v>
      </c>
      <c r="D253" s="264">
        <v>0.05</v>
      </c>
      <c r="E253" s="253">
        <f>D253*0.8333</f>
        <v>4.1665000000000008E-2</v>
      </c>
      <c r="F253" s="253">
        <f>E253*0.9</f>
        <v>3.7498500000000011E-2</v>
      </c>
      <c r="G253" s="253">
        <f>F253*0.8889</f>
        <v>3.3332416650000009E-2</v>
      </c>
      <c r="H253" s="253">
        <f>G253</f>
        <v>3.3332416650000009E-2</v>
      </c>
    </row>
    <row r="254" spans="1:9" ht="15.6" x14ac:dyDescent="0.3">
      <c r="A254" s="177" t="s">
        <v>204</v>
      </c>
      <c r="C254" s="1">
        <f>C43</f>
        <v>0</v>
      </c>
      <c r="D254" s="264">
        <v>0.1</v>
      </c>
      <c r="E254" s="253">
        <f>D254*0.875</f>
        <v>8.7500000000000008E-2</v>
      </c>
      <c r="F254" s="253">
        <f>E254*0.857143</f>
        <v>7.5000012500000005E-2</v>
      </c>
      <c r="G254" s="253">
        <f>F254*0.8333</f>
        <v>6.2497510416250006E-2</v>
      </c>
      <c r="H254" s="253">
        <f>G254*0.9</f>
        <v>5.6247759374625006E-2</v>
      </c>
    </row>
    <row r="255" spans="1:9" ht="15.6" x14ac:dyDescent="0.3">
      <c r="A255" s="177" t="s">
        <v>205</v>
      </c>
      <c r="C255" s="1">
        <f>C51</f>
        <v>0</v>
      </c>
      <c r="D255" s="264">
        <v>0.12</v>
      </c>
      <c r="E255" s="253">
        <f>D255*0.875</f>
        <v>0.105</v>
      </c>
      <c r="F255" s="253">
        <f>E255*0.857143</f>
        <v>9.0000014999999989E-2</v>
      </c>
      <c r="G255" s="253">
        <f>F255*0.8333</f>
        <v>7.4997012499499999E-2</v>
      </c>
      <c r="H255" s="253">
        <f>G255*0.9</f>
        <v>6.7497311249549996E-2</v>
      </c>
    </row>
    <row r="256" spans="1:9" ht="15.6" x14ac:dyDescent="0.3">
      <c r="A256" s="190" t="s">
        <v>366</v>
      </c>
      <c r="C256" s="1">
        <v>0</v>
      </c>
      <c r="D256" s="265">
        <v>1000</v>
      </c>
      <c r="E256" s="1">
        <f>D256*0.42027</f>
        <v>420.27</v>
      </c>
      <c r="F256" s="1">
        <f>E256*4.35048</f>
        <v>1828.3762296</v>
      </c>
      <c r="G256" s="1">
        <f>F256*1.2476</f>
        <v>2281.0821840489602</v>
      </c>
      <c r="H256" s="1">
        <f>G256*1.21327</f>
        <v>2767.5685814410822</v>
      </c>
    </row>
    <row r="257" spans="1:9" ht="16.2" thickBot="1" x14ac:dyDescent="0.35">
      <c r="A257" s="190" t="s">
        <v>384</v>
      </c>
      <c r="C257" s="1">
        <f>C154</f>
        <v>0</v>
      </c>
      <c r="D257" s="266">
        <v>300</v>
      </c>
      <c r="E257" s="1">
        <f>D257*0.633858</f>
        <v>190.1574</v>
      </c>
      <c r="F257" s="1">
        <f>E257*2.805461</f>
        <v>533.4791695614</v>
      </c>
      <c r="G257" s="1">
        <f>F257*1.213</f>
        <v>647.11023267797827</v>
      </c>
      <c r="H257" s="1">
        <f>G257*1.18763</f>
        <v>768.52752563534727</v>
      </c>
    </row>
    <row r="258" spans="1:9" ht="21.6" thickBot="1" x14ac:dyDescent="0.35">
      <c r="A258" s="255" t="s">
        <v>225</v>
      </c>
      <c r="B258" s="86">
        <v>-2906.6776143295806</v>
      </c>
    </row>
    <row r="259" spans="1:9" ht="29.4" thickBot="1" x14ac:dyDescent="0.35">
      <c r="A259" s="182" t="s">
        <v>468</v>
      </c>
    </row>
    <row r="260" spans="1:9" ht="15.6" x14ac:dyDescent="0.3">
      <c r="A260" s="30" t="s">
        <v>448</v>
      </c>
      <c r="D260" s="263">
        <v>100</v>
      </c>
      <c r="E260" s="1">
        <f>D260*0.4</f>
        <v>40</v>
      </c>
      <c r="F260" s="1">
        <f>E260*4.166667</f>
        <v>166.66668000000001</v>
      </c>
      <c r="G260" s="1">
        <f>F260*1.2</f>
        <v>200.00001600000002</v>
      </c>
      <c r="H260" s="1">
        <f>G260*1.166667</f>
        <v>233.333418666672</v>
      </c>
    </row>
    <row r="261" spans="1:9" ht="15.6" x14ac:dyDescent="0.3">
      <c r="A261" s="177" t="s">
        <v>203</v>
      </c>
      <c r="D261" s="264">
        <v>0.09</v>
      </c>
      <c r="E261" s="253">
        <f>D261*0.8333</f>
        <v>7.4996999999999994E-2</v>
      </c>
      <c r="F261" s="253">
        <f>E261*0.9</f>
        <v>6.7497299999999996E-2</v>
      </c>
      <c r="G261" s="253">
        <f>F261*0.8889</f>
        <v>5.9998349969999996E-2</v>
      </c>
      <c r="H261" s="253">
        <f>G261</f>
        <v>5.9998349969999996E-2</v>
      </c>
    </row>
    <row r="262" spans="1:9" ht="15.6" x14ac:dyDescent="0.3">
      <c r="A262" s="177" t="s">
        <v>204</v>
      </c>
      <c r="D262" s="264">
        <v>7.0000000000000007E-2</v>
      </c>
      <c r="E262" s="253">
        <f>D262*0.875</f>
        <v>6.1250000000000006E-2</v>
      </c>
      <c r="F262" s="253">
        <f>E262*0.857143</f>
        <v>5.2500008750000007E-2</v>
      </c>
      <c r="G262" s="253">
        <f>F262*0.8333</f>
        <v>4.3748257291375006E-2</v>
      </c>
      <c r="H262" s="253">
        <f>G262*0.9</f>
        <v>3.9373431562237507E-2</v>
      </c>
    </row>
    <row r="263" spans="1:9" ht="15.6" x14ac:dyDescent="0.3">
      <c r="A263" s="177" t="s">
        <v>205</v>
      </c>
      <c r="D263" s="264">
        <v>7.0000000000000007E-2</v>
      </c>
      <c r="E263" s="253">
        <f>D263*0.875</f>
        <v>6.1250000000000006E-2</v>
      </c>
      <c r="F263" s="253">
        <f>E263*0.857143</f>
        <v>5.2500008750000007E-2</v>
      </c>
      <c r="G263" s="253">
        <f>F263*0.8333</f>
        <v>4.3748257291375006E-2</v>
      </c>
      <c r="H263" s="253">
        <f>G263*0.9</f>
        <v>3.9373431562237507E-2</v>
      </c>
    </row>
    <row r="264" spans="1:9" ht="15.6" x14ac:dyDescent="0.3">
      <c r="A264" s="190" t="s">
        <v>366</v>
      </c>
      <c r="D264" s="265">
        <v>500</v>
      </c>
      <c r="E264" s="1">
        <f>D264*0.42027</f>
        <v>210.13499999999999</v>
      </c>
      <c r="F264" s="1">
        <f>E264*4.35048</f>
        <v>914.18811479999999</v>
      </c>
      <c r="G264" s="1">
        <f>F264*1.2476</f>
        <v>1140.5410920244801</v>
      </c>
      <c r="H264" s="1">
        <f>G264*1.21327</f>
        <v>1383.7842907205411</v>
      </c>
    </row>
    <row r="265" spans="1:9" ht="16.2" thickBot="1" x14ac:dyDescent="0.35">
      <c r="A265" s="190" t="s">
        <v>384</v>
      </c>
      <c r="D265" s="266">
        <v>500</v>
      </c>
      <c r="E265" s="1">
        <f>D265*0.633858</f>
        <v>316.92900000000003</v>
      </c>
      <c r="F265" s="1">
        <f>E265*2.805461</f>
        <v>889.13194926900019</v>
      </c>
      <c r="G265" s="1">
        <f>F265*1.213</f>
        <v>1078.5170544632972</v>
      </c>
      <c r="H265" s="1">
        <f>G265*1.18763</f>
        <v>1280.8792093922457</v>
      </c>
    </row>
    <row r="266" spans="1:9" ht="21.6" thickBot="1" x14ac:dyDescent="0.35">
      <c r="A266" s="255" t="s">
        <v>225</v>
      </c>
      <c r="B266" s="86">
        <v>21339.24352601268</v>
      </c>
    </row>
    <row r="267" spans="1:9" ht="58.2" thickBot="1" x14ac:dyDescent="0.35">
      <c r="A267" s="252" t="s">
        <v>469</v>
      </c>
      <c r="B267" s="67"/>
      <c r="C267" s="61" t="s">
        <v>6</v>
      </c>
      <c r="D267" s="62" t="s">
        <v>1</v>
      </c>
      <c r="E267" s="62" t="s">
        <v>2</v>
      </c>
      <c r="F267" s="62" t="s">
        <v>3</v>
      </c>
      <c r="G267" s="62" t="s">
        <v>4</v>
      </c>
      <c r="H267" s="62" t="s">
        <v>5</v>
      </c>
      <c r="I267" s="63" t="s">
        <v>449</v>
      </c>
    </row>
    <row r="268" spans="1:9" ht="40.200000000000003" thickBot="1" x14ac:dyDescent="0.35">
      <c r="A268" s="192" t="s">
        <v>39</v>
      </c>
      <c r="C268" s="2" t="s">
        <v>471</v>
      </c>
      <c r="D268" s="2" t="s">
        <v>472</v>
      </c>
      <c r="E268" s="267" t="s">
        <v>473</v>
      </c>
      <c r="F268" s="267" t="s">
        <v>475</v>
      </c>
    </row>
    <row r="269" spans="1:9" ht="18" customHeight="1" x14ac:dyDescent="0.3">
      <c r="A269" s="285" t="s">
        <v>470</v>
      </c>
      <c r="B269" s="1">
        <v>-6304</v>
      </c>
      <c r="C269" s="287">
        <f>AVERAGE(B269:B281)</f>
        <v>5862.3076923076924</v>
      </c>
      <c r="D269" s="290">
        <f>_xlfn.VAR.S(B269:B281)</f>
        <v>91717649.564102575</v>
      </c>
      <c r="E269" s="287">
        <f>_xlfn.STDEV.P(B269:B281)</f>
        <v>9201.2197969334084</v>
      </c>
      <c r="F269" s="287">
        <f>MEDIAN(B269:B281)</f>
        <v>3476</v>
      </c>
    </row>
    <row r="270" spans="1:9" x14ac:dyDescent="0.3">
      <c r="A270" s="286"/>
      <c r="B270" s="1">
        <v>-4579</v>
      </c>
      <c r="C270" s="288"/>
      <c r="D270" s="291"/>
      <c r="E270" s="288"/>
      <c r="F270" s="288"/>
    </row>
    <row r="271" spans="1:9" x14ac:dyDescent="0.3">
      <c r="A271" s="286"/>
      <c r="B271" s="1">
        <v>-2907</v>
      </c>
      <c r="C271" s="288"/>
      <c r="D271" s="291"/>
      <c r="E271" s="288"/>
      <c r="F271" s="288"/>
    </row>
    <row r="272" spans="1:9" x14ac:dyDescent="0.3">
      <c r="A272" s="286"/>
      <c r="B272" s="1">
        <v>-908</v>
      </c>
      <c r="C272" s="288"/>
      <c r="D272" s="291"/>
      <c r="E272" s="288"/>
      <c r="F272" s="288"/>
    </row>
    <row r="273" spans="1:6" x14ac:dyDescent="0.3">
      <c r="A273" s="286"/>
      <c r="B273" s="1">
        <v>204</v>
      </c>
      <c r="C273" s="288"/>
      <c r="D273" s="291"/>
      <c r="E273" s="288"/>
      <c r="F273" s="288"/>
    </row>
    <row r="274" spans="1:6" x14ac:dyDescent="0.3">
      <c r="A274" s="286"/>
      <c r="B274" s="1">
        <v>1235</v>
      </c>
      <c r="C274" s="288"/>
      <c r="D274" s="291"/>
      <c r="E274" s="288"/>
      <c r="F274" s="288"/>
    </row>
    <row r="275" spans="1:6" x14ac:dyDescent="0.3">
      <c r="A275" s="286"/>
      <c r="B275" s="1">
        <v>3476</v>
      </c>
      <c r="C275" s="288"/>
      <c r="D275" s="291"/>
      <c r="E275" s="288"/>
      <c r="F275" s="288"/>
    </row>
    <row r="276" spans="1:6" x14ac:dyDescent="0.3">
      <c r="A276" s="286"/>
      <c r="B276" s="1">
        <v>5783</v>
      </c>
      <c r="C276" s="288"/>
      <c r="D276" s="291"/>
      <c r="E276" s="288"/>
      <c r="F276" s="288"/>
    </row>
    <row r="277" spans="1:6" x14ac:dyDescent="0.3">
      <c r="A277" s="286"/>
      <c r="B277" s="1">
        <v>8209</v>
      </c>
      <c r="C277" s="288"/>
      <c r="D277" s="291"/>
      <c r="E277" s="288"/>
      <c r="F277" s="288"/>
    </row>
    <row r="278" spans="1:6" x14ac:dyDescent="0.3">
      <c r="A278" s="286"/>
      <c r="B278" s="1">
        <v>12367</v>
      </c>
      <c r="C278" s="288"/>
      <c r="D278" s="291"/>
      <c r="E278" s="288"/>
      <c r="F278" s="288"/>
    </row>
    <row r="279" spans="1:6" x14ac:dyDescent="0.3">
      <c r="A279" s="286"/>
      <c r="B279" s="1">
        <v>15879</v>
      </c>
      <c r="C279" s="288"/>
      <c r="D279" s="291"/>
      <c r="E279" s="288"/>
      <c r="F279" s="288"/>
    </row>
    <row r="280" spans="1:6" x14ac:dyDescent="0.3">
      <c r="A280" s="286"/>
      <c r="B280" s="1">
        <v>21339</v>
      </c>
      <c r="C280" s="288"/>
      <c r="D280" s="291"/>
      <c r="E280" s="288"/>
      <c r="F280" s="288"/>
    </row>
    <row r="281" spans="1:6" ht="15" thickBot="1" x14ac:dyDescent="0.35">
      <c r="A281" s="286"/>
      <c r="B281" s="1">
        <v>22416</v>
      </c>
      <c r="C281" s="289"/>
      <c r="D281" s="292"/>
      <c r="E281" s="289"/>
      <c r="F281" s="289"/>
    </row>
    <row r="282" spans="1:6" ht="21.6" thickBot="1" x14ac:dyDescent="0.35">
      <c r="A282" s="240" t="s">
        <v>476</v>
      </c>
      <c r="C282" s="2" t="s">
        <v>477</v>
      </c>
      <c r="D282" s="2" t="s">
        <v>474</v>
      </c>
      <c r="E282" s="2" t="s">
        <v>471</v>
      </c>
      <c r="F282" s="2" t="s">
        <v>478</v>
      </c>
    </row>
    <row r="283" spans="1:6" ht="18.600000000000001" thickBot="1" x14ac:dyDescent="0.35">
      <c r="A283" s="14" t="s">
        <v>479</v>
      </c>
      <c r="C283" s="86">
        <f>C269-E269</f>
        <v>-3338.912104625716</v>
      </c>
      <c r="D283" s="12">
        <f>F269</f>
        <v>3476</v>
      </c>
      <c r="E283" s="12">
        <f>C269</f>
        <v>5862.3076923076924</v>
      </c>
      <c r="F283" s="268">
        <f>C269+E269</f>
        <v>15063.5274892411</v>
      </c>
    </row>
  </sheetData>
  <mergeCells count="12">
    <mergeCell ref="E59:J59"/>
    <mergeCell ref="C50:H50"/>
    <mergeCell ref="I50:O50"/>
    <mergeCell ref="I51:O51"/>
    <mergeCell ref="J54:L54"/>
    <mergeCell ref="J55:L55"/>
    <mergeCell ref="C69:H69"/>
    <mergeCell ref="A269:A281"/>
    <mergeCell ref="C269:C281"/>
    <mergeCell ref="D269:D281"/>
    <mergeCell ref="E269:E281"/>
    <mergeCell ref="F269:F28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Proj Ratios Fix</vt:lpstr>
      <vt:lpstr>Proj Ratios Var</vt:lpstr>
      <vt:lpstr>Adj Cash Flow</vt:lpstr>
      <vt:lpstr>Proj Ratios Def</vt:lpstr>
      <vt:lpstr>Sensitivity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Mikhail Cherkasov</dc:creator>
  <cp:lastModifiedBy>Mikhail Cherkasov</cp:lastModifiedBy>
  <dcterms:created xsi:type="dcterms:W3CDTF">2014-10-05T15:29:21Z</dcterms:created>
  <dcterms:modified xsi:type="dcterms:W3CDTF">2014-12-15T13:26:32Z</dcterms:modified>
</cp:coreProperties>
</file>