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hail Cherkasov\Desktop\Teaching\Управление инвестиционными проектами\My dox\"/>
    </mc:Choice>
  </mc:AlternateContent>
  <bookViews>
    <workbookView xWindow="0" yWindow="132" windowWidth="22980" windowHeight="9468"/>
  </bookViews>
  <sheets>
    <sheet name="Summary" sheetId="28" r:id="rId1"/>
    <sheet name="Assumptions" sheetId="4" r:id="rId2"/>
    <sheet name="Purchases" sheetId="5" r:id="rId3"/>
    <sheet name="Sales" sheetId="6" r:id="rId4"/>
    <sheet name="Logistics" sheetId="7" r:id="rId5"/>
    <sheet name="Financing" sheetId="9" r:id="rId6"/>
    <sheet name="Administrative" sheetId="1" r:id="rId7"/>
    <sheet name="Debtors" sheetId="25" r:id="rId8"/>
    <sheet name="P&amp;L SwCo Bad" sheetId="8" r:id="rId9"/>
    <sheet name="P&amp;L SwCo Mid" sheetId="10" r:id="rId10"/>
    <sheet name="P&amp;L SwCo Good" sheetId="11" r:id="rId11"/>
    <sheet name="P&amp;L ExCo Bad" sheetId="12" r:id="rId12"/>
    <sheet name="P&amp;L ExCo Mid" sheetId="13" r:id="rId13"/>
    <sheet name="P&amp;L ExCo Good" sheetId="14" r:id="rId14"/>
    <sheet name="P&amp;L PurCo Bad" sheetId="15" r:id="rId15"/>
    <sheet name="P&amp;L PurCo Mid" sheetId="16" r:id="rId16"/>
    <sheet name="P&amp;L PurCo Good" sheetId="17" r:id="rId17"/>
    <sheet name="P&amp;L Cons Bad" sheetId="18" r:id="rId18"/>
    <sheet name="P&amp;L Cons Mid" sheetId="19" r:id="rId19"/>
    <sheet name="P&amp;L Cons Good" sheetId="20" r:id="rId20"/>
    <sheet name="CF Bad" sheetId="21" r:id="rId21"/>
    <sheet name="CF Mid" sheetId="22" r:id="rId22"/>
    <sheet name="CF Good" sheetId="23" r:id="rId23"/>
    <sheet name="BS Bad" sheetId="24" r:id="rId24"/>
    <sheet name="BS Mid" sheetId="26" r:id="rId25"/>
    <sheet name="BS Good" sheetId="27" r:id="rId26"/>
  </sheets>
  <externalReferences>
    <externalReference r:id="rId27"/>
    <externalReference r:id="rId28"/>
    <externalReference r:id="rId29"/>
  </externalReferences>
  <definedNames>
    <definedName name="Курс2011">[1]Assumptions!$B$9</definedName>
    <definedName name="КурсСег">[2]Assumptions!$C$4</definedName>
    <definedName name="Маржа_FOBFOB">[1]Assumptions!$B$125</definedName>
    <definedName name="Цикл" localSheetId="23">[3]Предположения!#REF!</definedName>
    <definedName name="Цикл" localSheetId="25">[3]Предположения!#REF!</definedName>
    <definedName name="Цикл" localSheetId="24">[3]Предположения!#REF!</definedName>
    <definedName name="Цикл" localSheetId="22">[3]Предположения!#REF!</definedName>
    <definedName name="Цикл" localSheetId="21">[3]Предположения!#REF!</definedName>
    <definedName name="Цикл" localSheetId="7">[3]Предположения!#REF!</definedName>
    <definedName name="Цикл" localSheetId="5">[3]Предположения!#REF!</definedName>
    <definedName name="Цикл" localSheetId="17">[3]Предположения!#REF!</definedName>
    <definedName name="Цикл" localSheetId="19">[3]Предположения!#REF!</definedName>
    <definedName name="Цикл" localSheetId="18">[3]Предположения!#REF!</definedName>
    <definedName name="Цикл" localSheetId="11">[3]Предположения!#REF!</definedName>
    <definedName name="Цикл" localSheetId="13">[3]Предположения!#REF!</definedName>
    <definedName name="Цикл" localSheetId="12">[3]Предположения!#REF!</definedName>
    <definedName name="Цикл" localSheetId="14">[3]Предположения!#REF!</definedName>
    <definedName name="Цикл" localSheetId="16">[3]Предположения!#REF!</definedName>
    <definedName name="Цикл" localSheetId="15">[3]Предположения!#REF!</definedName>
    <definedName name="Цикл" localSheetId="10">[3]Предположения!#REF!</definedName>
    <definedName name="Цикл" localSheetId="9">[3]Предположения!#REF!</definedName>
    <definedName name="Цикл">[3]Предположения!#REF!</definedName>
  </definedNames>
  <calcPr calcId="152511"/>
</workbook>
</file>

<file path=xl/calcChain.xml><?xml version="1.0" encoding="utf-8"?>
<calcChain xmlns="http://schemas.openxmlformats.org/spreadsheetml/2006/main">
  <c r="C35" i="1" l="1"/>
  <c r="B29" i="28" l="1"/>
  <c r="B28" i="28"/>
  <c r="B88" i="25"/>
  <c r="N88" i="25" s="1"/>
  <c r="B86" i="25"/>
  <c r="N86" i="25" s="1"/>
  <c r="B48" i="25"/>
  <c r="B46" i="25"/>
  <c r="B119" i="4"/>
  <c r="C39" i="27"/>
  <c r="D39" i="27"/>
  <c r="C20" i="27"/>
  <c r="D20" i="27"/>
  <c r="C20" i="24"/>
  <c r="D20" i="24"/>
  <c r="C39" i="24"/>
  <c r="D39" i="24"/>
  <c r="C51" i="23"/>
  <c r="C51" i="22"/>
  <c r="C51" i="21"/>
  <c r="M45" i="23"/>
  <c r="K45" i="23"/>
  <c r="J45" i="23"/>
  <c r="H45" i="23"/>
  <c r="G45" i="23"/>
  <c r="E45" i="23"/>
  <c r="D45" i="23"/>
  <c r="C45" i="23"/>
  <c r="C44" i="23"/>
  <c r="M45" i="22"/>
  <c r="K45" i="22"/>
  <c r="J45" i="22"/>
  <c r="H45" i="22"/>
  <c r="G45" i="22"/>
  <c r="E45" i="22"/>
  <c r="D45" i="22"/>
  <c r="C45" i="22"/>
  <c r="C44" i="22"/>
  <c r="D45" i="21"/>
  <c r="E45" i="21"/>
  <c r="G45" i="21"/>
  <c r="H45" i="21"/>
  <c r="J45" i="21"/>
  <c r="K45" i="21"/>
  <c r="M45" i="21"/>
  <c r="C45" i="21"/>
  <c r="M24" i="20"/>
  <c r="G24" i="20"/>
  <c r="M24" i="19"/>
  <c r="G24" i="19"/>
  <c r="M26" i="11"/>
  <c r="K26" i="11"/>
  <c r="J26" i="11"/>
  <c r="H26" i="11"/>
  <c r="G26" i="11"/>
  <c r="E26" i="11"/>
  <c r="D26" i="11"/>
  <c r="C26" i="11"/>
  <c r="M26" i="10"/>
  <c r="K26" i="10"/>
  <c r="J26" i="10"/>
  <c r="H26" i="10"/>
  <c r="G26" i="10"/>
  <c r="E26" i="10"/>
  <c r="D26" i="10"/>
  <c r="C26" i="10"/>
  <c r="D26" i="8"/>
  <c r="D24" i="20" s="1"/>
  <c r="E26" i="8"/>
  <c r="E24" i="20" s="1"/>
  <c r="G26" i="8"/>
  <c r="G24" i="18" s="1"/>
  <c r="H26" i="8"/>
  <c r="H24" i="20" s="1"/>
  <c r="J26" i="8"/>
  <c r="J24" i="20" s="1"/>
  <c r="K26" i="8"/>
  <c r="K24" i="20" s="1"/>
  <c r="M26" i="8"/>
  <c r="M24" i="18" s="1"/>
  <c r="C26" i="8"/>
  <c r="C24" i="20" s="1"/>
  <c r="C96" i="9"/>
  <c r="D96" i="9" s="1"/>
  <c r="E96" i="9" s="1"/>
  <c r="F96" i="9" s="1"/>
  <c r="C44" i="21"/>
  <c r="N24" i="27"/>
  <c r="M24" i="27"/>
  <c r="L24" i="27"/>
  <c r="K24" i="27"/>
  <c r="J24" i="27"/>
  <c r="I24" i="27"/>
  <c r="H24" i="27"/>
  <c r="G24" i="27"/>
  <c r="F24" i="27"/>
  <c r="E24" i="27"/>
  <c r="D24" i="27"/>
  <c r="C24" i="27"/>
  <c r="N24" i="26"/>
  <c r="M24" i="26"/>
  <c r="L24" i="26"/>
  <c r="K24" i="26"/>
  <c r="J24" i="26"/>
  <c r="I24" i="26"/>
  <c r="H24" i="26"/>
  <c r="G24" i="26"/>
  <c r="F24" i="26"/>
  <c r="E24" i="26"/>
  <c r="D24" i="26"/>
  <c r="C24" i="26"/>
  <c r="D24" i="24"/>
  <c r="E24" i="24"/>
  <c r="F24" i="24"/>
  <c r="G24" i="24"/>
  <c r="H24" i="24"/>
  <c r="I24" i="24"/>
  <c r="J24" i="24"/>
  <c r="K24" i="24"/>
  <c r="L24" i="24"/>
  <c r="M24" i="24"/>
  <c r="N24" i="24"/>
  <c r="C24" i="24"/>
  <c r="N10" i="27"/>
  <c r="M10" i="27"/>
  <c r="L10" i="27"/>
  <c r="K10" i="27"/>
  <c r="J10" i="27"/>
  <c r="I10" i="27"/>
  <c r="H10" i="27"/>
  <c r="G10" i="27"/>
  <c r="F10" i="27"/>
  <c r="E10" i="27"/>
  <c r="D10" i="27"/>
  <c r="C10" i="27"/>
  <c r="N10" i="26"/>
  <c r="M10" i="26"/>
  <c r="L10" i="26"/>
  <c r="K10" i="26"/>
  <c r="J10" i="26"/>
  <c r="I10" i="26"/>
  <c r="H10" i="26"/>
  <c r="G10" i="26"/>
  <c r="F10" i="26"/>
  <c r="E10" i="26"/>
  <c r="D10" i="26"/>
  <c r="C10" i="26"/>
  <c r="D10" i="24"/>
  <c r="E10" i="24"/>
  <c r="F10" i="24"/>
  <c r="G10" i="24"/>
  <c r="H10" i="24"/>
  <c r="I10" i="24"/>
  <c r="J10" i="24"/>
  <c r="K10" i="24"/>
  <c r="L10" i="24"/>
  <c r="M10" i="24"/>
  <c r="N10" i="24"/>
  <c r="C10" i="24"/>
  <c r="N15" i="17"/>
  <c r="M15" i="17"/>
  <c r="L15" i="17"/>
  <c r="K15" i="17"/>
  <c r="J15" i="17"/>
  <c r="I15" i="17"/>
  <c r="H15" i="17"/>
  <c r="G15" i="17"/>
  <c r="F15" i="17"/>
  <c r="E15" i="17"/>
  <c r="D15" i="17"/>
  <c r="C15" i="17"/>
  <c r="N15" i="16"/>
  <c r="M15" i="16"/>
  <c r="L15" i="16"/>
  <c r="K15" i="16"/>
  <c r="J15" i="16"/>
  <c r="I15" i="16"/>
  <c r="H15" i="16"/>
  <c r="G15" i="16"/>
  <c r="F15" i="16"/>
  <c r="E15" i="16"/>
  <c r="D15" i="16"/>
  <c r="C15" i="16"/>
  <c r="C15" i="15"/>
  <c r="D15" i="15"/>
  <c r="E15" i="15"/>
  <c r="F15" i="15"/>
  <c r="G15" i="15"/>
  <c r="H15" i="15"/>
  <c r="I15" i="15"/>
  <c r="J15" i="15"/>
  <c r="K15" i="15"/>
  <c r="L15" i="15"/>
  <c r="M15" i="15"/>
  <c r="N15" i="15"/>
  <c r="N15" i="8"/>
  <c r="M15" i="8"/>
  <c r="L15" i="8"/>
  <c r="K15" i="8"/>
  <c r="J15" i="8"/>
  <c r="I15" i="8"/>
  <c r="H15" i="8"/>
  <c r="G15" i="8"/>
  <c r="F15" i="8"/>
  <c r="E15" i="8"/>
  <c r="D15" i="8"/>
  <c r="C15" i="8"/>
  <c r="N15" i="10"/>
  <c r="M15" i="10"/>
  <c r="L15" i="10"/>
  <c r="K15" i="10"/>
  <c r="J15" i="10"/>
  <c r="I15" i="10"/>
  <c r="H15" i="10"/>
  <c r="G15" i="10"/>
  <c r="F15" i="10"/>
  <c r="E15" i="10"/>
  <c r="D15" i="10"/>
  <c r="C15" i="10"/>
  <c r="D15" i="11"/>
  <c r="E15" i="11"/>
  <c r="F15" i="11"/>
  <c r="G15" i="11"/>
  <c r="H15" i="11"/>
  <c r="I15" i="11"/>
  <c r="J15" i="11"/>
  <c r="K15" i="11"/>
  <c r="L15" i="11"/>
  <c r="M15" i="11"/>
  <c r="N15" i="11"/>
  <c r="C15" i="11"/>
  <c r="B46" i="1"/>
  <c r="D30" i="24"/>
  <c r="E30" i="24"/>
  <c r="F30" i="24"/>
  <c r="G30" i="24"/>
  <c r="H30" i="24"/>
  <c r="I30" i="24"/>
  <c r="J30" i="24"/>
  <c r="K30" i="24"/>
  <c r="L30" i="24"/>
  <c r="M30" i="24"/>
  <c r="N30" i="24"/>
  <c r="C30" i="24"/>
  <c r="D30" i="27"/>
  <c r="E30" i="27"/>
  <c r="F30" i="27"/>
  <c r="G30" i="27"/>
  <c r="H30" i="27"/>
  <c r="I30" i="27"/>
  <c r="J30" i="27"/>
  <c r="K30" i="27"/>
  <c r="L30" i="27"/>
  <c r="M30" i="27"/>
  <c r="N30" i="27"/>
  <c r="C30" i="27"/>
  <c r="N30" i="26"/>
  <c r="M30" i="26"/>
  <c r="L30" i="26"/>
  <c r="K30" i="26"/>
  <c r="J30" i="26"/>
  <c r="I30" i="26"/>
  <c r="H30" i="26"/>
  <c r="G30" i="26"/>
  <c r="F30" i="26"/>
  <c r="E30" i="26"/>
  <c r="D30" i="26"/>
  <c r="C30" i="26"/>
  <c r="B33" i="1"/>
  <c r="E112" i="4"/>
  <c r="E115" i="4" s="1"/>
  <c r="G112" i="4"/>
  <c r="G115" i="4" s="1"/>
  <c r="H112" i="4"/>
  <c r="H115" i="4" s="1"/>
  <c r="I112" i="4"/>
  <c r="I115" i="4" s="1"/>
  <c r="J112" i="4"/>
  <c r="J115" i="4" s="1"/>
  <c r="K112" i="4"/>
  <c r="K115" i="4" s="1"/>
  <c r="L112" i="4"/>
  <c r="L115" i="4" s="1"/>
  <c r="M112" i="4"/>
  <c r="M115" i="4" s="1"/>
  <c r="N112" i="4"/>
  <c r="N115" i="4" s="1"/>
  <c r="O112" i="4"/>
  <c r="O115" i="4" s="1"/>
  <c r="E113" i="4"/>
  <c r="E116" i="4" s="1"/>
  <c r="G113" i="4"/>
  <c r="G116" i="4" s="1"/>
  <c r="H113" i="4"/>
  <c r="H116" i="4" s="1"/>
  <c r="I113" i="4"/>
  <c r="I116" i="4" s="1"/>
  <c r="J113" i="4"/>
  <c r="J116" i="4" s="1"/>
  <c r="K113" i="4"/>
  <c r="K116" i="4" s="1"/>
  <c r="L113" i="4"/>
  <c r="L116" i="4" s="1"/>
  <c r="M113" i="4"/>
  <c r="M116" i="4" s="1"/>
  <c r="N113" i="4"/>
  <c r="N116" i="4" s="1"/>
  <c r="O113" i="4"/>
  <c r="O116" i="4" s="1"/>
  <c r="D113" i="4"/>
  <c r="D116" i="4" s="1"/>
  <c r="D112" i="4"/>
  <c r="D115" i="4" s="1"/>
  <c r="F112" i="4"/>
  <c r="F115" i="4" s="1"/>
  <c r="F113" i="4"/>
  <c r="D4" i="9"/>
  <c r="J24" i="18" l="1"/>
  <c r="D24" i="18"/>
  <c r="C24" i="18"/>
  <c r="H24" i="18"/>
  <c r="C24" i="19"/>
  <c r="H24" i="19"/>
  <c r="D24" i="19"/>
  <c r="J24" i="19"/>
  <c r="K24" i="18"/>
  <c r="E24" i="18"/>
  <c r="E24" i="19"/>
  <c r="K24" i="19"/>
  <c r="C10" i="9"/>
  <c r="C11" i="9" s="1"/>
  <c r="G96" i="9"/>
  <c r="H96" i="9" s="1"/>
  <c r="I96" i="9" s="1"/>
  <c r="N97" i="9"/>
  <c r="F98" i="9"/>
  <c r="G10" i="9"/>
  <c r="M15" i="9"/>
  <c r="I15" i="9"/>
  <c r="N10" i="9"/>
  <c r="F10" i="9"/>
  <c r="L15" i="9"/>
  <c r="H15" i="9"/>
  <c r="M10" i="9"/>
  <c r="K15" i="9"/>
  <c r="F15" i="9"/>
  <c r="L10" i="9"/>
  <c r="N15" i="9"/>
  <c r="J15" i="9"/>
  <c r="C15" i="9"/>
  <c r="C16" i="9" s="1"/>
  <c r="G15" i="9"/>
  <c r="F116" i="4"/>
  <c r="C116" i="4" s="1"/>
  <c r="E15" i="9"/>
  <c r="D15" i="9"/>
  <c r="E10" i="9"/>
  <c r="D10" i="9"/>
  <c r="K10" i="9"/>
  <c r="J10" i="9"/>
  <c r="I10" i="9"/>
  <c r="H10" i="9"/>
  <c r="B15" i="16"/>
  <c r="B15" i="8"/>
  <c r="B15" i="10"/>
  <c r="B15" i="17"/>
  <c r="B15" i="15"/>
  <c r="B15" i="11"/>
  <c r="C115" i="4"/>
  <c r="B32" i="28"/>
  <c r="B31" i="28"/>
  <c r="B30" i="28"/>
  <c r="B23" i="28"/>
  <c r="C23" i="28" s="1"/>
  <c r="B22" i="28"/>
  <c r="C22" i="28" s="1"/>
  <c r="B21" i="28"/>
  <c r="C21" i="28" s="1"/>
  <c r="B20" i="28"/>
  <c r="C20" i="28" s="1"/>
  <c r="B18" i="28"/>
  <c r="C18" i="28" s="1"/>
  <c r="B17" i="28"/>
  <c r="C17" i="28" s="1"/>
  <c r="B16" i="28"/>
  <c r="C16" i="28" s="1"/>
  <c r="B15" i="28"/>
  <c r="C15" i="28" s="1"/>
  <c r="B13" i="28"/>
  <c r="C13" i="28" s="1"/>
  <c r="B12" i="28"/>
  <c r="C12" i="28" s="1"/>
  <c r="B11" i="28"/>
  <c r="C11" i="28" s="1"/>
  <c r="B10" i="28"/>
  <c r="C10" i="28" s="1"/>
  <c r="B3" i="28"/>
  <c r="N39" i="27"/>
  <c r="M39" i="27"/>
  <c r="L39" i="27"/>
  <c r="K39" i="27"/>
  <c r="J39" i="27"/>
  <c r="I39" i="27"/>
  <c r="H39" i="27"/>
  <c r="G39" i="27"/>
  <c r="F39" i="27"/>
  <c r="E39" i="27"/>
  <c r="B33" i="27"/>
  <c r="B29" i="27"/>
  <c r="N26" i="27"/>
  <c r="B23" i="27"/>
  <c r="N20" i="27"/>
  <c r="M20" i="27"/>
  <c r="L20" i="27"/>
  <c r="K20" i="27"/>
  <c r="J20" i="27"/>
  <c r="I20" i="27"/>
  <c r="H20" i="27"/>
  <c r="G20" i="27"/>
  <c r="F20" i="27"/>
  <c r="E20" i="27"/>
  <c r="B12" i="27"/>
  <c r="B9" i="27"/>
  <c r="B5" i="27"/>
  <c r="C5" i="27" s="1"/>
  <c r="D5" i="27" s="1"/>
  <c r="E5" i="27" s="1"/>
  <c r="F5" i="27" s="1"/>
  <c r="G5" i="27" s="1"/>
  <c r="H5" i="27" s="1"/>
  <c r="I5" i="27" s="1"/>
  <c r="J5" i="27" s="1"/>
  <c r="K5" i="27" s="1"/>
  <c r="L5" i="27" s="1"/>
  <c r="M5" i="27" s="1"/>
  <c r="N5" i="27" s="1"/>
  <c r="B33" i="26"/>
  <c r="B29" i="26"/>
  <c r="N26" i="26"/>
  <c r="B23" i="26"/>
  <c r="B12" i="26"/>
  <c r="B9" i="26"/>
  <c r="B21" i="26" s="1"/>
  <c r="B5" i="26"/>
  <c r="C5" i="26" s="1"/>
  <c r="D5" i="26" s="1"/>
  <c r="E5" i="26" s="1"/>
  <c r="F5" i="26" s="1"/>
  <c r="G5" i="26" s="1"/>
  <c r="H5" i="26" s="1"/>
  <c r="I5" i="26" s="1"/>
  <c r="J5" i="26" s="1"/>
  <c r="K5" i="26" s="1"/>
  <c r="L5" i="26" s="1"/>
  <c r="M5" i="26" s="1"/>
  <c r="N5" i="26" s="1"/>
  <c r="D107" i="25"/>
  <c r="E107" i="25" s="1"/>
  <c r="F107" i="25" s="1"/>
  <c r="G107" i="25" s="1"/>
  <c r="H107" i="25" s="1"/>
  <c r="I107" i="25" s="1"/>
  <c r="J107" i="25" s="1"/>
  <c r="K107" i="25" s="1"/>
  <c r="L107" i="25" s="1"/>
  <c r="M107" i="25" s="1"/>
  <c r="N107" i="25" s="1"/>
  <c r="B9" i="25"/>
  <c r="N48" i="25" s="1"/>
  <c r="B7" i="25"/>
  <c r="D9" i="9"/>
  <c r="E9" i="9"/>
  <c r="D67" i="25"/>
  <c r="E67" i="25" s="1"/>
  <c r="F67" i="25" s="1"/>
  <c r="G67" i="25" s="1"/>
  <c r="H67" i="25" s="1"/>
  <c r="I67" i="25" s="1"/>
  <c r="J67" i="25" s="1"/>
  <c r="K67" i="25" s="1"/>
  <c r="L67" i="25" s="1"/>
  <c r="M67" i="25" s="1"/>
  <c r="N67" i="25" s="1"/>
  <c r="D28" i="25"/>
  <c r="E28" i="25" s="1"/>
  <c r="F28" i="25" s="1"/>
  <c r="G28" i="25" s="1"/>
  <c r="H28" i="25" s="1"/>
  <c r="I28" i="25" s="1"/>
  <c r="J28" i="25" s="1"/>
  <c r="K28" i="25" s="1"/>
  <c r="L28" i="25" s="1"/>
  <c r="M28" i="25" s="1"/>
  <c r="N28" i="25" s="1"/>
  <c r="B146" i="4"/>
  <c r="B147" i="4"/>
  <c r="B148" i="4"/>
  <c r="B145" i="4"/>
  <c r="B40" i="26" l="1"/>
  <c r="B41" i="26" s="1"/>
  <c r="B40" i="27"/>
  <c r="F45" i="22"/>
  <c r="F26" i="11"/>
  <c r="F26" i="8"/>
  <c r="F45" i="21"/>
  <c r="F26" i="10"/>
  <c r="F45" i="23"/>
  <c r="I98" i="9"/>
  <c r="J96" i="9"/>
  <c r="K96" i="9" s="1"/>
  <c r="L96" i="9" s="1"/>
  <c r="B26" i="28"/>
  <c r="N9" i="25"/>
  <c r="C9" i="26"/>
  <c r="B21" i="27"/>
  <c r="B41" i="27" s="1"/>
  <c r="C9" i="27"/>
  <c r="D9" i="27"/>
  <c r="D9" i="26"/>
  <c r="N7" i="25"/>
  <c r="N46" i="25"/>
  <c r="I45" i="23" l="1"/>
  <c r="I26" i="8"/>
  <c r="I26" i="10"/>
  <c r="I45" i="22"/>
  <c r="I45" i="21"/>
  <c r="I26" i="11"/>
  <c r="F24" i="20"/>
  <c r="F24" i="18"/>
  <c r="F24" i="19"/>
  <c r="M96" i="9"/>
  <c r="N96" i="9" s="1"/>
  <c r="L98" i="9"/>
  <c r="E9" i="27"/>
  <c r="E9" i="26"/>
  <c r="N98" i="9" l="1"/>
  <c r="N26" i="11" s="1"/>
  <c r="N45" i="22"/>
  <c r="L26" i="10"/>
  <c r="L26" i="11"/>
  <c r="L45" i="23"/>
  <c r="L45" i="21"/>
  <c r="L45" i="22"/>
  <c r="L26" i="8"/>
  <c r="I24" i="18"/>
  <c r="I24" i="20"/>
  <c r="I24" i="19"/>
  <c r="F9" i="27"/>
  <c r="F9" i="26"/>
  <c r="N45" i="23" l="1"/>
  <c r="N26" i="10"/>
  <c r="B26" i="11"/>
  <c r="N26" i="8"/>
  <c r="N24" i="20" s="1"/>
  <c r="N45" i="21"/>
  <c r="L24" i="19"/>
  <c r="L24" i="20"/>
  <c r="L24" i="18"/>
  <c r="B26" i="10"/>
  <c r="G9" i="27"/>
  <c r="G9" i="26"/>
  <c r="B26" i="8" l="1"/>
  <c r="B24" i="20" s="1"/>
  <c r="N24" i="19"/>
  <c r="N24" i="18"/>
  <c r="B24" i="19"/>
  <c r="B24" i="18"/>
  <c r="H9" i="27"/>
  <c r="H9" i="26"/>
  <c r="I9" i="27" l="1"/>
  <c r="I9" i="26"/>
  <c r="J9" i="27" l="1"/>
  <c r="J9" i="26"/>
  <c r="K9" i="27" l="1"/>
  <c r="K9" i="26"/>
  <c r="L9" i="27" l="1"/>
  <c r="L9" i="26"/>
  <c r="M9" i="27" l="1"/>
  <c r="N9" i="27"/>
  <c r="M9" i="26"/>
  <c r="N9" i="26"/>
  <c r="B45" i="1" l="1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C4" i="4"/>
  <c r="D4" i="4" s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B5" i="24"/>
  <c r="C5" i="24" s="1"/>
  <c r="D5" i="24" s="1"/>
  <c r="E5" i="24" s="1"/>
  <c r="F5" i="24" s="1"/>
  <c r="G5" i="24" s="1"/>
  <c r="H5" i="24" s="1"/>
  <c r="I5" i="24" s="1"/>
  <c r="J5" i="24" s="1"/>
  <c r="K5" i="24" s="1"/>
  <c r="L5" i="24" s="1"/>
  <c r="M5" i="24" s="1"/>
  <c r="N5" i="24" s="1"/>
  <c r="N39" i="24"/>
  <c r="M39" i="24"/>
  <c r="L39" i="24"/>
  <c r="K39" i="24"/>
  <c r="J39" i="24"/>
  <c r="I39" i="24"/>
  <c r="H39" i="24"/>
  <c r="G39" i="24"/>
  <c r="F39" i="24"/>
  <c r="E39" i="24"/>
  <c r="B29" i="24"/>
  <c r="N20" i="24"/>
  <c r="M20" i="24"/>
  <c r="L20" i="24"/>
  <c r="K20" i="24"/>
  <c r="J20" i="24"/>
  <c r="I20" i="24"/>
  <c r="H20" i="24"/>
  <c r="G20" i="24"/>
  <c r="F20" i="24"/>
  <c r="E20" i="24"/>
  <c r="N9" i="24"/>
  <c r="M9" i="24"/>
  <c r="J9" i="24"/>
  <c r="I9" i="24"/>
  <c r="F9" i="24"/>
  <c r="E9" i="24"/>
  <c r="B9" i="24"/>
  <c r="L9" i="24"/>
  <c r="K9" i="24"/>
  <c r="H9" i="24"/>
  <c r="G9" i="24"/>
  <c r="D9" i="24"/>
  <c r="C9" i="24"/>
  <c r="B33" i="24" l="1"/>
  <c r="N26" i="24"/>
  <c r="B12" i="24"/>
  <c r="B21" i="24" s="1"/>
  <c r="B23" i="24"/>
  <c r="B40" i="24" l="1"/>
  <c r="B41" i="24" s="1"/>
  <c r="C43" i="23" l="1"/>
  <c r="C41" i="23"/>
  <c r="D14" i="9"/>
  <c r="E14" i="9"/>
  <c r="C14" i="9"/>
  <c r="B51" i="23"/>
  <c r="B46" i="23"/>
  <c r="B38" i="23"/>
  <c r="B37" i="23"/>
  <c r="B35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C41" i="22"/>
  <c r="F9" i="9"/>
  <c r="N9" i="9"/>
  <c r="N14" i="9" s="1"/>
  <c r="C9" i="9"/>
  <c r="G4" i="9"/>
  <c r="H4" i="9"/>
  <c r="I4" i="9"/>
  <c r="J4" i="9"/>
  <c r="K4" i="9"/>
  <c r="M4" i="9"/>
  <c r="N4" i="9"/>
  <c r="C4" i="9"/>
  <c r="B51" i="22"/>
  <c r="B46" i="22"/>
  <c r="B38" i="22"/>
  <c r="B37" i="22"/>
  <c r="B35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C6" i="9"/>
  <c r="C40" i="22" s="1"/>
  <c r="C40" i="23" l="1"/>
  <c r="B51" i="21"/>
  <c r="N41" i="21"/>
  <c r="C41" i="21"/>
  <c r="C40" i="21"/>
  <c r="B37" i="21"/>
  <c r="B38" i="21"/>
  <c r="B46" i="21"/>
  <c r="B35" i="21"/>
  <c r="C19" i="17"/>
  <c r="C18" i="17"/>
  <c r="D18" i="17" s="1"/>
  <c r="E18" i="17" s="1"/>
  <c r="F18" i="17" s="1"/>
  <c r="G18" i="17" s="1"/>
  <c r="H18" i="17" s="1"/>
  <c r="I18" i="17" s="1"/>
  <c r="J18" i="17" s="1"/>
  <c r="K18" i="17" s="1"/>
  <c r="L18" i="17" s="1"/>
  <c r="M18" i="17" s="1"/>
  <c r="N18" i="17" s="1"/>
  <c r="C14" i="17"/>
  <c r="D14" i="17" s="1"/>
  <c r="E14" i="17" s="1"/>
  <c r="F14" i="17" s="1"/>
  <c r="G14" i="17" s="1"/>
  <c r="H14" i="17" s="1"/>
  <c r="I14" i="17" s="1"/>
  <c r="J14" i="17" s="1"/>
  <c r="K14" i="17" s="1"/>
  <c r="L14" i="17" s="1"/>
  <c r="M14" i="17" s="1"/>
  <c r="N14" i="17" s="1"/>
  <c r="D13" i="17"/>
  <c r="E13" i="17" s="1"/>
  <c r="F13" i="17" s="1"/>
  <c r="G13" i="17" s="1"/>
  <c r="H13" i="17" s="1"/>
  <c r="I13" i="17" s="1"/>
  <c r="J13" i="17" s="1"/>
  <c r="K13" i="17" s="1"/>
  <c r="L13" i="17" s="1"/>
  <c r="M13" i="17" s="1"/>
  <c r="N13" i="17" s="1"/>
  <c r="C13" i="17"/>
  <c r="C10" i="17"/>
  <c r="D10" i="17" s="1"/>
  <c r="E10" i="17" s="1"/>
  <c r="F10" i="17" s="1"/>
  <c r="D18" i="16"/>
  <c r="E18" i="16" s="1"/>
  <c r="F18" i="16" s="1"/>
  <c r="G18" i="16" s="1"/>
  <c r="H18" i="16" s="1"/>
  <c r="I18" i="16" s="1"/>
  <c r="J18" i="16" s="1"/>
  <c r="K18" i="16" s="1"/>
  <c r="L18" i="16" s="1"/>
  <c r="M18" i="16" s="1"/>
  <c r="N18" i="16" s="1"/>
  <c r="C18" i="16"/>
  <c r="C14" i="16"/>
  <c r="D14" i="16" s="1"/>
  <c r="E14" i="16" s="1"/>
  <c r="F14" i="16" s="1"/>
  <c r="G14" i="16" s="1"/>
  <c r="H14" i="16" s="1"/>
  <c r="I14" i="16" s="1"/>
  <c r="J14" i="16" s="1"/>
  <c r="K14" i="16" s="1"/>
  <c r="L14" i="16" s="1"/>
  <c r="M14" i="16" s="1"/>
  <c r="N14" i="16" s="1"/>
  <c r="D13" i="16"/>
  <c r="E13" i="16" s="1"/>
  <c r="F13" i="16" s="1"/>
  <c r="G13" i="16" s="1"/>
  <c r="H13" i="16" s="1"/>
  <c r="I13" i="16" s="1"/>
  <c r="J13" i="16" s="1"/>
  <c r="K13" i="16" s="1"/>
  <c r="L13" i="16" s="1"/>
  <c r="M13" i="16" s="1"/>
  <c r="N13" i="16" s="1"/>
  <c r="C13" i="16"/>
  <c r="C10" i="16"/>
  <c r="D10" i="16" s="1"/>
  <c r="E10" i="16" s="1"/>
  <c r="F10" i="16" s="1"/>
  <c r="G10" i="16" s="1"/>
  <c r="H10" i="16" s="1"/>
  <c r="C18" i="15"/>
  <c r="D18" i="15" s="1"/>
  <c r="E18" i="15" s="1"/>
  <c r="F18" i="15" s="1"/>
  <c r="G18" i="15" s="1"/>
  <c r="H18" i="15" s="1"/>
  <c r="I18" i="15" s="1"/>
  <c r="J18" i="15" s="1"/>
  <c r="K18" i="15" s="1"/>
  <c r="L18" i="15" s="1"/>
  <c r="M18" i="15" s="1"/>
  <c r="N18" i="15" s="1"/>
  <c r="C14" i="15"/>
  <c r="D14" i="15" s="1"/>
  <c r="E14" i="15" s="1"/>
  <c r="F14" i="15" s="1"/>
  <c r="G14" i="15" s="1"/>
  <c r="H14" i="15" s="1"/>
  <c r="I14" i="15" s="1"/>
  <c r="J14" i="15" s="1"/>
  <c r="K14" i="15" s="1"/>
  <c r="L14" i="15" s="1"/>
  <c r="M14" i="15" s="1"/>
  <c r="N14" i="15" s="1"/>
  <c r="C13" i="15"/>
  <c r="D13" i="15" s="1"/>
  <c r="E13" i="15" s="1"/>
  <c r="F13" i="15" s="1"/>
  <c r="G13" i="15" s="1"/>
  <c r="H13" i="15" s="1"/>
  <c r="I13" i="15" s="1"/>
  <c r="J13" i="15" s="1"/>
  <c r="K13" i="15" s="1"/>
  <c r="L13" i="15" s="1"/>
  <c r="M13" i="15" s="1"/>
  <c r="N13" i="15" s="1"/>
  <c r="C10" i="15"/>
  <c r="D10" i="15" s="1"/>
  <c r="E10" i="15" s="1"/>
  <c r="F10" i="15" s="1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D19" i="14"/>
  <c r="E19" i="14" s="1"/>
  <c r="F19" i="14" s="1"/>
  <c r="G19" i="14" s="1"/>
  <c r="H19" i="14" s="1"/>
  <c r="I19" i="14" s="1"/>
  <c r="J19" i="14" s="1"/>
  <c r="K19" i="14" s="1"/>
  <c r="L19" i="14" s="1"/>
  <c r="M19" i="14" s="1"/>
  <c r="N19" i="14" s="1"/>
  <c r="C19" i="14"/>
  <c r="C17" i="14"/>
  <c r="D17" i="14" s="1"/>
  <c r="E17" i="14" s="1"/>
  <c r="F17" i="14" s="1"/>
  <c r="G17" i="14" s="1"/>
  <c r="H17" i="14" s="1"/>
  <c r="I17" i="14" s="1"/>
  <c r="J17" i="14" s="1"/>
  <c r="K17" i="14" s="1"/>
  <c r="L17" i="14" s="1"/>
  <c r="M17" i="14" s="1"/>
  <c r="N17" i="14" s="1"/>
  <c r="C14" i="14"/>
  <c r="D14" i="14" s="1"/>
  <c r="E14" i="14" s="1"/>
  <c r="F14" i="14" s="1"/>
  <c r="G14" i="14" s="1"/>
  <c r="H14" i="14" s="1"/>
  <c r="I14" i="14" s="1"/>
  <c r="J14" i="14" s="1"/>
  <c r="K14" i="14" s="1"/>
  <c r="L14" i="14" s="1"/>
  <c r="M14" i="14" s="1"/>
  <c r="N14" i="14" s="1"/>
  <c r="C13" i="14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C12" i="14"/>
  <c r="D12" i="14" s="1"/>
  <c r="E12" i="14" s="1"/>
  <c r="F12" i="14" s="1"/>
  <c r="G12" i="14" s="1"/>
  <c r="H12" i="14" s="1"/>
  <c r="I12" i="14" s="1"/>
  <c r="J12" i="14" s="1"/>
  <c r="K12" i="14" s="1"/>
  <c r="L12" i="14" s="1"/>
  <c r="M12" i="14" s="1"/>
  <c r="N12" i="14" s="1"/>
  <c r="C11" i="14"/>
  <c r="D11" i="14" s="1"/>
  <c r="E11" i="14" s="1"/>
  <c r="F11" i="14" s="1"/>
  <c r="G11" i="14" s="1"/>
  <c r="H11" i="14" s="1"/>
  <c r="I11" i="14" s="1"/>
  <c r="J11" i="14" s="1"/>
  <c r="K11" i="14" s="1"/>
  <c r="L11" i="14" s="1"/>
  <c r="M11" i="14" s="1"/>
  <c r="N11" i="14" s="1"/>
  <c r="C10" i="14"/>
  <c r="D10" i="14" s="1"/>
  <c r="E10" i="14" s="1"/>
  <c r="F10" i="14" s="1"/>
  <c r="G10" i="14" s="1"/>
  <c r="H10" i="14" s="1"/>
  <c r="I10" i="14" s="1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C19" i="13"/>
  <c r="D19" i="13" s="1"/>
  <c r="E19" i="13" s="1"/>
  <c r="F19" i="13" s="1"/>
  <c r="G19" i="13" s="1"/>
  <c r="H19" i="13" s="1"/>
  <c r="I19" i="13" s="1"/>
  <c r="J19" i="13" s="1"/>
  <c r="K19" i="13" s="1"/>
  <c r="L19" i="13" s="1"/>
  <c r="M19" i="13" s="1"/>
  <c r="N19" i="13" s="1"/>
  <c r="C17" i="13"/>
  <c r="D17" i="13" s="1"/>
  <c r="E17" i="13" s="1"/>
  <c r="F17" i="13" s="1"/>
  <c r="G17" i="13" s="1"/>
  <c r="H17" i="13" s="1"/>
  <c r="I17" i="13" s="1"/>
  <c r="J17" i="13" s="1"/>
  <c r="K17" i="13" s="1"/>
  <c r="L17" i="13" s="1"/>
  <c r="M17" i="13" s="1"/>
  <c r="N17" i="13" s="1"/>
  <c r="D14" i="13"/>
  <c r="E14" i="13" s="1"/>
  <c r="F14" i="13" s="1"/>
  <c r="G14" i="13" s="1"/>
  <c r="H14" i="13" s="1"/>
  <c r="I14" i="13" s="1"/>
  <c r="J14" i="13" s="1"/>
  <c r="K14" i="13" s="1"/>
  <c r="L14" i="13" s="1"/>
  <c r="M14" i="13" s="1"/>
  <c r="N14" i="13" s="1"/>
  <c r="C14" i="13"/>
  <c r="C13" i="13"/>
  <c r="D13" i="13" s="1"/>
  <c r="E13" i="13" s="1"/>
  <c r="F13" i="13" s="1"/>
  <c r="G13" i="13" s="1"/>
  <c r="H13" i="13" s="1"/>
  <c r="I13" i="13" s="1"/>
  <c r="J13" i="13" s="1"/>
  <c r="K13" i="13" s="1"/>
  <c r="L13" i="13" s="1"/>
  <c r="M13" i="13" s="1"/>
  <c r="N13" i="13" s="1"/>
  <c r="D12" i="13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C12" i="13"/>
  <c r="C11" i="13"/>
  <c r="D11" i="13" s="1"/>
  <c r="E11" i="13" s="1"/>
  <c r="F11" i="13" s="1"/>
  <c r="G11" i="13" s="1"/>
  <c r="H11" i="13" s="1"/>
  <c r="I11" i="13" s="1"/>
  <c r="J11" i="13" s="1"/>
  <c r="K11" i="13" s="1"/>
  <c r="L11" i="13" s="1"/>
  <c r="M11" i="13" s="1"/>
  <c r="N11" i="13" s="1"/>
  <c r="D10" i="13"/>
  <c r="E10" i="13" s="1"/>
  <c r="F10" i="13" s="1"/>
  <c r="C10" i="13"/>
  <c r="D19" i="12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C19" i="12"/>
  <c r="C17" i="12"/>
  <c r="D17" i="12" s="1"/>
  <c r="E17" i="12" s="1"/>
  <c r="F17" i="12" s="1"/>
  <c r="G17" i="12" s="1"/>
  <c r="H17" i="12" s="1"/>
  <c r="I17" i="12" s="1"/>
  <c r="J17" i="12" s="1"/>
  <c r="K17" i="12" s="1"/>
  <c r="L17" i="12" s="1"/>
  <c r="M17" i="12" s="1"/>
  <c r="N17" i="12" s="1"/>
  <c r="C11" i="12"/>
  <c r="D11" i="12" s="1"/>
  <c r="E11" i="12" s="1"/>
  <c r="F11" i="12" s="1"/>
  <c r="G11" i="12" s="1"/>
  <c r="H11" i="12" s="1"/>
  <c r="I11" i="12" s="1"/>
  <c r="J11" i="12" s="1"/>
  <c r="K11" i="12" s="1"/>
  <c r="L11" i="12" s="1"/>
  <c r="M11" i="12" s="1"/>
  <c r="N11" i="12" s="1"/>
  <c r="C12" i="12"/>
  <c r="D12" i="12" s="1"/>
  <c r="E12" i="12" s="1"/>
  <c r="F12" i="12" s="1"/>
  <c r="G12" i="12" s="1"/>
  <c r="H12" i="12" s="1"/>
  <c r="I12" i="12" s="1"/>
  <c r="J12" i="12" s="1"/>
  <c r="K12" i="12" s="1"/>
  <c r="L12" i="12" s="1"/>
  <c r="M12" i="12" s="1"/>
  <c r="N12" i="12" s="1"/>
  <c r="C13" i="12"/>
  <c r="D13" i="12" s="1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C14" i="12"/>
  <c r="D14" i="12" s="1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C10" i="12"/>
  <c r="D10" i="12" s="1"/>
  <c r="E10" i="12" s="1"/>
  <c r="F10" i="12" s="1"/>
  <c r="G10" i="12" s="1"/>
  <c r="H10" i="12" s="1"/>
  <c r="I10" i="12" s="1"/>
  <c r="J10" i="12" s="1"/>
  <c r="K10" i="12" s="1"/>
  <c r="L10" i="12" s="1"/>
  <c r="M10" i="12" s="1"/>
  <c r="N10" i="12" s="1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B125" i="4"/>
  <c r="B126" i="4" s="1"/>
  <c r="B127" i="4" s="1"/>
  <c r="C23" i="9"/>
  <c r="D23" i="9" s="1"/>
  <c r="E23" i="9" s="1"/>
  <c r="F23" i="9" s="1"/>
  <c r="G23" i="9" s="1"/>
  <c r="H23" i="9" s="1"/>
  <c r="I23" i="9" s="1"/>
  <c r="J23" i="9" s="1"/>
  <c r="K23" i="9" s="1"/>
  <c r="L23" i="9" s="1"/>
  <c r="M23" i="9" s="1"/>
  <c r="N23" i="9" s="1"/>
  <c r="C87" i="4"/>
  <c r="C22" i="9"/>
  <c r="D22" i="9" s="1"/>
  <c r="E22" i="9" s="1"/>
  <c r="F22" i="9" s="1"/>
  <c r="G22" i="9" s="1"/>
  <c r="H22" i="9" s="1"/>
  <c r="I22" i="9" s="1"/>
  <c r="J22" i="9" s="1"/>
  <c r="K22" i="9" s="1"/>
  <c r="L22" i="9" s="1"/>
  <c r="M22" i="9" s="1"/>
  <c r="N22" i="9" s="1"/>
  <c r="C21" i="9"/>
  <c r="D21" i="9" s="1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E111" i="4"/>
  <c r="D5" i="9" s="1"/>
  <c r="H111" i="4"/>
  <c r="H114" i="4" s="1"/>
  <c r="G8" i="9" s="1"/>
  <c r="I111" i="4"/>
  <c r="H5" i="9" s="1"/>
  <c r="J111" i="4"/>
  <c r="J114" i="4" s="1"/>
  <c r="K111" i="4"/>
  <c r="J5" i="9" s="1"/>
  <c r="L111" i="4"/>
  <c r="K5" i="9" s="1"/>
  <c r="N111" i="4"/>
  <c r="M5" i="9" s="1"/>
  <c r="O111" i="4"/>
  <c r="O114" i="4" s="1"/>
  <c r="N8" i="9" s="1"/>
  <c r="D111" i="4"/>
  <c r="C5" i="9" s="1"/>
  <c r="M108" i="4"/>
  <c r="L4" i="9" s="1"/>
  <c r="F108" i="4"/>
  <c r="E4" i="9" s="1"/>
  <c r="G84" i="4"/>
  <c r="H84" i="4" s="1"/>
  <c r="I84" i="4" s="1"/>
  <c r="J84" i="4" s="1"/>
  <c r="E84" i="4"/>
  <c r="G85" i="4"/>
  <c r="H85" i="4" s="1"/>
  <c r="I85" i="4" s="1"/>
  <c r="J85" i="4" s="1"/>
  <c r="N22" i="8"/>
  <c r="L22" i="8"/>
  <c r="J22" i="8"/>
  <c r="G22" i="8"/>
  <c r="C22" i="8"/>
  <c r="M22" i="8"/>
  <c r="K22" i="8"/>
  <c r="I22" i="8"/>
  <c r="E22" i="8"/>
  <c r="C17" i="15"/>
  <c r="D17" i="15" s="1"/>
  <c r="E17" i="15" s="1"/>
  <c r="F17" i="15" s="1"/>
  <c r="G17" i="15" s="1"/>
  <c r="H17" i="15" s="1"/>
  <c r="I17" i="15" s="1"/>
  <c r="J17" i="15" s="1"/>
  <c r="K17" i="15" s="1"/>
  <c r="L17" i="15" s="1"/>
  <c r="M17" i="15" s="1"/>
  <c r="N17" i="15" s="1"/>
  <c r="C18" i="1"/>
  <c r="D18" i="1"/>
  <c r="E19" i="1"/>
  <c r="C19" i="16" s="1"/>
  <c r="B19" i="1"/>
  <c r="C11" i="17" s="1"/>
  <c r="C16" i="1"/>
  <c r="D16" i="1"/>
  <c r="F16" i="1" s="1"/>
  <c r="C10" i="1"/>
  <c r="D10" i="1"/>
  <c r="F10" i="1" s="1"/>
  <c r="C15" i="1"/>
  <c r="D15" i="1"/>
  <c r="F15" i="1" s="1"/>
  <c r="C17" i="1"/>
  <c r="D17" i="1"/>
  <c r="F17" i="1" s="1"/>
  <c r="E7" i="1"/>
  <c r="C19" i="8" s="1"/>
  <c r="C14" i="1"/>
  <c r="D14" i="1"/>
  <c r="F14" i="1" s="1"/>
  <c r="D12" i="1"/>
  <c r="F12" i="1" s="1"/>
  <c r="D13" i="1"/>
  <c r="F13" i="1" s="1"/>
  <c r="D11" i="1"/>
  <c r="F11" i="1" s="1"/>
  <c r="C12" i="1"/>
  <c r="C13" i="1"/>
  <c r="C11" i="1"/>
  <c r="C4" i="1"/>
  <c r="D4" i="1"/>
  <c r="F4" i="1" s="1"/>
  <c r="C5" i="1"/>
  <c r="D5" i="1"/>
  <c r="F5" i="1" s="1"/>
  <c r="C6" i="1"/>
  <c r="D6" i="1"/>
  <c r="F6" i="1" s="1"/>
  <c r="D3" i="1"/>
  <c r="F3" i="1" s="1"/>
  <c r="C3" i="1"/>
  <c r="C27" i="4"/>
  <c r="D71" i="4"/>
  <c r="E71" i="4"/>
  <c r="C71" i="4"/>
  <c r="C74" i="4"/>
  <c r="D74" i="4" s="1"/>
  <c r="E74" i="4" s="1"/>
  <c r="C73" i="4"/>
  <c r="D73" i="4" s="1"/>
  <c r="E73" i="4" s="1"/>
  <c r="C41" i="4"/>
  <c r="B11" i="6" s="1"/>
  <c r="C40" i="4"/>
  <c r="B10" i="6" s="1"/>
  <c r="B14" i="7" l="1"/>
  <c r="B16" i="7" s="1"/>
  <c r="M29" i="24"/>
  <c r="M34" i="24"/>
  <c r="K29" i="24"/>
  <c r="K34" i="24"/>
  <c r="H29" i="24"/>
  <c r="H34" i="24"/>
  <c r="C29" i="24"/>
  <c r="C34" i="24"/>
  <c r="J29" i="24"/>
  <c r="J34" i="24"/>
  <c r="D29" i="24"/>
  <c r="D34" i="24"/>
  <c r="C17" i="17"/>
  <c r="D17" i="17" s="1"/>
  <c r="E17" i="17" s="1"/>
  <c r="F17" i="17" s="1"/>
  <c r="G17" i="17" s="1"/>
  <c r="H17" i="17" s="1"/>
  <c r="I17" i="17" s="1"/>
  <c r="J17" i="17" s="1"/>
  <c r="K17" i="17" s="1"/>
  <c r="L17" i="17" s="1"/>
  <c r="M17" i="17" s="1"/>
  <c r="N17" i="17" s="1"/>
  <c r="C19" i="10"/>
  <c r="D19" i="10" s="1"/>
  <c r="E19" i="10" s="1"/>
  <c r="C19" i="15"/>
  <c r="D19" i="15" s="1"/>
  <c r="E19" i="15" s="1"/>
  <c r="F19" i="15" s="1"/>
  <c r="G19" i="15" s="1"/>
  <c r="H19" i="15" s="1"/>
  <c r="I19" i="15" s="1"/>
  <c r="J19" i="15" s="1"/>
  <c r="K19" i="15" s="1"/>
  <c r="L19" i="15" s="1"/>
  <c r="M19" i="15" s="1"/>
  <c r="N19" i="15" s="1"/>
  <c r="C17" i="16"/>
  <c r="D17" i="16" s="1"/>
  <c r="E17" i="16" s="1"/>
  <c r="B17" i="15"/>
  <c r="C19" i="11"/>
  <c r="D19" i="11" s="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D19" i="8"/>
  <c r="C11" i="15"/>
  <c r="C11" i="16"/>
  <c r="G5" i="9"/>
  <c r="N114" i="4"/>
  <c r="M8" i="9" s="1"/>
  <c r="M26" i="15" s="1"/>
  <c r="M26" i="18" s="1"/>
  <c r="M22" i="18" s="1"/>
  <c r="L114" i="4"/>
  <c r="K8" i="9" s="1"/>
  <c r="K26" i="15" s="1"/>
  <c r="K39" i="21" s="1"/>
  <c r="K36" i="21" s="1"/>
  <c r="I5" i="9"/>
  <c r="I34" i="24" s="1"/>
  <c r="M111" i="4"/>
  <c r="N5" i="9"/>
  <c r="N34" i="24" s="1"/>
  <c r="C44" i="4"/>
  <c r="C101" i="4" s="1"/>
  <c r="B15" i="7"/>
  <c r="B17" i="7" s="1"/>
  <c r="D114" i="4"/>
  <c r="C8" i="9" s="1"/>
  <c r="C26" i="15" s="1"/>
  <c r="I114" i="4"/>
  <c r="H8" i="9" s="1"/>
  <c r="H26" i="15" s="1"/>
  <c r="E114" i="4"/>
  <c r="D8" i="9" s="1"/>
  <c r="D26" i="15" s="1"/>
  <c r="F111" i="4"/>
  <c r="C43" i="4"/>
  <c r="C100" i="4" s="1"/>
  <c r="C34" i="27"/>
  <c r="K114" i="4"/>
  <c r="J8" i="9" s="1"/>
  <c r="J26" i="15" s="1"/>
  <c r="I8" i="9"/>
  <c r="G26" i="15"/>
  <c r="N26" i="15"/>
  <c r="N39" i="21" s="1"/>
  <c r="N36" i="21" s="1"/>
  <c r="C32" i="21"/>
  <c r="G32" i="21"/>
  <c r="K32" i="21"/>
  <c r="B32" i="21"/>
  <c r="J32" i="21"/>
  <c r="E32" i="21"/>
  <c r="I32" i="21"/>
  <c r="M32" i="21"/>
  <c r="F32" i="21"/>
  <c r="N32" i="21"/>
  <c r="D32" i="21"/>
  <c r="H32" i="21"/>
  <c r="L32" i="21"/>
  <c r="G10" i="17"/>
  <c r="H10" i="17" s="1"/>
  <c r="D11" i="17"/>
  <c r="D19" i="17"/>
  <c r="E19" i="17" s="1"/>
  <c r="F19" i="17" s="1"/>
  <c r="G19" i="17" s="1"/>
  <c r="H19" i="17" s="1"/>
  <c r="I19" i="17" s="1"/>
  <c r="J19" i="17" s="1"/>
  <c r="K19" i="17" s="1"/>
  <c r="L19" i="17" s="1"/>
  <c r="M19" i="17" s="1"/>
  <c r="N19" i="17" s="1"/>
  <c r="I10" i="16"/>
  <c r="J10" i="16" s="1"/>
  <c r="K10" i="16" s="1"/>
  <c r="L10" i="16" s="1"/>
  <c r="F17" i="16"/>
  <c r="G17" i="16" s="1"/>
  <c r="H17" i="16" s="1"/>
  <c r="I17" i="16" s="1"/>
  <c r="J17" i="16" s="1"/>
  <c r="K17" i="16" s="1"/>
  <c r="L17" i="16" s="1"/>
  <c r="M17" i="16" s="1"/>
  <c r="N17" i="16" s="1"/>
  <c r="D19" i="16"/>
  <c r="E19" i="16" s="1"/>
  <c r="F19" i="16" s="1"/>
  <c r="G19" i="16" s="1"/>
  <c r="H19" i="16" s="1"/>
  <c r="I19" i="16" s="1"/>
  <c r="J19" i="16" s="1"/>
  <c r="K19" i="16" s="1"/>
  <c r="L19" i="16" s="1"/>
  <c r="M19" i="16" s="1"/>
  <c r="N19" i="16" s="1"/>
  <c r="G10" i="15"/>
  <c r="H10" i="15" s="1"/>
  <c r="J10" i="14"/>
  <c r="K10" i="14" s="1"/>
  <c r="L10" i="14" s="1"/>
  <c r="G10" i="13"/>
  <c r="H10" i="13" s="1"/>
  <c r="D7" i="9"/>
  <c r="D6" i="9"/>
  <c r="K7" i="9"/>
  <c r="K6" i="9"/>
  <c r="C19" i="1"/>
  <c r="B22" i="8"/>
  <c r="F22" i="8"/>
  <c r="D22" i="8"/>
  <c r="H22" i="8"/>
  <c r="D19" i="1"/>
  <c r="F18" i="1"/>
  <c r="F19" i="1" s="1"/>
  <c r="F7" i="1"/>
  <c r="B38" i="1" s="1"/>
  <c r="D7" i="1"/>
  <c r="B14" i="6"/>
  <c r="D65" i="4"/>
  <c r="E65" i="4"/>
  <c r="C65" i="4"/>
  <c r="D64" i="4"/>
  <c r="E64" i="4"/>
  <c r="C64" i="4"/>
  <c r="D72" i="4"/>
  <c r="E72" i="4"/>
  <c r="B15" i="6" s="1"/>
  <c r="C72" i="4"/>
  <c r="B13" i="6" s="1"/>
  <c r="D67" i="4"/>
  <c r="E67" i="4"/>
  <c r="D68" i="4"/>
  <c r="E68" i="4"/>
  <c r="C68" i="4"/>
  <c r="C67" i="4"/>
  <c r="E27" i="4"/>
  <c r="F27" i="4"/>
  <c r="G27" i="4"/>
  <c r="G30" i="4" s="1"/>
  <c r="F22" i="5" s="1"/>
  <c r="F23" i="5" s="1"/>
  <c r="H27" i="4"/>
  <c r="I27" i="4"/>
  <c r="J27" i="4"/>
  <c r="K27" i="4"/>
  <c r="L27" i="4"/>
  <c r="M27" i="4"/>
  <c r="N27" i="4"/>
  <c r="N30" i="4" s="1"/>
  <c r="M22" i="5" s="1"/>
  <c r="M23" i="5" s="1"/>
  <c r="O27" i="4"/>
  <c r="O31" i="4" s="1"/>
  <c r="D27" i="4"/>
  <c r="B45" i="4" s="1"/>
  <c r="C26" i="4"/>
  <c r="C31" i="4"/>
  <c r="B9" i="7" s="1"/>
  <c r="B11" i="7" s="1"/>
  <c r="C30" i="4"/>
  <c r="B22" i="5" s="1"/>
  <c r="B23" i="5" s="1"/>
  <c r="B30" i="1"/>
  <c r="B23" i="1"/>
  <c r="C7" i="1"/>
  <c r="B7" i="1"/>
  <c r="B35" i="1" l="1"/>
  <c r="C19" i="19"/>
  <c r="F29" i="25"/>
  <c r="F108" i="25"/>
  <c r="F68" i="25"/>
  <c r="M29" i="25"/>
  <c r="M108" i="25"/>
  <c r="M68" i="25"/>
  <c r="B9" i="10"/>
  <c r="C29" i="26"/>
  <c r="C34" i="26"/>
  <c r="G29" i="24"/>
  <c r="G34" i="24"/>
  <c r="C11" i="11"/>
  <c r="C11" i="8"/>
  <c r="D11" i="8" s="1"/>
  <c r="E11" i="8" s="1"/>
  <c r="F11" i="8" s="1"/>
  <c r="G11" i="8" s="1"/>
  <c r="H11" i="8" s="1"/>
  <c r="I11" i="8" s="1"/>
  <c r="J11" i="8" s="1"/>
  <c r="K11" i="8" s="1"/>
  <c r="L11" i="8" s="1"/>
  <c r="M11" i="8" s="1"/>
  <c r="N11" i="8" s="1"/>
  <c r="C11" i="10"/>
  <c r="D11" i="10" s="1"/>
  <c r="E11" i="10" s="1"/>
  <c r="F11" i="10" s="1"/>
  <c r="G11" i="10" s="1"/>
  <c r="B19" i="15"/>
  <c r="C19" i="18"/>
  <c r="D19" i="19"/>
  <c r="D11" i="16"/>
  <c r="D11" i="19" s="1"/>
  <c r="N19" i="20"/>
  <c r="C17" i="11"/>
  <c r="C17" i="8"/>
  <c r="C17" i="10"/>
  <c r="L19" i="20"/>
  <c r="M19" i="20"/>
  <c r="B19" i="11"/>
  <c r="D19" i="20"/>
  <c r="G19" i="20"/>
  <c r="C19" i="20"/>
  <c r="F19" i="20"/>
  <c r="K19" i="20"/>
  <c r="E19" i="20"/>
  <c r="J19" i="20"/>
  <c r="H19" i="20"/>
  <c r="I19" i="20"/>
  <c r="F19" i="10"/>
  <c r="E19" i="19"/>
  <c r="E19" i="8"/>
  <c r="D19" i="18"/>
  <c r="D11" i="15"/>
  <c r="H7" i="9"/>
  <c r="H41" i="21" s="1"/>
  <c r="H6" i="9"/>
  <c r="H40" i="21" s="1"/>
  <c r="J6" i="9"/>
  <c r="J40" i="21" s="1"/>
  <c r="I29" i="24"/>
  <c r="I6" i="9"/>
  <c r="I40" i="21" s="1"/>
  <c r="C18" i="9"/>
  <c r="C26" i="17" s="1"/>
  <c r="C22" i="17" s="1"/>
  <c r="C29" i="27"/>
  <c r="N6" i="9"/>
  <c r="N40" i="21" s="1"/>
  <c r="N29" i="24"/>
  <c r="J7" i="9"/>
  <c r="J41" i="21" s="1"/>
  <c r="I7" i="9"/>
  <c r="I41" i="21" s="1"/>
  <c r="C96" i="4"/>
  <c r="B34" i="9" s="1"/>
  <c r="B35" i="9" s="1"/>
  <c r="B22" i="25"/>
  <c r="B6" i="11"/>
  <c r="B6" i="20" s="1"/>
  <c r="B101" i="25"/>
  <c r="B6" i="10"/>
  <c r="B6" i="19" s="1"/>
  <c r="B61" i="25"/>
  <c r="B9" i="8"/>
  <c r="B9" i="11"/>
  <c r="N7" i="6"/>
  <c r="N8" i="6" s="1"/>
  <c r="N6" i="13" s="1"/>
  <c r="N9" i="7"/>
  <c r="F4" i="9"/>
  <c r="G111" i="4"/>
  <c r="B10" i="7"/>
  <c r="B12" i="7" s="1"/>
  <c r="B76" i="9" s="1"/>
  <c r="B19" i="7"/>
  <c r="B18" i="10" s="1"/>
  <c r="B18" i="7"/>
  <c r="B10" i="8" s="1"/>
  <c r="B10" i="18" s="1"/>
  <c r="E5" i="9"/>
  <c r="F114" i="4"/>
  <c r="M114" i="4"/>
  <c r="L8" i="9" s="1"/>
  <c r="L26" i="15" s="1"/>
  <c r="L22" i="15" s="1"/>
  <c r="L5" i="9"/>
  <c r="C13" i="9"/>
  <c r="K41" i="21"/>
  <c r="D40" i="21"/>
  <c r="K40" i="21"/>
  <c r="D41" i="21"/>
  <c r="D22" i="15"/>
  <c r="D39" i="21"/>
  <c r="D36" i="21" s="1"/>
  <c r="G26" i="18"/>
  <c r="G22" i="18" s="1"/>
  <c r="G39" i="21"/>
  <c r="G36" i="21" s="1"/>
  <c r="M22" i="15"/>
  <c r="M39" i="21"/>
  <c r="M36" i="21" s="1"/>
  <c r="C22" i="15"/>
  <c r="C39" i="21"/>
  <c r="C36" i="21" s="1"/>
  <c r="G22" i="15"/>
  <c r="J26" i="18"/>
  <c r="J22" i="18" s="1"/>
  <c r="J39" i="21"/>
  <c r="J36" i="21" s="1"/>
  <c r="H22" i="15"/>
  <c r="H39" i="21"/>
  <c r="H36" i="21" s="1"/>
  <c r="I26" i="15"/>
  <c r="I39" i="21" s="1"/>
  <c r="C26" i="18"/>
  <c r="C22" i="18" s="1"/>
  <c r="K26" i="18"/>
  <c r="K22" i="18" s="1"/>
  <c r="K22" i="15"/>
  <c r="J22" i="15"/>
  <c r="D26" i="18"/>
  <c r="D22" i="18" s="1"/>
  <c r="H26" i="18"/>
  <c r="H22" i="18" s="1"/>
  <c r="N26" i="18"/>
  <c r="N22" i="18" s="1"/>
  <c r="N22" i="15"/>
  <c r="B41" i="1"/>
  <c r="C12" i="16"/>
  <c r="D12" i="16" s="1"/>
  <c r="E12" i="16" s="1"/>
  <c r="F12" i="16" s="1"/>
  <c r="G12" i="16" s="1"/>
  <c r="H12" i="16" s="1"/>
  <c r="I12" i="16" s="1"/>
  <c r="J12" i="16" s="1"/>
  <c r="K12" i="16" s="1"/>
  <c r="L12" i="16" s="1"/>
  <c r="M12" i="16" s="1"/>
  <c r="N12" i="16" s="1"/>
  <c r="C12" i="15"/>
  <c r="C12" i="17"/>
  <c r="B19" i="17"/>
  <c r="E11" i="17"/>
  <c r="I10" i="17"/>
  <c r="B17" i="17"/>
  <c r="B19" i="16"/>
  <c r="M10" i="16"/>
  <c r="B17" i="16"/>
  <c r="I10" i="15"/>
  <c r="M10" i="14"/>
  <c r="I10" i="13"/>
  <c r="B37" i="1"/>
  <c r="B39" i="1" s="1"/>
  <c r="C12" i="11"/>
  <c r="C12" i="10"/>
  <c r="C12" i="8"/>
  <c r="H11" i="10"/>
  <c r="B56" i="9"/>
  <c r="C98" i="4"/>
  <c r="B64" i="9" s="1"/>
  <c r="B65" i="9" s="1"/>
  <c r="B41" i="9"/>
  <c r="C97" i="4"/>
  <c r="B49" i="9" s="1"/>
  <c r="B50" i="9" s="1"/>
  <c r="B6" i="8"/>
  <c r="B6" i="18" s="1"/>
  <c r="B26" i="9"/>
  <c r="O30" i="4"/>
  <c r="N22" i="5" s="1"/>
  <c r="N23" i="5" s="1"/>
  <c r="C33" i="4"/>
  <c r="B17" i="5" s="1"/>
  <c r="B19" i="5" s="1"/>
  <c r="B7" i="6"/>
  <c r="B8" i="6" s="1"/>
  <c r="C34" i="4"/>
  <c r="O33" i="4"/>
  <c r="N17" i="5" s="1"/>
  <c r="N21" i="5" s="1"/>
  <c r="N97" i="25" s="1"/>
  <c r="O34" i="4"/>
  <c r="O40" i="4"/>
  <c r="O41" i="4"/>
  <c r="K40" i="4"/>
  <c r="K41" i="4"/>
  <c r="G40" i="4"/>
  <c r="G41" i="4"/>
  <c r="K31" i="4"/>
  <c r="N40" i="4"/>
  <c r="N41" i="4"/>
  <c r="N31" i="4"/>
  <c r="J40" i="4"/>
  <c r="J41" i="4"/>
  <c r="J31" i="4"/>
  <c r="J30" i="4"/>
  <c r="I22" i="5" s="1"/>
  <c r="I23" i="5" s="1"/>
  <c r="F40" i="4"/>
  <c r="F41" i="4"/>
  <c r="F31" i="4"/>
  <c r="F30" i="4"/>
  <c r="E22" i="5" s="1"/>
  <c r="E23" i="5" s="1"/>
  <c r="K30" i="4"/>
  <c r="J22" i="5" s="1"/>
  <c r="J23" i="5" s="1"/>
  <c r="G31" i="4"/>
  <c r="M40" i="4"/>
  <c r="M41" i="4"/>
  <c r="I40" i="4"/>
  <c r="I41" i="4"/>
  <c r="E40" i="4"/>
  <c r="E41" i="4"/>
  <c r="M30" i="4"/>
  <c r="L22" i="5" s="1"/>
  <c r="L23" i="5" s="1"/>
  <c r="I30" i="4"/>
  <c r="H22" i="5" s="1"/>
  <c r="H23" i="5" s="1"/>
  <c r="E30" i="4"/>
  <c r="D22" i="5" s="1"/>
  <c r="D23" i="5" s="1"/>
  <c r="M31" i="4"/>
  <c r="I31" i="4"/>
  <c r="E31" i="4"/>
  <c r="D40" i="4"/>
  <c r="D41" i="4"/>
  <c r="L40" i="4"/>
  <c r="L41" i="4"/>
  <c r="H40" i="4"/>
  <c r="H41" i="4"/>
  <c r="D30" i="4"/>
  <c r="C22" i="5" s="1"/>
  <c r="C23" i="5" s="1"/>
  <c r="L30" i="4"/>
  <c r="K22" i="5" s="1"/>
  <c r="K23" i="5" s="1"/>
  <c r="H30" i="4"/>
  <c r="G22" i="5" s="1"/>
  <c r="G23" i="5" s="1"/>
  <c r="D31" i="4"/>
  <c r="L31" i="4"/>
  <c r="H31" i="4"/>
  <c r="D11" i="22" l="1"/>
  <c r="B11" i="8"/>
  <c r="K29" i="25"/>
  <c r="K68" i="25"/>
  <c r="K108" i="25"/>
  <c r="C29" i="25"/>
  <c r="C68" i="25"/>
  <c r="C108" i="25"/>
  <c r="L29" i="25"/>
  <c r="L68" i="25"/>
  <c r="L108" i="25"/>
  <c r="J29" i="25"/>
  <c r="J108" i="25"/>
  <c r="J68" i="25"/>
  <c r="N29" i="25"/>
  <c r="N108" i="25"/>
  <c r="N68" i="25"/>
  <c r="E29" i="25"/>
  <c r="E108" i="25"/>
  <c r="E68" i="25"/>
  <c r="I29" i="25"/>
  <c r="I108" i="25"/>
  <c r="I68" i="25"/>
  <c r="H29" i="25"/>
  <c r="H68" i="25"/>
  <c r="H108" i="25"/>
  <c r="G29" i="25"/>
  <c r="G68" i="25"/>
  <c r="G108" i="25"/>
  <c r="D29" i="25"/>
  <c r="D68" i="25"/>
  <c r="D108" i="25"/>
  <c r="K29" i="26"/>
  <c r="K34" i="26"/>
  <c r="J29" i="26"/>
  <c r="J34" i="26"/>
  <c r="N29" i="26"/>
  <c r="N34" i="26"/>
  <c r="M29" i="26"/>
  <c r="M34" i="26"/>
  <c r="L29" i="26"/>
  <c r="L34" i="26"/>
  <c r="D29" i="26"/>
  <c r="D34" i="26"/>
  <c r="F29" i="26"/>
  <c r="F34" i="26"/>
  <c r="I29" i="26"/>
  <c r="I34" i="26"/>
  <c r="H29" i="26"/>
  <c r="H34" i="26"/>
  <c r="E29" i="24"/>
  <c r="E34" i="24"/>
  <c r="G29" i="26"/>
  <c r="G34" i="26"/>
  <c r="E29" i="26"/>
  <c r="E34" i="26"/>
  <c r="L29" i="24"/>
  <c r="L34" i="24"/>
  <c r="B18" i="11"/>
  <c r="E11" i="16"/>
  <c r="E11" i="19" s="1"/>
  <c r="E11" i="22" s="1"/>
  <c r="C11" i="18"/>
  <c r="C11" i="21" s="1"/>
  <c r="C11" i="19"/>
  <c r="C11" i="22" s="1"/>
  <c r="D11" i="11"/>
  <c r="C11" i="20"/>
  <c r="C11" i="23" s="1"/>
  <c r="D17" i="10"/>
  <c r="C17" i="19"/>
  <c r="C17" i="22" s="1"/>
  <c r="C17" i="18"/>
  <c r="C17" i="21" s="1"/>
  <c r="D17" i="8"/>
  <c r="D17" i="11"/>
  <c r="C17" i="20"/>
  <c r="C17" i="23" s="1"/>
  <c r="B19" i="20"/>
  <c r="N6" i="14"/>
  <c r="F29" i="27"/>
  <c r="F34" i="27"/>
  <c r="E29" i="27"/>
  <c r="E34" i="27"/>
  <c r="H29" i="27"/>
  <c r="H34" i="27"/>
  <c r="K29" i="27"/>
  <c r="K34" i="27"/>
  <c r="L29" i="27"/>
  <c r="L34" i="27"/>
  <c r="D29" i="27"/>
  <c r="D34" i="27"/>
  <c r="N29" i="27"/>
  <c r="N34" i="27"/>
  <c r="G29" i="27"/>
  <c r="G34" i="27"/>
  <c r="M29" i="27"/>
  <c r="M34" i="27"/>
  <c r="J29" i="27"/>
  <c r="J34" i="27"/>
  <c r="I29" i="27"/>
  <c r="I34" i="27"/>
  <c r="G19" i="10"/>
  <c r="F19" i="19"/>
  <c r="F19" i="8"/>
  <c r="E19" i="18"/>
  <c r="E11" i="15"/>
  <c r="D11" i="18"/>
  <c r="D11" i="21" s="1"/>
  <c r="C39" i="23"/>
  <c r="C36" i="23" s="1"/>
  <c r="C26" i="20"/>
  <c r="C22" i="20" s="1"/>
  <c r="B18" i="8"/>
  <c r="B9" i="14"/>
  <c r="B9" i="12"/>
  <c r="B91" i="25"/>
  <c r="B12" i="25"/>
  <c r="B51" i="25"/>
  <c r="B10" i="11"/>
  <c r="B10" i="20" s="1"/>
  <c r="N6" i="12"/>
  <c r="N51" i="25"/>
  <c r="N12" i="25"/>
  <c r="N91" i="25"/>
  <c r="B20" i="7"/>
  <c r="N8" i="10"/>
  <c r="N62" i="25" s="1"/>
  <c r="C12" i="18"/>
  <c r="C12" i="21" s="1"/>
  <c r="B10" i="10"/>
  <c r="B10" i="19" s="1"/>
  <c r="B9" i="13"/>
  <c r="L10" i="6"/>
  <c r="M43" i="4"/>
  <c r="M100" i="4" s="1"/>
  <c r="L37" i="9" s="1"/>
  <c r="L52" i="9" s="1"/>
  <c r="L67" i="9" s="1"/>
  <c r="L14" i="7"/>
  <c r="E7" i="6"/>
  <c r="E8" i="6" s="1"/>
  <c r="E8" i="10" s="1"/>
  <c r="E62" i="25" s="1"/>
  <c r="E9" i="7"/>
  <c r="I7" i="6"/>
  <c r="I8" i="6" s="1"/>
  <c r="I6" i="13" s="1"/>
  <c r="I9" i="7"/>
  <c r="M11" i="6"/>
  <c r="N44" i="4"/>
  <c r="N101" i="4" s="1"/>
  <c r="M38" i="9" s="1"/>
  <c r="M53" i="9" s="1"/>
  <c r="M68" i="9" s="1"/>
  <c r="M15" i="7"/>
  <c r="M17" i="7" s="1"/>
  <c r="F10" i="6"/>
  <c r="G43" i="4"/>
  <c r="G100" i="4" s="1"/>
  <c r="F37" i="9" s="1"/>
  <c r="F52" i="9" s="1"/>
  <c r="F67" i="9" s="1"/>
  <c r="F14" i="7"/>
  <c r="N10" i="6"/>
  <c r="O43" i="4"/>
  <c r="O100" i="4" s="1"/>
  <c r="N37" i="9" s="1"/>
  <c r="N52" i="9" s="1"/>
  <c r="N67" i="9" s="1"/>
  <c r="N14" i="7"/>
  <c r="G10" i="6"/>
  <c r="H43" i="4"/>
  <c r="H100" i="4" s="1"/>
  <c r="G37" i="9" s="1"/>
  <c r="G52" i="9" s="1"/>
  <c r="G67" i="9" s="1"/>
  <c r="G14" i="7"/>
  <c r="C10" i="6"/>
  <c r="D43" i="4"/>
  <c r="D100" i="4" s="1"/>
  <c r="C37" i="9" s="1"/>
  <c r="C14" i="7"/>
  <c r="D10" i="6"/>
  <c r="E43" i="4"/>
  <c r="E100" i="4" s="1"/>
  <c r="D37" i="9" s="1"/>
  <c r="D52" i="9" s="1"/>
  <c r="D67" i="9" s="1"/>
  <c r="D14" i="7"/>
  <c r="K11" i="6"/>
  <c r="K15" i="7"/>
  <c r="K17" i="7" s="1"/>
  <c r="L44" i="4"/>
  <c r="L101" i="4" s="1"/>
  <c r="K38" i="9" s="1"/>
  <c r="K53" i="9" s="1"/>
  <c r="K68" i="9" s="1"/>
  <c r="D7" i="6"/>
  <c r="D8" i="6" s="1"/>
  <c r="D8" i="11" s="1"/>
  <c r="D102" i="25" s="1"/>
  <c r="D9" i="7"/>
  <c r="E11" i="6"/>
  <c r="F44" i="4"/>
  <c r="F101" i="4" s="1"/>
  <c r="E38" i="9" s="1"/>
  <c r="E53" i="9" s="1"/>
  <c r="E68" i="9" s="1"/>
  <c r="E15" i="7"/>
  <c r="E17" i="7" s="1"/>
  <c r="K7" i="6"/>
  <c r="K8" i="6" s="1"/>
  <c r="K8" i="11" s="1"/>
  <c r="K102" i="25" s="1"/>
  <c r="K9" i="7"/>
  <c r="H10" i="6"/>
  <c r="I43" i="4"/>
  <c r="I100" i="4" s="1"/>
  <c r="H37" i="9" s="1"/>
  <c r="H52" i="9" s="1"/>
  <c r="H67" i="9" s="1"/>
  <c r="H14" i="7"/>
  <c r="E10" i="6"/>
  <c r="E13" i="6" s="1"/>
  <c r="E22" i="25" s="1"/>
  <c r="E14" i="7"/>
  <c r="F43" i="4"/>
  <c r="F100" i="4" s="1"/>
  <c r="E37" i="9" s="1"/>
  <c r="E52" i="9" s="1"/>
  <c r="E67" i="9" s="1"/>
  <c r="I10" i="6"/>
  <c r="I14" i="7"/>
  <c r="J43" i="4"/>
  <c r="J100" i="4" s="1"/>
  <c r="I37" i="9" s="1"/>
  <c r="I52" i="9" s="1"/>
  <c r="I67" i="9" s="1"/>
  <c r="J7" i="6"/>
  <c r="J8" i="6" s="1"/>
  <c r="J8" i="11" s="1"/>
  <c r="J102" i="25" s="1"/>
  <c r="J9" i="7"/>
  <c r="J10" i="6"/>
  <c r="K43" i="4"/>
  <c r="K100" i="4" s="1"/>
  <c r="J37" i="9" s="1"/>
  <c r="J52" i="9" s="1"/>
  <c r="J67" i="9" s="1"/>
  <c r="J14" i="7"/>
  <c r="L39" i="21"/>
  <c r="L36" i="21" s="1"/>
  <c r="E8" i="9"/>
  <c r="N11" i="7"/>
  <c r="N10" i="7"/>
  <c r="M7" i="9"/>
  <c r="M41" i="21" s="1"/>
  <c r="M6" i="9"/>
  <c r="M40" i="21" s="1"/>
  <c r="L7" i="9"/>
  <c r="L41" i="21" s="1"/>
  <c r="L6" i="9"/>
  <c r="L40" i="21" s="1"/>
  <c r="F5" i="9"/>
  <c r="G114" i="4"/>
  <c r="F8" i="9" s="1"/>
  <c r="F26" i="15" s="1"/>
  <c r="G7" i="6"/>
  <c r="G8" i="6" s="1"/>
  <c r="G6" i="14" s="1"/>
  <c r="G9" i="7"/>
  <c r="H11" i="6"/>
  <c r="I44" i="4"/>
  <c r="I101" i="4" s="1"/>
  <c r="H38" i="9" s="1"/>
  <c r="H53" i="9" s="1"/>
  <c r="H68" i="9" s="1"/>
  <c r="H15" i="7"/>
  <c r="H17" i="7" s="1"/>
  <c r="F7" i="6"/>
  <c r="F8" i="6" s="1"/>
  <c r="F9" i="7"/>
  <c r="I11" i="6"/>
  <c r="J44" i="4"/>
  <c r="J101" i="4" s="1"/>
  <c r="I38" i="9" s="1"/>
  <c r="I53" i="9" s="1"/>
  <c r="I68" i="9" s="1"/>
  <c r="I15" i="7"/>
  <c r="I17" i="7" s="1"/>
  <c r="M10" i="6"/>
  <c r="M14" i="7"/>
  <c r="N43" i="4"/>
  <c r="N100" i="4" s="1"/>
  <c r="M37" i="9" s="1"/>
  <c r="M52" i="9" s="1"/>
  <c r="M67" i="9" s="1"/>
  <c r="J11" i="6"/>
  <c r="K44" i="4"/>
  <c r="K101" i="4" s="1"/>
  <c r="J38" i="9" s="1"/>
  <c r="J53" i="9" s="1"/>
  <c r="J68" i="9" s="1"/>
  <c r="J15" i="7"/>
  <c r="J17" i="7" s="1"/>
  <c r="N3" i="6"/>
  <c r="N4" i="6" s="1"/>
  <c r="N3" i="7"/>
  <c r="K10" i="6"/>
  <c r="K14" i="6" s="1"/>
  <c r="L43" i="4"/>
  <c r="L100" i="4" s="1"/>
  <c r="K37" i="9" s="1"/>
  <c r="K52" i="9" s="1"/>
  <c r="K67" i="9" s="1"/>
  <c r="K14" i="7"/>
  <c r="H7" i="6"/>
  <c r="H8" i="6" s="1"/>
  <c r="H6" i="12" s="1"/>
  <c r="H9" i="7"/>
  <c r="C7" i="6"/>
  <c r="C8" i="6" s="1"/>
  <c r="C8" i="8" s="1"/>
  <c r="C23" i="25" s="1"/>
  <c r="C9" i="7"/>
  <c r="G11" i="6"/>
  <c r="G15" i="6" s="1"/>
  <c r="G15" i="7"/>
  <c r="G17" i="7" s="1"/>
  <c r="H44" i="4"/>
  <c r="H101" i="4" s="1"/>
  <c r="G38" i="9" s="1"/>
  <c r="G53" i="9" s="1"/>
  <c r="G68" i="9" s="1"/>
  <c r="C11" i="6"/>
  <c r="C15" i="7"/>
  <c r="C17" i="7" s="1"/>
  <c r="D44" i="4"/>
  <c r="D101" i="4" s="1"/>
  <c r="C38" i="9" s="1"/>
  <c r="L7" i="6"/>
  <c r="L8" i="6" s="1"/>
  <c r="L6" i="13" s="1"/>
  <c r="L9" i="7"/>
  <c r="D11" i="6"/>
  <c r="E44" i="4"/>
  <c r="E101" i="4" s="1"/>
  <c r="D38" i="9" s="1"/>
  <c r="D53" i="9" s="1"/>
  <c r="D68" i="9" s="1"/>
  <c r="D15" i="7"/>
  <c r="D17" i="7" s="1"/>
  <c r="L11" i="6"/>
  <c r="M44" i="4"/>
  <c r="M101" i="4" s="1"/>
  <c r="L38" i="9" s="1"/>
  <c r="L53" i="9" s="1"/>
  <c r="L68" i="9" s="1"/>
  <c r="L15" i="7"/>
  <c r="L17" i="7" s="1"/>
  <c r="M7" i="6"/>
  <c r="M8" i="6" s="1"/>
  <c r="M9" i="7"/>
  <c r="F11" i="6"/>
  <c r="G44" i="4"/>
  <c r="G101" i="4" s="1"/>
  <c r="F38" i="9" s="1"/>
  <c r="F53" i="9" s="1"/>
  <c r="F68" i="9" s="1"/>
  <c r="F15" i="7"/>
  <c r="F17" i="7" s="1"/>
  <c r="N11" i="6"/>
  <c r="O44" i="4"/>
  <c r="O101" i="4" s="1"/>
  <c r="N38" i="9" s="1"/>
  <c r="N53" i="9" s="1"/>
  <c r="N68" i="9" s="1"/>
  <c r="N15" i="7"/>
  <c r="N17" i="7" s="1"/>
  <c r="B3" i="6"/>
  <c r="B4" i="6" s="1"/>
  <c r="B6" i="15" s="1"/>
  <c r="B3" i="7"/>
  <c r="N8" i="8"/>
  <c r="N23" i="25" s="1"/>
  <c r="L26" i="18"/>
  <c r="L22" i="18" s="1"/>
  <c r="E7" i="9"/>
  <c r="E41" i="21" s="1"/>
  <c r="E6" i="9"/>
  <c r="E40" i="21" s="1"/>
  <c r="L11" i="9"/>
  <c r="L40" i="22" s="1"/>
  <c r="K11" i="9"/>
  <c r="K40" i="22" s="1"/>
  <c r="K13" i="9"/>
  <c r="K26" i="16" s="1"/>
  <c r="K12" i="9"/>
  <c r="K41" i="22" s="1"/>
  <c r="M16" i="9"/>
  <c r="M40" i="23" s="1"/>
  <c r="L16" i="9"/>
  <c r="L40" i="23" s="1"/>
  <c r="L17" i="9"/>
  <c r="L41" i="23" s="1"/>
  <c r="L18" i="9"/>
  <c r="L26" i="17" s="1"/>
  <c r="D18" i="9"/>
  <c r="D17" i="9"/>
  <c r="D41" i="23" s="1"/>
  <c r="D16" i="9"/>
  <c r="D40" i="23" s="1"/>
  <c r="N16" i="9"/>
  <c r="N40" i="23" s="1"/>
  <c r="N18" i="9"/>
  <c r="N26" i="17" s="1"/>
  <c r="G16" i="9"/>
  <c r="G40" i="23" s="1"/>
  <c r="G18" i="9"/>
  <c r="G26" i="17" s="1"/>
  <c r="G17" i="9"/>
  <c r="G41" i="23" s="1"/>
  <c r="N17" i="9"/>
  <c r="N41" i="23" s="1"/>
  <c r="M18" i="9"/>
  <c r="M26" i="17" s="1"/>
  <c r="M17" i="9"/>
  <c r="M41" i="23" s="1"/>
  <c r="J13" i="9"/>
  <c r="J26" i="16" s="1"/>
  <c r="J12" i="9"/>
  <c r="J41" i="22" s="1"/>
  <c r="J11" i="9"/>
  <c r="J40" i="22" s="1"/>
  <c r="N13" i="9"/>
  <c r="N26" i="16" s="1"/>
  <c r="N12" i="9"/>
  <c r="N41" i="22" s="1"/>
  <c r="N11" i="9"/>
  <c r="N40" i="22" s="1"/>
  <c r="M13" i="9"/>
  <c r="M26" i="16" s="1"/>
  <c r="M11" i="9"/>
  <c r="M40" i="22" s="1"/>
  <c r="M12" i="9"/>
  <c r="M41" i="22" s="1"/>
  <c r="J18" i="9"/>
  <c r="J26" i="17" s="1"/>
  <c r="J16" i="9"/>
  <c r="J40" i="23" s="1"/>
  <c r="J17" i="9"/>
  <c r="J41" i="23" s="1"/>
  <c r="L13" i="9"/>
  <c r="L26" i="16" s="1"/>
  <c r="L12" i="9"/>
  <c r="L41" i="22" s="1"/>
  <c r="I16" i="9"/>
  <c r="I40" i="23" s="1"/>
  <c r="I18" i="9"/>
  <c r="I26" i="17" s="1"/>
  <c r="I17" i="9"/>
  <c r="I41" i="23" s="1"/>
  <c r="D13" i="9"/>
  <c r="D26" i="16" s="1"/>
  <c r="D11" i="9"/>
  <c r="D40" i="22" s="1"/>
  <c r="D12" i="9"/>
  <c r="D41" i="22" s="1"/>
  <c r="F11" i="9"/>
  <c r="F40" i="22" s="1"/>
  <c r="F13" i="9"/>
  <c r="F26" i="16" s="1"/>
  <c r="F12" i="9"/>
  <c r="F41" i="22" s="1"/>
  <c r="I12" i="9"/>
  <c r="I41" i="22" s="1"/>
  <c r="I11" i="9"/>
  <c r="I40" i="22" s="1"/>
  <c r="I13" i="9"/>
  <c r="I26" i="16" s="1"/>
  <c r="I26" i="19" s="1"/>
  <c r="I22" i="19" s="1"/>
  <c r="F16" i="9"/>
  <c r="F40" i="23" s="1"/>
  <c r="F18" i="9"/>
  <c r="F26" i="17" s="1"/>
  <c r="F17" i="9"/>
  <c r="F41" i="23" s="1"/>
  <c r="H13" i="9"/>
  <c r="H26" i="16" s="1"/>
  <c r="H12" i="9"/>
  <c r="H41" i="22" s="1"/>
  <c r="H11" i="9"/>
  <c r="H40" i="22" s="1"/>
  <c r="E17" i="9"/>
  <c r="E41" i="23" s="1"/>
  <c r="E16" i="9"/>
  <c r="E40" i="23" s="1"/>
  <c r="E18" i="9"/>
  <c r="E26" i="17" s="1"/>
  <c r="G11" i="9"/>
  <c r="G40" i="22" s="1"/>
  <c r="G13" i="9"/>
  <c r="G26" i="16" s="1"/>
  <c r="G12" i="9"/>
  <c r="G41" i="22" s="1"/>
  <c r="H17" i="9"/>
  <c r="H41" i="23" s="1"/>
  <c r="H16" i="9"/>
  <c r="H40" i="23" s="1"/>
  <c r="H18" i="9"/>
  <c r="H26" i="17" s="1"/>
  <c r="E13" i="9"/>
  <c r="E26" i="16" s="1"/>
  <c r="E12" i="9"/>
  <c r="E41" i="22" s="1"/>
  <c r="E11" i="9"/>
  <c r="E40" i="22" s="1"/>
  <c r="K18" i="9"/>
  <c r="K26" i="17" s="1"/>
  <c r="K16" i="9"/>
  <c r="K40" i="23" s="1"/>
  <c r="K17" i="9"/>
  <c r="K41" i="23" s="1"/>
  <c r="C26" i="16"/>
  <c r="I22" i="15"/>
  <c r="B43" i="1"/>
  <c r="C12" i="19"/>
  <c r="C12" i="22" s="1"/>
  <c r="I26" i="18"/>
  <c r="I22" i="18" s="1"/>
  <c r="B12" i="16"/>
  <c r="I36" i="21"/>
  <c r="I6" i="14"/>
  <c r="B6" i="14"/>
  <c r="B6" i="12"/>
  <c r="B6" i="13"/>
  <c r="D12" i="17"/>
  <c r="E12" i="17" s="1"/>
  <c r="F12" i="17" s="1"/>
  <c r="G12" i="17" s="1"/>
  <c r="H12" i="17" s="1"/>
  <c r="I12" i="17" s="1"/>
  <c r="J12" i="17" s="1"/>
  <c r="K12" i="17" s="1"/>
  <c r="L12" i="17" s="1"/>
  <c r="M12" i="17" s="1"/>
  <c r="N12" i="17" s="1"/>
  <c r="L6" i="14"/>
  <c r="C12" i="20"/>
  <c r="C12" i="23" s="1"/>
  <c r="F11" i="17"/>
  <c r="J10" i="17"/>
  <c r="F11" i="16"/>
  <c r="F11" i="19" s="1"/>
  <c r="F11" i="22" s="1"/>
  <c r="N10" i="16"/>
  <c r="J10" i="15"/>
  <c r="N10" i="14"/>
  <c r="J10" i="13"/>
  <c r="D12" i="10"/>
  <c r="N8" i="11"/>
  <c r="N102" i="25" s="1"/>
  <c r="D12" i="11"/>
  <c r="B8" i="11"/>
  <c r="B102" i="25" s="1"/>
  <c r="B8" i="8"/>
  <c r="B23" i="25" s="1"/>
  <c r="B8" i="10"/>
  <c r="B62" i="25" s="1"/>
  <c r="D12" i="8"/>
  <c r="I11" i="10"/>
  <c r="C37" i="4"/>
  <c r="B4" i="5" s="1"/>
  <c r="B15" i="5" s="1"/>
  <c r="C36" i="4"/>
  <c r="B3" i="5" s="1"/>
  <c r="B10" i="5" s="1"/>
  <c r="N19" i="5"/>
  <c r="N18" i="25" s="1"/>
  <c r="B20" i="5"/>
  <c r="B21" i="5"/>
  <c r="N20" i="5"/>
  <c r="N57" i="25" s="1"/>
  <c r="H34" i="4"/>
  <c r="H33" i="4"/>
  <c r="G17" i="5" s="1"/>
  <c r="E33" i="4"/>
  <c r="D17" i="5" s="1"/>
  <c r="E34" i="4"/>
  <c r="G33" i="4"/>
  <c r="F17" i="5" s="1"/>
  <c r="G34" i="4"/>
  <c r="L34" i="4"/>
  <c r="L33" i="4"/>
  <c r="K17" i="5" s="1"/>
  <c r="I33" i="4"/>
  <c r="H17" i="5" s="1"/>
  <c r="I34" i="4"/>
  <c r="K33" i="4"/>
  <c r="J17" i="5" s="1"/>
  <c r="K34" i="4"/>
  <c r="D34" i="4"/>
  <c r="D33" i="4"/>
  <c r="C17" i="5" s="1"/>
  <c r="M33" i="4"/>
  <c r="L17" i="5" s="1"/>
  <c r="M34" i="4"/>
  <c r="N33" i="4"/>
  <c r="M17" i="5" s="1"/>
  <c r="N34" i="4"/>
  <c r="O37" i="4"/>
  <c r="N4" i="5" s="1"/>
  <c r="O36" i="4"/>
  <c r="N3" i="5" s="1"/>
  <c r="F33" i="4"/>
  <c r="E17" i="5" s="1"/>
  <c r="F34" i="4"/>
  <c r="J33" i="4"/>
  <c r="I17" i="5" s="1"/>
  <c r="J34" i="4"/>
  <c r="E14" i="6" l="1"/>
  <c r="E6" i="10" s="1"/>
  <c r="E6" i="19" s="1"/>
  <c r="B11" i="5"/>
  <c r="B12" i="5" s="1"/>
  <c r="B8" i="16" s="1"/>
  <c r="F29" i="24"/>
  <c r="F34" i="24"/>
  <c r="L8" i="11"/>
  <c r="L102" i="25" s="1"/>
  <c r="D8" i="8"/>
  <c r="D23" i="25" s="1"/>
  <c r="E11" i="11"/>
  <c r="D11" i="20"/>
  <c r="D11" i="23" s="1"/>
  <c r="D17" i="20"/>
  <c r="D17" i="23" s="1"/>
  <c r="E17" i="11"/>
  <c r="E17" i="8"/>
  <c r="D17" i="18"/>
  <c r="D17" i="21" s="1"/>
  <c r="E17" i="10"/>
  <c r="D17" i="19"/>
  <c r="D17" i="22" s="1"/>
  <c r="M13" i="6"/>
  <c r="M22" i="25" s="1"/>
  <c r="K8" i="10"/>
  <c r="K62" i="25" s="1"/>
  <c r="D6" i="12"/>
  <c r="K6" i="12"/>
  <c r="N15" i="6"/>
  <c r="N56" i="9" s="1"/>
  <c r="H15" i="6"/>
  <c r="I98" i="4" s="1"/>
  <c r="H64" i="9" s="1"/>
  <c r="H65" i="9" s="1"/>
  <c r="I13" i="6"/>
  <c r="I22" i="25" s="1"/>
  <c r="M15" i="6"/>
  <c r="M56" i="9" s="1"/>
  <c r="D15" i="6"/>
  <c r="D101" i="25" s="1"/>
  <c r="H19" i="10"/>
  <c r="G19" i="19"/>
  <c r="G19" i="8"/>
  <c r="F19" i="18"/>
  <c r="F11" i="15"/>
  <c r="E11" i="18"/>
  <c r="E11" i="21" s="1"/>
  <c r="H14" i="6"/>
  <c r="H41" i="9" s="1"/>
  <c r="B8" i="12"/>
  <c r="F13" i="6"/>
  <c r="F22" i="25" s="1"/>
  <c r="G14" i="6"/>
  <c r="G6" i="10" s="1"/>
  <c r="K6" i="10"/>
  <c r="K6" i="20" s="1"/>
  <c r="K61" i="25"/>
  <c r="H6" i="14"/>
  <c r="H91" i="25"/>
  <c r="H51" i="25"/>
  <c r="H12" i="25"/>
  <c r="F6" i="14"/>
  <c r="F51" i="25"/>
  <c r="F91" i="25"/>
  <c r="F12" i="25"/>
  <c r="J51" i="25"/>
  <c r="J91" i="25"/>
  <c r="J12" i="25"/>
  <c r="J8" i="10"/>
  <c r="J62" i="25" s="1"/>
  <c r="D8" i="10"/>
  <c r="D62" i="25" s="1"/>
  <c r="J6" i="12"/>
  <c r="D6" i="13"/>
  <c r="N6" i="11"/>
  <c r="L13" i="6"/>
  <c r="L22" i="25" s="1"/>
  <c r="N6" i="17"/>
  <c r="N8" i="14"/>
  <c r="N8" i="13"/>
  <c r="N83" i="25"/>
  <c r="N43" i="25"/>
  <c r="N4" i="25"/>
  <c r="G6" i="12"/>
  <c r="G91" i="25"/>
  <c r="G51" i="25"/>
  <c r="G12" i="25"/>
  <c r="E6" i="14"/>
  <c r="E91" i="25"/>
  <c r="E12" i="25"/>
  <c r="E51" i="25"/>
  <c r="G8" i="11"/>
  <c r="G102" i="25" s="1"/>
  <c r="J8" i="8"/>
  <c r="J23" i="25" s="1"/>
  <c r="J6" i="13"/>
  <c r="F6" i="13"/>
  <c r="B6" i="16"/>
  <c r="B43" i="25"/>
  <c r="B4" i="25"/>
  <c r="B83" i="25"/>
  <c r="M6" i="13"/>
  <c r="M91" i="25"/>
  <c r="M51" i="25"/>
  <c r="M12" i="25"/>
  <c r="L6" i="12"/>
  <c r="L91" i="25"/>
  <c r="L51" i="25"/>
  <c r="L12" i="25"/>
  <c r="C6" i="12"/>
  <c r="C91" i="25"/>
  <c r="C12" i="25"/>
  <c r="C51" i="25"/>
  <c r="J13" i="6"/>
  <c r="J22" i="25" s="1"/>
  <c r="G6" i="11"/>
  <c r="G101" i="25"/>
  <c r="D91" i="25"/>
  <c r="D51" i="25"/>
  <c r="D12" i="25"/>
  <c r="H61" i="25"/>
  <c r="H8" i="11"/>
  <c r="H102" i="25" s="1"/>
  <c r="F8" i="11"/>
  <c r="F102" i="25" s="1"/>
  <c r="J6" i="14"/>
  <c r="D6" i="14"/>
  <c r="M14" i="6"/>
  <c r="N97" i="4" s="1"/>
  <c r="M49" i="9" s="1"/>
  <c r="M50" i="9" s="1"/>
  <c r="K6" i="13"/>
  <c r="K91" i="25"/>
  <c r="K12" i="25"/>
  <c r="K51" i="25"/>
  <c r="I6" i="12"/>
  <c r="I91" i="25"/>
  <c r="I12" i="25"/>
  <c r="I51" i="25"/>
  <c r="C14" i="6"/>
  <c r="C41" i="9" s="1"/>
  <c r="H13" i="6"/>
  <c r="H22" i="25" s="1"/>
  <c r="L14" i="6"/>
  <c r="M97" i="4" s="1"/>
  <c r="L49" i="9" s="1"/>
  <c r="L50" i="9" s="1"/>
  <c r="C13" i="6"/>
  <c r="C6" i="8" s="1"/>
  <c r="C6" i="18" s="1"/>
  <c r="C7" i="21" s="1"/>
  <c r="G8" i="8"/>
  <c r="G23" i="25" s="1"/>
  <c r="E8" i="11"/>
  <c r="E102" i="25" s="1"/>
  <c r="G6" i="13"/>
  <c r="N6" i="15"/>
  <c r="B41" i="22"/>
  <c r="E15" i="6"/>
  <c r="F98" i="4" s="1"/>
  <c r="E64" i="9" s="1"/>
  <c r="E65" i="9" s="1"/>
  <c r="L15" i="6"/>
  <c r="L56" i="9" s="1"/>
  <c r="C15" i="6"/>
  <c r="D98" i="4" s="1"/>
  <c r="C64" i="9" s="1"/>
  <c r="C65" i="9" s="1"/>
  <c r="G8" i="10"/>
  <c r="G62" i="25" s="1"/>
  <c r="M8" i="8"/>
  <c r="M23" i="25" s="1"/>
  <c r="B6" i="17"/>
  <c r="C6" i="13"/>
  <c r="E6" i="12"/>
  <c r="N6" i="16"/>
  <c r="I15" i="6"/>
  <c r="I56" i="9" s="1"/>
  <c r="K13" i="6"/>
  <c r="K6" i="8" s="1"/>
  <c r="K6" i="18" s="1"/>
  <c r="N13" i="6"/>
  <c r="N6" i="8" s="1"/>
  <c r="N6" i="18" s="1"/>
  <c r="I14" i="6"/>
  <c r="I41" i="9" s="1"/>
  <c r="N14" i="6"/>
  <c r="I8" i="10"/>
  <c r="I62" i="25" s="1"/>
  <c r="L8" i="8"/>
  <c r="L23" i="25" s="1"/>
  <c r="M6" i="12"/>
  <c r="K6" i="14"/>
  <c r="B73" i="9"/>
  <c r="B78" i="9" s="1"/>
  <c r="G78" i="9" s="1"/>
  <c r="F14" i="6"/>
  <c r="F41" i="9" s="1"/>
  <c r="D14" i="6"/>
  <c r="E97" i="4" s="1"/>
  <c r="D49" i="9" s="1"/>
  <c r="D50" i="9" s="1"/>
  <c r="J15" i="6"/>
  <c r="M16" i="7"/>
  <c r="M106" i="25" s="1"/>
  <c r="M18" i="7"/>
  <c r="F26" i="18"/>
  <c r="F22" i="18" s="1"/>
  <c r="F39" i="21"/>
  <c r="F36" i="21" s="1"/>
  <c r="F22" i="15"/>
  <c r="C114" i="4"/>
  <c r="E16" i="7"/>
  <c r="E106" i="25" s="1"/>
  <c r="E18" i="7"/>
  <c r="N16" i="7"/>
  <c r="N106" i="25" s="1"/>
  <c r="N18" i="7"/>
  <c r="E3" i="6"/>
  <c r="E4" i="6" s="1"/>
  <c r="E3" i="7"/>
  <c r="M3" i="6"/>
  <c r="M4" i="6" s="1"/>
  <c r="M3" i="7"/>
  <c r="H3" i="6"/>
  <c r="H4" i="6" s="1"/>
  <c r="H3" i="7"/>
  <c r="F3" i="6"/>
  <c r="F4" i="6" s="1"/>
  <c r="F3" i="7"/>
  <c r="J14" i="6"/>
  <c r="K97" i="4" s="1"/>
  <c r="J49" i="9" s="1"/>
  <c r="J50" i="9" s="1"/>
  <c r="K15" i="6"/>
  <c r="F15" i="6"/>
  <c r="D13" i="6"/>
  <c r="D22" i="25" s="1"/>
  <c r="G13" i="6"/>
  <c r="H96" i="4" s="1"/>
  <c r="G34" i="9" s="1"/>
  <c r="G35" i="9" s="1"/>
  <c r="I8" i="11"/>
  <c r="I102" i="25" s="1"/>
  <c r="M8" i="10"/>
  <c r="M62" i="25" s="1"/>
  <c r="L8" i="10"/>
  <c r="L62" i="25" s="1"/>
  <c r="C8" i="10"/>
  <c r="C62" i="25" s="1"/>
  <c r="H8" i="8"/>
  <c r="H23" i="25" s="1"/>
  <c r="F8" i="10"/>
  <c r="F62" i="25" s="1"/>
  <c r="B8" i="14"/>
  <c r="B7" i="14" s="1"/>
  <c r="B92" i="25" s="1"/>
  <c r="M6" i="14"/>
  <c r="C6" i="14"/>
  <c r="B12" i="17"/>
  <c r="E6" i="13"/>
  <c r="H6" i="13"/>
  <c r="F6" i="12"/>
  <c r="I39" i="22"/>
  <c r="I36" i="22" s="1"/>
  <c r="B13" i="9"/>
  <c r="C53" i="9"/>
  <c r="C68" i="9" s="1"/>
  <c r="B38" i="9"/>
  <c r="B53" i="9" s="1"/>
  <c r="B68" i="9" s="1"/>
  <c r="H11" i="7"/>
  <c r="H10" i="7"/>
  <c r="F10" i="7"/>
  <c r="F11" i="7"/>
  <c r="G6" i="9"/>
  <c r="G40" i="21" s="1"/>
  <c r="F6" i="9"/>
  <c r="F40" i="21" s="1"/>
  <c r="G7" i="9"/>
  <c r="G41" i="21" s="1"/>
  <c r="F7" i="9"/>
  <c r="F41" i="21" s="1"/>
  <c r="E26" i="15"/>
  <c r="B8" i="9"/>
  <c r="I16" i="7"/>
  <c r="I106" i="25" s="1"/>
  <c r="I18" i="7"/>
  <c r="K10" i="7"/>
  <c r="K11" i="7"/>
  <c r="G16" i="7"/>
  <c r="G106" i="25" s="1"/>
  <c r="G18" i="7"/>
  <c r="I10" i="7"/>
  <c r="I11" i="7"/>
  <c r="L16" i="7"/>
  <c r="L106" i="25" s="1"/>
  <c r="L18" i="7"/>
  <c r="K3" i="6"/>
  <c r="K4" i="6" s="1"/>
  <c r="K3" i="7"/>
  <c r="C3" i="6"/>
  <c r="C4" i="6" s="1"/>
  <c r="C3" i="7"/>
  <c r="G3" i="6"/>
  <c r="G4" i="6" s="1"/>
  <c r="G3" i="7"/>
  <c r="I22" i="16"/>
  <c r="N5" i="7"/>
  <c r="N4" i="7"/>
  <c r="G10" i="7"/>
  <c r="G11" i="7"/>
  <c r="J10" i="7"/>
  <c r="J11" i="7"/>
  <c r="H16" i="7"/>
  <c r="H106" i="25" s="1"/>
  <c r="H18" i="7"/>
  <c r="D11" i="7"/>
  <c r="D10" i="7"/>
  <c r="C16" i="7"/>
  <c r="C18" i="7"/>
  <c r="I3" i="6"/>
  <c r="I4" i="6" s="1"/>
  <c r="I3" i="7"/>
  <c r="L3" i="6"/>
  <c r="L4" i="6" s="1"/>
  <c r="L3" i="7"/>
  <c r="J3" i="6"/>
  <c r="J4" i="6" s="1"/>
  <c r="J3" i="7"/>
  <c r="D3" i="6"/>
  <c r="D4" i="6" s="1"/>
  <c r="D3" i="7"/>
  <c r="I8" i="8"/>
  <c r="I23" i="25" s="1"/>
  <c r="E8" i="8"/>
  <c r="E23" i="25" s="1"/>
  <c r="M8" i="11"/>
  <c r="M102" i="25" s="1"/>
  <c r="C8" i="11"/>
  <c r="C102" i="25" s="1"/>
  <c r="H8" i="10"/>
  <c r="H62" i="25" s="1"/>
  <c r="K8" i="8"/>
  <c r="K23" i="25" s="1"/>
  <c r="F8" i="8"/>
  <c r="F23" i="25" s="1"/>
  <c r="B40" i="22"/>
  <c r="B4" i="7"/>
  <c r="B5" i="7"/>
  <c r="M11" i="7"/>
  <c r="M10" i="7"/>
  <c r="L11" i="7"/>
  <c r="L10" i="7"/>
  <c r="C11" i="7"/>
  <c r="C10" i="7"/>
  <c r="K16" i="7"/>
  <c r="K106" i="25" s="1"/>
  <c r="K18" i="7"/>
  <c r="N12" i="7"/>
  <c r="N95" i="25" s="1"/>
  <c r="N114" i="25" s="1"/>
  <c r="J16" i="7"/>
  <c r="J106" i="25" s="1"/>
  <c r="J18" i="7"/>
  <c r="D16" i="7"/>
  <c r="D106" i="25" s="1"/>
  <c r="D18" i="7"/>
  <c r="B37" i="9"/>
  <c r="B52" i="9" s="1"/>
  <c r="B67" i="9" s="1"/>
  <c r="C52" i="9"/>
  <c r="C67" i="9" s="1"/>
  <c r="F16" i="7"/>
  <c r="F106" i="25" s="1"/>
  <c r="F18" i="7"/>
  <c r="E10" i="7"/>
  <c r="E11" i="7"/>
  <c r="K39" i="23"/>
  <c r="K36" i="23" s="1"/>
  <c r="K26" i="20"/>
  <c r="K22" i="20" s="1"/>
  <c r="K22" i="17"/>
  <c r="H39" i="23"/>
  <c r="H36" i="23" s="1"/>
  <c r="H22" i="17"/>
  <c r="H26" i="20"/>
  <c r="H22" i="20" s="1"/>
  <c r="G22" i="16"/>
  <c r="G39" i="22"/>
  <c r="G36" i="22" s="1"/>
  <c r="G26" i="19"/>
  <c r="G22" i="19" s="1"/>
  <c r="J39" i="23"/>
  <c r="J36" i="23" s="1"/>
  <c r="J22" i="17"/>
  <c r="J26" i="20"/>
  <c r="J22" i="20" s="1"/>
  <c r="M39" i="23"/>
  <c r="M36" i="23" s="1"/>
  <c r="M26" i="20"/>
  <c r="M22" i="20" s="1"/>
  <c r="M22" i="17"/>
  <c r="B41" i="23"/>
  <c r="B26" i="16"/>
  <c r="B22" i="16" s="1"/>
  <c r="C22" i="16"/>
  <c r="C39" i="22"/>
  <c r="C36" i="22" s="1"/>
  <c r="C26" i="19"/>
  <c r="C22" i="19" s="1"/>
  <c r="F39" i="23"/>
  <c r="F36" i="23" s="1"/>
  <c r="F26" i="20"/>
  <c r="F22" i="20" s="1"/>
  <c r="F22" i="17"/>
  <c r="L22" i="16"/>
  <c r="L26" i="19"/>
  <c r="L22" i="19" s="1"/>
  <c r="L39" i="22"/>
  <c r="L36" i="22" s="1"/>
  <c r="J22" i="16"/>
  <c r="J26" i="19"/>
  <c r="J22" i="19" s="1"/>
  <c r="J39" i="22"/>
  <c r="J36" i="22" s="1"/>
  <c r="N39" i="23"/>
  <c r="N36" i="23" s="1"/>
  <c r="N26" i="20"/>
  <c r="N22" i="20" s="1"/>
  <c r="N22" i="17"/>
  <c r="D26" i="17"/>
  <c r="B18" i="9"/>
  <c r="E39" i="23"/>
  <c r="E36" i="23" s="1"/>
  <c r="E22" i="17"/>
  <c r="E26" i="20"/>
  <c r="E22" i="20" s="1"/>
  <c r="I39" i="23"/>
  <c r="I36" i="23" s="1"/>
  <c r="I26" i="20"/>
  <c r="I22" i="20" s="1"/>
  <c r="I22" i="17"/>
  <c r="N26" i="19"/>
  <c r="N22" i="19" s="1"/>
  <c r="N22" i="16"/>
  <c r="N39" i="22"/>
  <c r="N36" i="22" s="1"/>
  <c r="L39" i="23"/>
  <c r="L36" i="23" s="1"/>
  <c r="L22" i="17"/>
  <c r="L26" i="20"/>
  <c r="L22" i="20" s="1"/>
  <c r="E39" i="22"/>
  <c r="E36" i="22" s="1"/>
  <c r="E22" i="16"/>
  <c r="E26" i="19"/>
  <c r="E22" i="19" s="1"/>
  <c r="H39" i="22"/>
  <c r="H36" i="22" s="1"/>
  <c r="H26" i="19"/>
  <c r="H22" i="19" s="1"/>
  <c r="H22" i="16"/>
  <c r="F39" i="22"/>
  <c r="F36" i="22" s="1"/>
  <c r="F26" i="19"/>
  <c r="F22" i="19" s="1"/>
  <c r="F22" i="16"/>
  <c r="D39" i="22"/>
  <c r="D36" i="22" s="1"/>
  <c r="D26" i="19"/>
  <c r="D22" i="19" s="1"/>
  <c r="D22" i="16"/>
  <c r="B40" i="23"/>
  <c r="M39" i="22"/>
  <c r="M36" i="22" s="1"/>
  <c r="M26" i="19"/>
  <c r="M22" i="19" s="1"/>
  <c r="M22" i="16"/>
  <c r="G39" i="23"/>
  <c r="G36" i="23" s="1"/>
  <c r="G22" i="17"/>
  <c r="G26" i="20"/>
  <c r="G22" i="20" s="1"/>
  <c r="K26" i="19"/>
  <c r="K22" i="19" s="1"/>
  <c r="K39" i="22"/>
  <c r="K36" i="22" s="1"/>
  <c r="K22" i="16"/>
  <c r="C78" i="9"/>
  <c r="C91" i="9" s="1"/>
  <c r="B74" i="9"/>
  <c r="B79" i="9" s="1"/>
  <c r="B83" i="9" s="1"/>
  <c r="B75" i="9"/>
  <c r="B80" i="9" s="1"/>
  <c r="E12" i="8"/>
  <c r="E12" i="11"/>
  <c r="D12" i="20"/>
  <c r="D12" i="23" s="1"/>
  <c r="E12" i="10"/>
  <c r="D12" i="19"/>
  <c r="D12" i="22" s="1"/>
  <c r="N8" i="12"/>
  <c r="B8" i="13"/>
  <c r="B7" i="13" s="1"/>
  <c r="G11" i="17"/>
  <c r="K10" i="17"/>
  <c r="G11" i="16"/>
  <c r="G11" i="19" s="1"/>
  <c r="G11" i="22" s="1"/>
  <c r="K10" i="15"/>
  <c r="K10" i="13"/>
  <c r="J11" i="10"/>
  <c r="C26" i="9"/>
  <c r="E6" i="8"/>
  <c r="E6" i="18" s="1"/>
  <c r="F96" i="4"/>
  <c r="E34" i="9" s="1"/>
  <c r="E35" i="9" s="1"/>
  <c r="E26" i="9"/>
  <c r="K26" i="9"/>
  <c r="G56" i="9"/>
  <c r="H98" i="4"/>
  <c r="G64" i="9" s="1"/>
  <c r="G65" i="9" s="1"/>
  <c r="L97" i="4"/>
  <c r="K49" i="9" s="1"/>
  <c r="K50" i="9" s="1"/>
  <c r="K41" i="9"/>
  <c r="H56" i="9"/>
  <c r="B6" i="5"/>
  <c r="B14" i="5"/>
  <c r="B16" i="5" s="1"/>
  <c r="B7" i="5"/>
  <c r="F36" i="4"/>
  <c r="E3" i="5" s="1"/>
  <c r="F37" i="4"/>
  <c r="E4" i="5" s="1"/>
  <c r="N14" i="5"/>
  <c r="N6" i="5"/>
  <c r="N10" i="5"/>
  <c r="C19" i="5"/>
  <c r="C18" i="25" s="1"/>
  <c r="C21" i="5"/>
  <c r="C97" i="25" s="1"/>
  <c r="C20" i="5"/>
  <c r="C57" i="25" s="1"/>
  <c r="L37" i="4"/>
  <c r="K4" i="5" s="1"/>
  <c r="L36" i="4"/>
  <c r="K3" i="5" s="1"/>
  <c r="F19" i="5"/>
  <c r="F18" i="25" s="1"/>
  <c r="F21" i="5"/>
  <c r="F97" i="25" s="1"/>
  <c r="F20" i="5"/>
  <c r="F57" i="25" s="1"/>
  <c r="E37" i="4"/>
  <c r="D4" i="5" s="1"/>
  <c r="E36" i="4"/>
  <c r="D3" i="5" s="1"/>
  <c r="E20" i="5"/>
  <c r="E57" i="25" s="1"/>
  <c r="E19" i="5"/>
  <c r="E18" i="25" s="1"/>
  <c r="E21" i="5"/>
  <c r="E97" i="25" s="1"/>
  <c r="N15" i="5"/>
  <c r="N7" i="5"/>
  <c r="N11" i="5"/>
  <c r="D37" i="4"/>
  <c r="C4" i="5" s="1"/>
  <c r="D36" i="4"/>
  <c r="C3" i="5" s="1"/>
  <c r="D20" i="5"/>
  <c r="D57" i="25" s="1"/>
  <c r="D19" i="5"/>
  <c r="D18" i="25" s="1"/>
  <c r="D21" i="5"/>
  <c r="D97" i="25" s="1"/>
  <c r="G20" i="5"/>
  <c r="G57" i="25" s="1"/>
  <c r="G19" i="5"/>
  <c r="G18" i="25" s="1"/>
  <c r="G21" i="5"/>
  <c r="G97" i="25" s="1"/>
  <c r="J36" i="4"/>
  <c r="I3" i="5" s="1"/>
  <c r="J37" i="4"/>
  <c r="I4" i="5" s="1"/>
  <c r="N36" i="4"/>
  <c r="M3" i="5" s="1"/>
  <c r="N37" i="4"/>
  <c r="M4" i="5" s="1"/>
  <c r="M37" i="4"/>
  <c r="L4" i="5" s="1"/>
  <c r="M36" i="4"/>
  <c r="L3" i="5" s="1"/>
  <c r="K37" i="4"/>
  <c r="J4" i="5" s="1"/>
  <c r="K36" i="4"/>
  <c r="J3" i="5" s="1"/>
  <c r="I36" i="4"/>
  <c r="H3" i="5" s="1"/>
  <c r="I37" i="4"/>
  <c r="H4" i="5" s="1"/>
  <c r="H37" i="4"/>
  <c r="G4" i="5" s="1"/>
  <c r="H36" i="4"/>
  <c r="G3" i="5" s="1"/>
  <c r="I20" i="5"/>
  <c r="I57" i="25" s="1"/>
  <c r="I19" i="5"/>
  <c r="I18" i="25" s="1"/>
  <c r="I21" i="5"/>
  <c r="I97" i="25" s="1"/>
  <c r="M21" i="5"/>
  <c r="M97" i="25" s="1"/>
  <c r="M20" i="5"/>
  <c r="M57" i="25" s="1"/>
  <c r="M19" i="5"/>
  <c r="M18" i="25" s="1"/>
  <c r="L19" i="5"/>
  <c r="L18" i="25" s="1"/>
  <c r="L21" i="5"/>
  <c r="L97" i="25" s="1"/>
  <c r="L20" i="5"/>
  <c r="L57" i="25" s="1"/>
  <c r="J20" i="5"/>
  <c r="J57" i="25" s="1"/>
  <c r="J19" i="5"/>
  <c r="J18" i="25" s="1"/>
  <c r="J21" i="5"/>
  <c r="J97" i="25" s="1"/>
  <c r="H21" i="5"/>
  <c r="H97" i="25" s="1"/>
  <c r="H20" i="5"/>
  <c r="H57" i="25" s="1"/>
  <c r="H19" i="5"/>
  <c r="H18" i="25" s="1"/>
  <c r="K21" i="5"/>
  <c r="K97" i="25" s="1"/>
  <c r="K20" i="5"/>
  <c r="K57" i="25" s="1"/>
  <c r="K19" i="5"/>
  <c r="K18" i="25" s="1"/>
  <c r="G37" i="4"/>
  <c r="F4" i="5" s="1"/>
  <c r="G36" i="4"/>
  <c r="F3" i="5" s="1"/>
  <c r="E61" i="25" l="1"/>
  <c r="N47" i="25"/>
  <c r="M86" i="25"/>
  <c r="N87" i="25"/>
  <c r="M88" i="25"/>
  <c r="E41" i="9"/>
  <c r="G97" i="4"/>
  <c r="F49" i="9" s="1"/>
  <c r="F50" i="9" s="1"/>
  <c r="B16" i="14"/>
  <c r="B30" i="14" s="1"/>
  <c r="E6" i="17"/>
  <c r="N8" i="25"/>
  <c r="F97" i="4"/>
  <c r="E49" i="9" s="1"/>
  <c r="E50" i="9" s="1"/>
  <c r="E6" i="16"/>
  <c r="L6" i="16"/>
  <c r="K6" i="17"/>
  <c r="M26" i="9"/>
  <c r="M28" i="9" s="1"/>
  <c r="F11" i="11"/>
  <c r="E11" i="20"/>
  <c r="E11" i="23" s="1"/>
  <c r="F17" i="10"/>
  <c r="E17" i="19"/>
  <c r="E17" i="22" s="1"/>
  <c r="F17" i="8"/>
  <c r="E17" i="18"/>
  <c r="E17" i="21" s="1"/>
  <c r="E17" i="20"/>
  <c r="E17" i="23" s="1"/>
  <c r="F17" i="11"/>
  <c r="J6" i="8"/>
  <c r="J6" i="18" s="1"/>
  <c r="M6" i="8"/>
  <c r="M6" i="18" s="1"/>
  <c r="O98" i="4"/>
  <c r="N64" i="9" s="1"/>
  <c r="N65" i="9" s="1"/>
  <c r="M41" i="9"/>
  <c r="M43" i="9" s="1"/>
  <c r="N96" i="4"/>
  <c r="M34" i="9" s="1"/>
  <c r="M35" i="9" s="1"/>
  <c r="E78" i="9"/>
  <c r="M86" i="9" s="1"/>
  <c r="N101" i="25"/>
  <c r="I26" i="9"/>
  <c r="I28" i="9" s="1"/>
  <c r="L26" i="9"/>
  <c r="L28" i="9" s="1"/>
  <c r="J97" i="4"/>
  <c r="I49" i="9" s="1"/>
  <c r="I50" i="9" s="1"/>
  <c r="G41" i="9"/>
  <c r="G43" i="9" s="1"/>
  <c r="H101" i="25"/>
  <c r="F6" i="8"/>
  <c r="F6" i="18" s="1"/>
  <c r="F7" i="21" s="1"/>
  <c r="I96" i="4"/>
  <c r="H34" i="9" s="1"/>
  <c r="H35" i="9" s="1"/>
  <c r="H6" i="11"/>
  <c r="H26" i="9"/>
  <c r="H28" i="9" s="1"/>
  <c r="I97" i="4"/>
  <c r="H49" i="9" s="1"/>
  <c r="H50" i="9" s="1"/>
  <c r="N98" i="4"/>
  <c r="M64" i="9" s="1"/>
  <c r="M65" i="9" s="1"/>
  <c r="H6" i="10"/>
  <c r="M101" i="25"/>
  <c r="E98" i="4"/>
  <c r="D64" i="9" s="1"/>
  <c r="D65" i="9" s="1"/>
  <c r="J96" i="4"/>
  <c r="I34" i="9" s="1"/>
  <c r="I35" i="9" s="1"/>
  <c r="L6" i="8"/>
  <c r="L6" i="18" s="1"/>
  <c r="L7" i="21" s="1"/>
  <c r="D6" i="11"/>
  <c r="I6" i="8"/>
  <c r="I6" i="18" s="1"/>
  <c r="M96" i="4"/>
  <c r="L34" i="9" s="1"/>
  <c r="L35" i="9" s="1"/>
  <c r="I6" i="16"/>
  <c r="M6" i="11"/>
  <c r="D6" i="17"/>
  <c r="L6" i="15"/>
  <c r="C106" i="25"/>
  <c r="C66" i="25"/>
  <c r="D56" i="9"/>
  <c r="D58" i="9" s="1"/>
  <c r="F6" i="16"/>
  <c r="I19" i="10"/>
  <c r="H19" i="19"/>
  <c r="H19" i="8"/>
  <c r="G19" i="18"/>
  <c r="G11" i="15"/>
  <c r="F11" i="18"/>
  <c r="F11" i="21" s="1"/>
  <c r="B41" i="21"/>
  <c r="B27" i="5"/>
  <c r="B8" i="19" s="1"/>
  <c r="G6" i="19"/>
  <c r="G6" i="20"/>
  <c r="H12" i="7"/>
  <c r="D26" i="9"/>
  <c r="D28" i="9" s="1"/>
  <c r="F26" i="9"/>
  <c r="F28" i="9" s="1"/>
  <c r="D6" i="15"/>
  <c r="L6" i="17"/>
  <c r="E6" i="20"/>
  <c r="B82" i="9"/>
  <c r="K82" i="9" s="1"/>
  <c r="G61" i="25"/>
  <c r="E96" i="4"/>
  <c r="D34" i="9" s="1"/>
  <c r="D35" i="9" s="1"/>
  <c r="D6" i="16"/>
  <c r="D6" i="8"/>
  <c r="D6" i="18" s="1"/>
  <c r="D7" i="21" s="1"/>
  <c r="H97" i="4"/>
  <c r="G49" i="9" s="1"/>
  <c r="G50" i="9" s="1"/>
  <c r="G96" i="4"/>
  <c r="F34" i="9" s="1"/>
  <c r="F35" i="9" s="1"/>
  <c r="N78" i="9"/>
  <c r="G12" i="7"/>
  <c r="G95" i="25" s="1"/>
  <c r="I6" i="17"/>
  <c r="I83" i="25"/>
  <c r="I8" i="14"/>
  <c r="I8" i="13"/>
  <c r="I43" i="25"/>
  <c r="I4" i="25"/>
  <c r="K6" i="11"/>
  <c r="K101" i="25"/>
  <c r="J6" i="11"/>
  <c r="J101" i="25"/>
  <c r="N6" i="10"/>
  <c r="N61" i="25"/>
  <c r="L6" i="11"/>
  <c r="L101" i="25"/>
  <c r="L41" i="9"/>
  <c r="L43" i="9" s="1"/>
  <c r="K98" i="4"/>
  <c r="J64" i="9" s="1"/>
  <c r="J65" i="9" s="1"/>
  <c r="C6" i="16"/>
  <c r="C8" i="14"/>
  <c r="C8" i="13"/>
  <c r="C43" i="25"/>
  <c r="C83" i="25"/>
  <c r="C4" i="25"/>
  <c r="G26" i="9"/>
  <c r="G28" i="9" s="1"/>
  <c r="G22" i="25"/>
  <c r="H6" i="16"/>
  <c r="H83" i="25"/>
  <c r="H8" i="13"/>
  <c r="H43" i="25"/>
  <c r="H4" i="25"/>
  <c r="H8" i="14"/>
  <c r="E6" i="15"/>
  <c r="E83" i="25"/>
  <c r="E8" i="13"/>
  <c r="E8" i="14"/>
  <c r="E43" i="25"/>
  <c r="E4" i="25"/>
  <c r="E66" i="25"/>
  <c r="E27" i="25"/>
  <c r="D6" i="10"/>
  <c r="D61" i="25"/>
  <c r="E6" i="11"/>
  <c r="E101" i="25"/>
  <c r="M48" i="25"/>
  <c r="M46" i="25"/>
  <c r="J26" i="9"/>
  <c r="J28" i="9" s="1"/>
  <c r="H6" i="8"/>
  <c r="H6" i="18" s="1"/>
  <c r="B16" i="13"/>
  <c r="B30" i="13" s="1"/>
  <c r="B52" i="25"/>
  <c r="H6" i="15"/>
  <c r="K6" i="19"/>
  <c r="N16" i="25"/>
  <c r="N55" i="25"/>
  <c r="D83" i="25"/>
  <c r="D43" i="25"/>
  <c r="D8" i="14"/>
  <c r="D8" i="13"/>
  <c r="D4" i="25"/>
  <c r="L83" i="25"/>
  <c r="L8" i="14"/>
  <c r="L43" i="25"/>
  <c r="L4" i="25"/>
  <c r="L8" i="13"/>
  <c r="C27" i="25"/>
  <c r="H27" i="25"/>
  <c r="H66" i="25"/>
  <c r="F6" i="10"/>
  <c r="F61" i="25"/>
  <c r="O96" i="4"/>
  <c r="N34" i="9" s="1"/>
  <c r="N35" i="9" s="1"/>
  <c r="N22" i="25"/>
  <c r="C6" i="10"/>
  <c r="C6" i="20" s="1"/>
  <c r="C7" i="23" s="1"/>
  <c r="C61" i="25"/>
  <c r="K66" i="25"/>
  <c r="K27" i="25"/>
  <c r="J6" i="17"/>
  <c r="J8" i="14"/>
  <c r="J8" i="13"/>
  <c r="J4" i="25"/>
  <c r="J83" i="25"/>
  <c r="J43" i="25"/>
  <c r="I6" i="11"/>
  <c r="I101" i="25"/>
  <c r="L6" i="10"/>
  <c r="L61" i="25"/>
  <c r="J66" i="25"/>
  <c r="J27" i="25"/>
  <c r="L27" i="25"/>
  <c r="L66" i="25"/>
  <c r="G66" i="25"/>
  <c r="G27" i="25"/>
  <c r="I66" i="25"/>
  <c r="I27" i="25"/>
  <c r="J6" i="10"/>
  <c r="J6" i="19" s="1"/>
  <c r="J61" i="25"/>
  <c r="I6" i="10"/>
  <c r="I61" i="25"/>
  <c r="M7" i="25"/>
  <c r="M9" i="25"/>
  <c r="N41" i="9"/>
  <c r="N43" i="9" s="1"/>
  <c r="K96" i="4"/>
  <c r="J34" i="9" s="1"/>
  <c r="J35" i="9" s="1"/>
  <c r="J98" i="4"/>
  <c r="I64" i="9" s="1"/>
  <c r="I65" i="9" s="1"/>
  <c r="E56" i="9"/>
  <c r="E58" i="9" s="1"/>
  <c r="J6" i="15"/>
  <c r="I6" i="15"/>
  <c r="H6" i="17"/>
  <c r="C15" i="25"/>
  <c r="F66" i="25"/>
  <c r="F27" i="25"/>
  <c r="D66" i="25"/>
  <c r="D27" i="25"/>
  <c r="J12" i="7"/>
  <c r="J95" i="25" s="1"/>
  <c r="N7" i="7"/>
  <c r="N9" i="15" s="1"/>
  <c r="G6" i="15"/>
  <c r="G8" i="14"/>
  <c r="G8" i="13"/>
  <c r="G83" i="25"/>
  <c r="G43" i="25"/>
  <c r="G4" i="25"/>
  <c r="K6" i="15"/>
  <c r="K8" i="14"/>
  <c r="K8" i="13"/>
  <c r="K83" i="25"/>
  <c r="K43" i="25"/>
  <c r="K4" i="25"/>
  <c r="F6" i="11"/>
  <c r="F101" i="25"/>
  <c r="F6" i="15"/>
  <c r="F8" i="14"/>
  <c r="F8" i="13"/>
  <c r="F83" i="25"/>
  <c r="F43" i="25"/>
  <c r="F4" i="25"/>
  <c r="M6" i="16"/>
  <c r="M83" i="25"/>
  <c r="M8" i="13"/>
  <c r="M8" i="14"/>
  <c r="M43" i="25"/>
  <c r="M4" i="25"/>
  <c r="N66" i="25"/>
  <c r="N27" i="25"/>
  <c r="M66" i="25"/>
  <c r="M27" i="25"/>
  <c r="L96" i="4"/>
  <c r="K34" i="9" s="1"/>
  <c r="K35" i="9" s="1"/>
  <c r="K22" i="25"/>
  <c r="C6" i="11"/>
  <c r="C101" i="25"/>
  <c r="D96" i="4"/>
  <c r="C34" i="9" s="1"/>
  <c r="C35" i="9" s="1"/>
  <c r="C22" i="25"/>
  <c r="M6" i="10"/>
  <c r="M61" i="25"/>
  <c r="B36" i="22"/>
  <c r="F56" i="9"/>
  <c r="F58" i="9" s="1"/>
  <c r="D97" i="4"/>
  <c r="C49" i="9" s="1"/>
  <c r="C50" i="9" s="1"/>
  <c r="G6" i="17"/>
  <c r="K6" i="16"/>
  <c r="I78" i="9"/>
  <c r="J78" i="9"/>
  <c r="H78" i="9"/>
  <c r="M8" i="12"/>
  <c r="L98" i="4"/>
  <c r="K64" i="9" s="1"/>
  <c r="K65" i="9" s="1"/>
  <c r="C56" i="9"/>
  <c r="C58" i="9" s="1"/>
  <c r="N26" i="9"/>
  <c r="N28" i="9" s="1"/>
  <c r="G6" i="16"/>
  <c r="J6" i="16"/>
  <c r="L78" i="9"/>
  <c r="F78" i="9"/>
  <c r="N86" i="9" s="1"/>
  <c r="K78" i="9"/>
  <c r="G6" i="8"/>
  <c r="G6" i="18" s="1"/>
  <c r="M98" i="4"/>
  <c r="L64" i="9" s="1"/>
  <c r="L65" i="9" s="1"/>
  <c r="K56" i="9"/>
  <c r="K58" i="9" s="1"/>
  <c r="O97" i="4"/>
  <c r="N49" i="9" s="1"/>
  <c r="N50" i="9" s="1"/>
  <c r="D41" i="9"/>
  <c r="D43" i="9" s="1"/>
  <c r="J56" i="9"/>
  <c r="J58" i="9" s="1"/>
  <c r="C6" i="15"/>
  <c r="M6" i="15"/>
  <c r="D78" i="9"/>
  <c r="D91" i="9" s="1"/>
  <c r="M78" i="9"/>
  <c r="J9" i="11"/>
  <c r="J9" i="10"/>
  <c r="J9" i="13"/>
  <c r="J9" i="8"/>
  <c r="J9" i="12"/>
  <c r="J9" i="14"/>
  <c r="J19" i="7"/>
  <c r="J20" i="7" s="1"/>
  <c r="D4" i="7"/>
  <c r="D5" i="7"/>
  <c r="L4" i="7"/>
  <c r="L5" i="7"/>
  <c r="C10" i="11"/>
  <c r="C10" i="8"/>
  <c r="C10" i="10"/>
  <c r="H10" i="11"/>
  <c r="H10" i="8"/>
  <c r="H10" i="10"/>
  <c r="L19" i="7"/>
  <c r="L9" i="12"/>
  <c r="L9" i="14"/>
  <c r="L9" i="11"/>
  <c r="L9" i="10"/>
  <c r="L9" i="13"/>
  <c r="L9" i="8"/>
  <c r="G9" i="8"/>
  <c r="G9" i="12"/>
  <c r="G9" i="14"/>
  <c r="G9" i="11"/>
  <c r="G9" i="13"/>
  <c r="G9" i="10"/>
  <c r="G19" i="7"/>
  <c r="I9" i="10"/>
  <c r="I9" i="11"/>
  <c r="I19" i="7"/>
  <c r="I9" i="14"/>
  <c r="I9" i="8"/>
  <c r="I9" i="13"/>
  <c r="I9" i="12"/>
  <c r="E9" i="11"/>
  <c r="E9" i="10"/>
  <c r="E9" i="14"/>
  <c r="E9" i="13"/>
  <c r="E9" i="12"/>
  <c r="E19" i="7"/>
  <c r="E9" i="8"/>
  <c r="C8" i="12"/>
  <c r="G98" i="4"/>
  <c r="F64" i="9" s="1"/>
  <c r="F65" i="9" s="1"/>
  <c r="J41" i="9"/>
  <c r="J43" i="9" s="1"/>
  <c r="C6" i="17"/>
  <c r="F6" i="17"/>
  <c r="M6" i="17"/>
  <c r="B26" i="19"/>
  <c r="B22" i="19" s="1"/>
  <c r="F10" i="8"/>
  <c r="F10" i="10"/>
  <c r="F10" i="11"/>
  <c r="D10" i="8"/>
  <c r="D10" i="10"/>
  <c r="D10" i="11"/>
  <c r="C12" i="7"/>
  <c r="M12" i="7"/>
  <c r="M95" i="25" s="1"/>
  <c r="C9" i="11"/>
  <c r="C9" i="8"/>
  <c r="C9" i="10"/>
  <c r="C19" i="7"/>
  <c r="H9" i="8"/>
  <c r="H9" i="11"/>
  <c r="H9" i="14"/>
  <c r="H9" i="10"/>
  <c r="H9" i="12"/>
  <c r="H19" i="7"/>
  <c r="H9" i="13"/>
  <c r="G4" i="7"/>
  <c r="G5" i="7"/>
  <c r="K4" i="7"/>
  <c r="K5" i="7"/>
  <c r="I12" i="7"/>
  <c r="I95" i="25" s="1"/>
  <c r="K12" i="7"/>
  <c r="K95" i="25" s="1"/>
  <c r="B40" i="21"/>
  <c r="F5" i="7"/>
  <c r="F4" i="7"/>
  <c r="M4" i="7"/>
  <c r="M5" i="7"/>
  <c r="N10" i="8"/>
  <c r="N10" i="11"/>
  <c r="N10" i="10"/>
  <c r="M10" i="11"/>
  <c r="M10" i="8"/>
  <c r="M10" i="10"/>
  <c r="F8" i="12"/>
  <c r="F9" i="10"/>
  <c r="F9" i="11"/>
  <c r="F9" i="13"/>
  <c r="F19" i="7"/>
  <c r="F9" i="14"/>
  <c r="F9" i="12"/>
  <c r="F9" i="8"/>
  <c r="D19" i="7"/>
  <c r="D20" i="7" s="1"/>
  <c r="D9" i="12"/>
  <c r="D9" i="11"/>
  <c r="D9" i="8"/>
  <c r="D9" i="13"/>
  <c r="D9" i="10"/>
  <c r="D9" i="14"/>
  <c r="K10" i="8"/>
  <c r="K10" i="10"/>
  <c r="K10" i="11"/>
  <c r="J5" i="7"/>
  <c r="J4" i="7"/>
  <c r="I4" i="7"/>
  <c r="I5" i="7"/>
  <c r="E39" i="21"/>
  <c r="E22" i="15"/>
  <c r="E26" i="18"/>
  <c r="E22" i="18" s="1"/>
  <c r="B26" i="15"/>
  <c r="N9" i="12"/>
  <c r="N9" i="10"/>
  <c r="N9" i="14"/>
  <c r="N7" i="14" s="1"/>
  <c r="N19" i="7"/>
  <c r="N20" i="7" s="1"/>
  <c r="N9" i="11"/>
  <c r="N9" i="13"/>
  <c r="N9" i="8"/>
  <c r="M9" i="10"/>
  <c r="M9" i="13"/>
  <c r="M9" i="12"/>
  <c r="M19" i="7"/>
  <c r="M20" i="7" s="1"/>
  <c r="M9" i="11"/>
  <c r="M9" i="14"/>
  <c r="M9" i="8"/>
  <c r="E12" i="7"/>
  <c r="E95" i="25" s="1"/>
  <c r="J10" i="10"/>
  <c r="J10" i="8"/>
  <c r="J10" i="11"/>
  <c r="K9" i="8"/>
  <c r="K9" i="10"/>
  <c r="K19" i="7"/>
  <c r="K20" i="7" s="1"/>
  <c r="K9" i="12"/>
  <c r="K9" i="13"/>
  <c r="K9" i="11"/>
  <c r="K9" i="14"/>
  <c r="L12" i="7"/>
  <c r="L95" i="25" s="1"/>
  <c r="D12" i="7"/>
  <c r="D95" i="25" s="1"/>
  <c r="C4" i="7"/>
  <c r="C5" i="7"/>
  <c r="L10" i="11"/>
  <c r="L10" i="8"/>
  <c r="L10" i="10"/>
  <c r="G10" i="10"/>
  <c r="G10" i="11"/>
  <c r="G10" i="8"/>
  <c r="I10" i="8"/>
  <c r="I10" i="10"/>
  <c r="I10" i="11"/>
  <c r="F12" i="7"/>
  <c r="F95" i="25" s="1"/>
  <c r="H5" i="7"/>
  <c r="H4" i="7"/>
  <c r="E4" i="7"/>
  <c r="E5" i="7"/>
  <c r="E10" i="10"/>
  <c r="E10" i="8"/>
  <c r="E10" i="11"/>
  <c r="J8" i="12"/>
  <c r="B39" i="22"/>
  <c r="D39" i="23"/>
  <c r="D22" i="17"/>
  <c r="B26" i="17"/>
  <c r="D26" i="20"/>
  <c r="D22" i="20" s="1"/>
  <c r="E80" i="9"/>
  <c r="I80" i="9"/>
  <c r="M80" i="9"/>
  <c r="F80" i="9"/>
  <c r="N80" i="9"/>
  <c r="K80" i="9"/>
  <c r="D80" i="9"/>
  <c r="H80" i="9"/>
  <c r="L80" i="9"/>
  <c r="J80" i="9"/>
  <c r="G80" i="9"/>
  <c r="C80" i="9"/>
  <c r="C93" i="9" s="1"/>
  <c r="C94" i="25" s="1"/>
  <c r="K86" i="9"/>
  <c r="K8" i="12"/>
  <c r="D79" i="9"/>
  <c r="H79" i="9"/>
  <c r="L79" i="9"/>
  <c r="I79" i="9"/>
  <c r="N79" i="9"/>
  <c r="G79" i="9"/>
  <c r="K79" i="9"/>
  <c r="C79" i="9"/>
  <c r="C92" i="9" s="1"/>
  <c r="C54" i="25" s="1"/>
  <c r="E79" i="9"/>
  <c r="M79" i="9"/>
  <c r="F79" i="9"/>
  <c r="J79" i="9"/>
  <c r="B18" i="13"/>
  <c r="K83" i="9"/>
  <c r="L8" i="12"/>
  <c r="I8" i="12"/>
  <c r="B84" i="9"/>
  <c r="D8" i="12"/>
  <c r="F12" i="10"/>
  <c r="E12" i="19"/>
  <c r="E12" i="22" s="1"/>
  <c r="F12" i="8"/>
  <c r="G8" i="12"/>
  <c r="F12" i="11"/>
  <c r="E12" i="20"/>
  <c r="E12" i="23" s="1"/>
  <c r="H8" i="12"/>
  <c r="E8" i="12"/>
  <c r="B28" i="5"/>
  <c r="B8" i="20" s="1"/>
  <c r="B8" i="17"/>
  <c r="H11" i="17"/>
  <c r="L10" i="17"/>
  <c r="H11" i="16"/>
  <c r="H11" i="19" s="1"/>
  <c r="L10" i="15"/>
  <c r="L10" i="13"/>
  <c r="K11" i="10"/>
  <c r="H58" i="9"/>
  <c r="K43" i="9"/>
  <c r="C43" i="9"/>
  <c r="K28" i="9"/>
  <c r="C28" i="9"/>
  <c r="N58" i="9"/>
  <c r="F43" i="9"/>
  <c r="M58" i="9"/>
  <c r="H43" i="9"/>
  <c r="G58" i="9"/>
  <c r="L58" i="9"/>
  <c r="E43" i="9"/>
  <c r="E28" i="9"/>
  <c r="I58" i="9"/>
  <c r="I43" i="9"/>
  <c r="B8" i="5"/>
  <c r="F15" i="5"/>
  <c r="F7" i="5"/>
  <c r="F11" i="5"/>
  <c r="G15" i="5"/>
  <c r="G7" i="5"/>
  <c r="G11" i="5"/>
  <c r="J15" i="5"/>
  <c r="J7" i="5"/>
  <c r="J11" i="5"/>
  <c r="M14" i="5"/>
  <c r="M10" i="5"/>
  <c r="M6" i="5"/>
  <c r="N8" i="5"/>
  <c r="H7" i="5"/>
  <c r="H11" i="5"/>
  <c r="H15" i="5"/>
  <c r="L6" i="5"/>
  <c r="L14" i="5"/>
  <c r="L10" i="5"/>
  <c r="I11" i="5"/>
  <c r="I7" i="5"/>
  <c r="I15" i="5"/>
  <c r="C6" i="5"/>
  <c r="C10" i="5"/>
  <c r="C14" i="5"/>
  <c r="D6" i="5"/>
  <c r="D10" i="5"/>
  <c r="D14" i="5"/>
  <c r="N16" i="5"/>
  <c r="H6" i="5"/>
  <c r="H8" i="25" s="1"/>
  <c r="H14" i="5"/>
  <c r="H10" i="5"/>
  <c r="L7" i="5"/>
  <c r="L11" i="5"/>
  <c r="L15" i="5"/>
  <c r="I6" i="5"/>
  <c r="I14" i="5"/>
  <c r="I10" i="5"/>
  <c r="C15" i="5"/>
  <c r="C7" i="5"/>
  <c r="C11" i="5"/>
  <c r="D7" i="5"/>
  <c r="D11" i="5"/>
  <c r="D15" i="5"/>
  <c r="K6" i="5"/>
  <c r="K14" i="5"/>
  <c r="K10" i="5"/>
  <c r="E7" i="5"/>
  <c r="E15" i="5"/>
  <c r="E11" i="5"/>
  <c r="F14" i="5"/>
  <c r="F6" i="5"/>
  <c r="F10" i="5"/>
  <c r="G6" i="5"/>
  <c r="G14" i="5"/>
  <c r="G10" i="5"/>
  <c r="J14" i="5"/>
  <c r="J10" i="5"/>
  <c r="J6" i="5"/>
  <c r="M7" i="5"/>
  <c r="M15" i="5"/>
  <c r="M11" i="5"/>
  <c r="K15" i="5"/>
  <c r="K7" i="5"/>
  <c r="K11" i="5"/>
  <c r="N12" i="5"/>
  <c r="E10" i="5"/>
  <c r="E6" i="5"/>
  <c r="E8" i="25" s="1"/>
  <c r="E14" i="5"/>
  <c r="H11" i="22" l="1"/>
  <c r="I47" i="25"/>
  <c r="F47" i="25"/>
  <c r="G47" i="25"/>
  <c r="H47" i="25"/>
  <c r="C47" i="25"/>
  <c r="K7" i="22"/>
  <c r="E47" i="25"/>
  <c r="K47" i="25"/>
  <c r="D47" i="25"/>
  <c r="L47" i="25"/>
  <c r="M47" i="25"/>
  <c r="M114" i="25"/>
  <c r="J47" i="25"/>
  <c r="N74" i="25"/>
  <c r="F86" i="25"/>
  <c r="F114" i="25" s="1"/>
  <c r="G87" i="25"/>
  <c r="F88" i="25"/>
  <c r="E86" i="25"/>
  <c r="E114" i="25" s="1"/>
  <c r="F87" i="25"/>
  <c r="E88" i="25"/>
  <c r="G88" i="25"/>
  <c r="G86" i="25"/>
  <c r="G114" i="25" s="1"/>
  <c r="H87" i="25"/>
  <c r="J88" i="25"/>
  <c r="J86" i="25"/>
  <c r="J114" i="25" s="1"/>
  <c r="K87" i="25"/>
  <c r="K88" i="25"/>
  <c r="K86" i="25"/>
  <c r="K114" i="25" s="1"/>
  <c r="L87" i="25"/>
  <c r="M87" i="25"/>
  <c r="L88" i="25"/>
  <c r="L86" i="25"/>
  <c r="L114" i="25" s="1"/>
  <c r="D86" i="25"/>
  <c r="D114" i="25" s="1"/>
  <c r="E87" i="25"/>
  <c r="D88" i="25"/>
  <c r="I86" i="25"/>
  <c r="I114" i="25" s="1"/>
  <c r="J87" i="25"/>
  <c r="I88" i="25"/>
  <c r="H88" i="25"/>
  <c r="H86" i="25"/>
  <c r="I87" i="25"/>
  <c r="C87" i="25"/>
  <c r="C88" i="25"/>
  <c r="C86" i="25"/>
  <c r="D87" i="25"/>
  <c r="G8" i="25"/>
  <c r="I7" i="21"/>
  <c r="M7" i="21"/>
  <c r="J7" i="21"/>
  <c r="F8" i="25"/>
  <c r="I8" i="25"/>
  <c r="H7" i="14"/>
  <c r="H92" i="25" s="1"/>
  <c r="G7" i="21"/>
  <c r="H7" i="21"/>
  <c r="N7" i="21"/>
  <c r="K7" i="21"/>
  <c r="E7" i="21"/>
  <c r="D8" i="25"/>
  <c r="K8" i="25"/>
  <c r="L8" i="25"/>
  <c r="M8" i="25"/>
  <c r="N35" i="25"/>
  <c r="J8" i="25"/>
  <c r="C8" i="25"/>
  <c r="G11" i="11"/>
  <c r="F11" i="20"/>
  <c r="F11" i="23" s="1"/>
  <c r="G17" i="10"/>
  <c r="F17" i="19"/>
  <c r="F17" i="22" s="1"/>
  <c r="G17" i="8"/>
  <c r="F17" i="18"/>
  <c r="F17" i="21" s="1"/>
  <c r="G17" i="11"/>
  <c r="F17" i="20"/>
  <c r="F17" i="23" s="1"/>
  <c r="D7" i="13"/>
  <c r="D16" i="13" s="1"/>
  <c r="K7" i="14"/>
  <c r="K92" i="25" s="1"/>
  <c r="B18" i="12"/>
  <c r="C18" i="12" s="1"/>
  <c r="L7" i="14"/>
  <c r="L16" i="14" s="1"/>
  <c r="H6" i="20"/>
  <c r="H7" i="23" s="1"/>
  <c r="H6" i="19"/>
  <c r="H7" i="22" s="1"/>
  <c r="J7" i="13"/>
  <c r="J16" i="13" s="1"/>
  <c r="G16" i="25"/>
  <c r="F7" i="14"/>
  <c r="F92" i="25" s="1"/>
  <c r="E7" i="13"/>
  <c r="E52" i="25" s="1"/>
  <c r="N10" i="20"/>
  <c r="C10" i="20"/>
  <c r="E10" i="20"/>
  <c r="F13" i="23" s="1"/>
  <c r="I10" i="20"/>
  <c r="J13" i="23" s="1"/>
  <c r="G10" i="20"/>
  <c r="H13" i="23" s="1"/>
  <c r="L10" i="20"/>
  <c r="M13" i="23" s="1"/>
  <c r="J10" i="20"/>
  <c r="K13" i="23" s="1"/>
  <c r="I7" i="7"/>
  <c r="I9" i="17" s="1"/>
  <c r="K10" i="20"/>
  <c r="L13" i="23" s="1"/>
  <c r="H7" i="13"/>
  <c r="H52" i="25" s="1"/>
  <c r="C95" i="25"/>
  <c r="C55" i="25"/>
  <c r="F10" i="20"/>
  <c r="G13" i="23" s="1"/>
  <c r="I7" i="14"/>
  <c r="I92" i="25" s="1"/>
  <c r="H10" i="20"/>
  <c r="I13" i="23" s="1"/>
  <c r="G55" i="25"/>
  <c r="M10" i="20"/>
  <c r="N13" i="23" s="1"/>
  <c r="D10" i="20"/>
  <c r="E13" i="23" s="1"/>
  <c r="K7" i="13"/>
  <c r="K16" i="13" s="1"/>
  <c r="H16" i="25"/>
  <c r="H95" i="25"/>
  <c r="J19" i="10"/>
  <c r="I19" i="19"/>
  <c r="I19" i="8"/>
  <c r="H19" i="18"/>
  <c r="H11" i="15"/>
  <c r="G11" i="18"/>
  <c r="G11" i="21" s="1"/>
  <c r="J98" i="25"/>
  <c r="I98" i="25"/>
  <c r="K98" i="25"/>
  <c r="D98" i="25"/>
  <c r="L98" i="25"/>
  <c r="H98" i="25"/>
  <c r="C98" i="25"/>
  <c r="E98" i="25"/>
  <c r="G98" i="25"/>
  <c r="M98" i="25"/>
  <c r="N98" i="25"/>
  <c r="F98" i="25"/>
  <c r="N9" i="20"/>
  <c r="N10" i="23" s="1"/>
  <c r="N9" i="16"/>
  <c r="N9" i="17"/>
  <c r="H55" i="25"/>
  <c r="G7" i="14"/>
  <c r="G92" i="25" s="1"/>
  <c r="L86" i="9"/>
  <c r="J7" i="14"/>
  <c r="J16" i="14" s="1"/>
  <c r="N19" i="25"/>
  <c r="H16" i="14"/>
  <c r="E91" i="9"/>
  <c r="D15" i="25"/>
  <c r="J9" i="25"/>
  <c r="J7" i="25"/>
  <c r="K9" i="25"/>
  <c r="K7" i="25"/>
  <c r="G58" i="25"/>
  <c r="F58" i="25"/>
  <c r="N58" i="25"/>
  <c r="F55" i="25"/>
  <c r="F16" i="25"/>
  <c r="L10" i="18"/>
  <c r="L13" i="21" s="1"/>
  <c r="N10" i="18"/>
  <c r="N13" i="21" s="1"/>
  <c r="C16" i="25"/>
  <c r="J55" i="25"/>
  <c r="J16" i="25"/>
  <c r="N6" i="19"/>
  <c r="N6" i="20"/>
  <c r="F46" i="25"/>
  <c r="F48" i="25"/>
  <c r="H9" i="25"/>
  <c r="H7" i="25"/>
  <c r="L9" i="25"/>
  <c r="L7" i="25"/>
  <c r="D58" i="25"/>
  <c r="I19" i="25"/>
  <c r="E55" i="25"/>
  <c r="E16" i="25"/>
  <c r="F10" i="19"/>
  <c r="F13" i="22" s="1"/>
  <c r="D46" i="25"/>
  <c r="D48" i="25"/>
  <c r="I7" i="25"/>
  <c r="I9" i="25"/>
  <c r="J46" i="25"/>
  <c r="J48" i="25"/>
  <c r="C48" i="25"/>
  <c r="C46" i="25"/>
  <c r="K48" i="25"/>
  <c r="K46" i="25"/>
  <c r="L48" i="25"/>
  <c r="L46" i="25"/>
  <c r="I58" i="25"/>
  <c r="E19" i="25"/>
  <c r="F19" i="25"/>
  <c r="L58" i="25"/>
  <c r="C58" i="25"/>
  <c r="C56" i="25" s="1"/>
  <c r="C75" i="25" s="1"/>
  <c r="J19" i="25"/>
  <c r="G7" i="12"/>
  <c r="D7" i="12"/>
  <c r="B21" i="13"/>
  <c r="B29" i="13" s="1"/>
  <c r="B31" i="13" s="1"/>
  <c r="B32" i="13" s="1"/>
  <c r="B33" i="13" s="1"/>
  <c r="D93" i="9"/>
  <c r="E10" i="18"/>
  <c r="E13" i="21" s="1"/>
  <c r="I10" i="19"/>
  <c r="I13" i="22" s="1"/>
  <c r="G10" i="19"/>
  <c r="G13" i="22" s="1"/>
  <c r="N16" i="14"/>
  <c r="N92" i="25"/>
  <c r="J7" i="7"/>
  <c r="J9" i="19" s="1"/>
  <c r="J10" i="22" s="1"/>
  <c r="K10" i="18"/>
  <c r="K13" i="21" s="1"/>
  <c r="N10" i="19"/>
  <c r="N13" i="22" s="1"/>
  <c r="K55" i="25"/>
  <c r="K16" i="25"/>
  <c r="D10" i="19"/>
  <c r="D13" i="22" s="1"/>
  <c r="F10" i="18"/>
  <c r="F13" i="21" s="1"/>
  <c r="E7" i="14"/>
  <c r="I7" i="13"/>
  <c r="I16" i="13" s="1"/>
  <c r="H10" i="19"/>
  <c r="H13" i="22" s="1"/>
  <c r="C10" i="18"/>
  <c r="C13" i="21" s="1"/>
  <c r="J7" i="12"/>
  <c r="J6" i="20"/>
  <c r="C6" i="19"/>
  <c r="C7" i="22" s="1"/>
  <c r="I6" i="19"/>
  <c r="I6" i="20"/>
  <c r="D6" i="19"/>
  <c r="D6" i="20"/>
  <c r="D7" i="23" s="1"/>
  <c r="E46" i="25"/>
  <c r="E74" i="25" s="1"/>
  <c r="E48" i="25"/>
  <c r="M19" i="25"/>
  <c r="D19" i="25"/>
  <c r="C19" i="25"/>
  <c r="C17" i="25" s="1"/>
  <c r="M58" i="25"/>
  <c r="G10" i="18"/>
  <c r="G13" i="21" s="1"/>
  <c r="D55" i="25"/>
  <c r="D16" i="25"/>
  <c r="J10" i="19"/>
  <c r="J13" i="22" s="1"/>
  <c r="M10" i="18"/>
  <c r="M13" i="21" s="1"/>
  <c r="M6" i="20"/>
  <c r="M6" i="19"/>
  <c r="F6" i="19"/>
  <c r="F7" i="22" s="1"/>
  <c r="F6" i="20"/>
  <c r="F7" i="23" s="1"/>
  <c r="D9" i="25"/>
  <c r="D7" i="25"/>
  <c r="D35" i="25" s="1"/>
  <c r="E7" i="25"/>
  <c r="E9" i="25"/>
  <c r="G48" i="25"/>
  <c r="G46" i="25"/>
  <c r="E58" i="25"/>
  <c r="H19" i="25"/>
  <c r="K19" i="25"/>
  <c r="L55" i="25"/>
  <c r="L16" i="25"/>
  <c r="K10" i="19"/>
  <c r="K13" i="22" s="1"/>
  <c r="C10" i="19"/>
  <c r="C13" i="22" s="1"/>
  <c r="I48" i="25"/>
  <c r="I46" i="25"/>
  <c r="F9" i="25"/>
  <c r="F7" i="25"/>
  <c r="H46" i="25"/>
  <c r="H48" i="25"/>
  <c r="H8" i="5"/>
  <c r="H26" i="5" s="1"/>
  <c r="H8" i="18" s="1"/>
  <c r="H9" i="21" s="1"/>
  <c r="G9" i="25"/>
  <c r="G7" i="25"/>
  <c r="C7" i="25"/>
  <c r="C9" i="25"/>
  <c r="L19" i="25"/>
  <c r="H58" i="25"/>
  <c r="K58" i="25"/>
  <c r="G19" i="25"/>
  <c r="D92" i="9"/>
  <c r="E10" i="19"/>
  <c r="E13" i="22" s="1"/>
  <c r="I10" i="18"/>
  <c r="I13" i="21" s="1"/>
  <c r="L10" i="19"/>
  <c r="L13" i="22" s="1"/>
  <c r="J10" i="18"/>
  <c r="J13" i="21" s="1"/>
  <c r="F7" i="13"/>
  <c r="F52" i="25" s="1"/>
  <c r="M10" i="19"/>
  <c r="M13" i="22" s="1"/>
  <c r="F7" i="7"/>
  <c r="F9" i="16" s="1"/>
  <c r="I55" i="25"/>
  <c r="I16" i="25"/>
  <c r="M55" i="25"/>
  <c r="M74" i="25" s="1"/>
  <c r="M16" i="25"/>
  <c r="M35" i="25" s="1"/>
  <c r="D10" i="18"/>
  <c r="D13" i="21" s="1"/>
  <c r="J58" i="25"/>
  <c r="H10" i="18"/>
  <c r="H13" i="21" s="1"/>
  <c r="L6" i="19"/>
  <c r="L7" i="22" s="1"/>
  <c r="L6" i="20"/>
  <c r="L7" i="23" s="1"/>
  <c r="M7" i="14"/>
  <c r="N9" i="19"/>
  <c r="N10" i="22" s="1"/>
  <c r="E7" i="12"/>
  <c r="D7" i="14"/>
  <c r="E7" i="7"/>
  <c r="E9" i="17" s="1"/>
  <c r="M7" i="7"/>
  <c r="M9" i="19" s="1"/>
  <c r="M10" i="22" s="1"/>
  <c r="E36" i="21"/>
  <c r="B36" i="21" s="1"/>
  <c r="B39" i="21"/>
  <c r="D18" i="10"/>
  <c r="D18" i="22" s="1"/>
  <c r="D18" i="11"/>
  <c r="D18" i="23" s="1"/>
  <c r="D18" i="8"/>
  <c r="D18" i="21" s="1"/>
  <c r="F20" i="7"/>
  <c r="F18" i="10"/>
  <c r="F18" i="22" s="1"/>
  <c r="F18" i="8"/>
  <c r="F18" i="21" s="1"/>
  <c r="F18" i="11"/>
  <c r="F18" i="23" s="1"/>
  <c r="F7" i="12"/>
  <c r="C18" i="11"/>
  <c r="C18" i="23" s="1"/>
  <c r="C18" i="10"/>
  <c r="C18" i="22" s="1"/>
  <c r="C18" i="8"/>
  <c r="C18" i="21" s="1"/>
  <c r="I18" i="10"/>
  <c r="I18" i="22" s="1"/>
  <c r="I18" i="11"/>
  <c r="I18" i="23" s="1"/>
  <c r="I18" i="8"/>
  <c r="I18" i="21" s="1"/>
  <c r="G18" i="11"/>
  <c r="G18" i="23" s="1"/>
  <c r="G18" i="10"/>
  <c r="G18" i="22" s="1"/>
  <c r="G18" i="8"/>
  <c r="G18" i="21" s="1"/>
  <c r="H7" i="7"/>
  <c r="K18" i="11"/>
  <c r="K18" i="23" s="1"/>
  <c r="K18" i="10"/>
  <c r="K18" i="22" s="1"/>
  <c r="K18" i="8"/>
  <c r="K18" i="21" s="1"/>
  <c r="G7" i="13"/>
  <c r="M18" i="11"/>
  <c r="M18" i="23" s="1"/>
  <c r="M18" i="8"/>
  <c r="M18" i="21" s="1"/>
  <c r="M18" i="10"/>
  <c r="M18" i="22" s="1"/>
  <c r="N18" i="11"/>
  <c r="N18" i="23" s="1"/>
  <c r="N18" i="10"/>
  <c r="N18" i="22" s="1"/>
  <c r="N18" i="8"/>
  <c r="N18" i="21" s="1"/>
  <c r="B26" i="18"/>
  <c r="B22" i="18" s="1"/>
  <c r="B22" i="15"/>
  <c r="N9" i="18"/>
  <c r="N10" i="21" s="1"/>
  <c r="G7" i="7"/>
  <c r="H18" i="10"/>
  <c r="H18" i="22" s="1"/>
  <c r="H18" i="11"/>
  <c r="H18" i="23" s="1"/>
  <c r="H18" i="8"/>
  <c r="H18" i="21" s="1"/>
  <c r="C9" i="13"/>
  <c r="C7" i="13" s="1"/>
  <c r="C9" i="12"/>
  <c r="C7" i="12" s="1"/>
  <c r="C9" i="14"/>
  <c r="C7" i="14" s="1"/>
  <c r="E18" i="8"/>
  <c r="E18" i="21" s="1"/>
  <c r="E18" i="10"/>
  <c r="E18" i="22" s="1"/>
  <c r="E18" i="11"/>
  <c r="E18" i="23" s="1"/>
  <c r="L7" i="7"/>
  <c r="L18" i="8"/>
  <c r="L18" i="21" s="1"/>
  <c r="L18" i="10"/>
  <c r="L18" i="22" s="1"/>
  <c r="L18" i="11"/>
  <c r="L18" i="23" s="1"/>
  <c r="J18" i="8"/>
  <c r="J18" i="21" s="1"/>
  <c r="J18" i="10"/>
  <c r="J18" i="22" s="1"/>
  <c r="J18" i="11"/>
  <c r="J18" i="23" s="1"/>
  <c r="H7" i="12"/>
  <c r="I7" i="12"/>
  <c r="K7" i="7"/>
  <c r="H20" i="7"/>
  <c r="C20" i="7"/>
  <c r="E20" i="7"/>
  <c r="I20" i="7"/>
  <c r="G20" i="7"/>
  <c r="L20" i="7"/>
  <c r="D7" i="7"/>
  <c r="L61" i="9"/>
  <c r="L43" i="23" s="1"/>
  <c r="H61" i="9"/>
  <c r="H43" i="23" s="1"/>
  <c r="M88" i="9"/>
  <c r="B26" i="20"/>
  <c r="B22" i="20" s="1"/>
  <c r="B22" i="17"/>
  <c r="M61" i="9"/>
  <c r="M43" i="23" s="1"/>
  <c r="N26" i="7"/>
  <c r="N30" i="7" s="1"/>
  <c r="K88" i="9"/>
  <c r="N88" i="9"/>
  <c r="J61" i="9"/>
  <c r="J43" i="23" s="1"/>
  <c r="D61" i="9"/>
  <c r="D43" i="23" s="1"/>
  <c r="F61" i="9"/>
  <c r="F43" i="23" s="1"/>
  <c r="G61" i="9"/>
  <c r="G43" i="23" s="1"/>
  <c r="L88" i="9"/>
  <c r="D36" i="23"/>
  <c r="B39" i="23"/>
  <c r="F46" i="9"/>
  <c r="N87" i="9"/>
  <c r="D46" i="9"/>
  <c r="L46" i="9"/>
  <c r="M87" i="9"/>
  <c r="L87" i="9"/>
  <c r="N44" i="9"/>
  <c r="N65" i="25" s="1"/>
  <c r="K87" i="9"/>
  <c r="E46" i="9"/>
  <c r="F31" i="9"/>
  <c r="I31" i="9"/>
  <c r="K31" i="9"/>
  <c r="C18" i="13"/>
  <c r="B18" i="19"/>
  <c r="N29" i="9"/>
  <c r="N37" i="24" s="1"/>
  <c r="B18" i="14"/>
  <c r="K84" i="9"/>
  <c r="I44" i="9"/>
  <c r="I65" i="25" s="1"/>
  <c r="J46" i="9"/>
  <c r="I29" i="9"/>
  <c r="I26" i="25" s="1"/>
  <c r="J31" i="9"/>
  <c r="K29" i="9"/>
  <c r="K37" i="24" s="1"/>
  <c r="L31" i="9"/>
  <c r="D26" i="7"/>
  <c r="D30" i="7" s="1"/>
  <c r="E61" i="9"/>
  <c r="E43" i="23" s="1"/>
  <c r="M44" i="9"/>
  <c r="M63" i="25" s="1"/>
  <c r="M64" i="25" s="1"/>
  <c r="N46" i="9"/>
  <c r="N27" i="5"/>
  <c r="N8" i="19" s="1"/>
  <c r="N9" i="22" s="1"/>
  <c r="N8" i="16"/>
  <c r="L29" i="9"/>
  <c r="L37" i="24" s="1"/>
  <c r="M31" i="9"/>
  <c r="F29" i="9"/>
  <c r="F26" i="25" s="1"/>
  <c r="G31" i="9"/>
  <c r="L44" i="9"/>
  <c r="L37" i="26" s="1"/>
  <c r="M46" i="9"/>
  <c r="J44" i="9"/>
  <c r="J63" i="25" s="1"/>
  <c r="J64" i="25" s="1"/>
  <c r="K46" i="9"/>
  <c r="J26" i="7"/>
  <c r="J30" i="7" s="1"/>
  <c r="K61" i="9"/>
  <c r="K43" i="23" s="1"/>
  <c r="G12" i="10"/>
  <c r="F12" i="19"/>
  <c r="F12" i="22" s="1"/>
  <c r="N28" i="5"/>
  <c r="N8" i="20" s="1"/>
  <c r="N9" i="23" s="1"/>
  <c r="N8" i="17"/>
  <c r="N26" i="5"/>
  <c r="N8" i="18" s="1"/>
  <c r="N9" i="21" s="1"/>
  <c r="N8" i="15"/>
  <c r="G44" i="9"/>
  <c r="G37" i="26" s="1"/>
  <c r="H46" i="9"/>
  <c r="M29" i="9"/>
  <c r="M37" i="24" s="1"/>
  <c r="N31" i="9"/>
  <c r="H44" i="9"/>
  <c r="I46" i="9"/>
  <c r="M26" i="7"/>
  <c r="M30" i="7" s="1"/>
  <c r="N61" i="9"/>
  <c r="N43" i="23" s="1"/>
  <c r="H26" i="7"/>
  <c r="H30" i="7" s="1"/>
  <c r="I61" i="9"/>
  <c r="I43" i="23" s="1"/>
  <c r="G12" i="11"/>
  <c r="F12" i="20"/>
  <c r="F12" i="23" s="1"/>
  <c r="G12" i="8"/>
  <c r="B26" i="5"/>
  <c r="B8" i="18" s="1"/>
  <c r="B8" i="15"/>
  <c r="D29" i="9"/>
  <c r="D37" i="24" s="1"/>
  <c r="E31" i="9"/>
  <c r="F44" i="9"/>
  <c r="F65" i="25" s="1"/>
  <c r="G46" i="9"/>
  <c r="C29" i="9"/>
  <c r="C26" i="25" s="1"/>
  <c r="D31" i="9"/>
  <c r="G29" i="9"/>
  <c r="G37" i="24" s="1"/>
  <c r="H31" i="9"/>
  <c r="I11" i="17"/>
  <c r="M10" i="17"/>
  <c r="I11" i="16"/>
  <c r="I11" i="19" s="1"/>
  <c r="I11" i="22" s="1"/>
  <c r="M10" i="15"/>
  <c r="L7" i="13"/>
  <c r="M10" i="13"/>
  <c r="K7" i="12"/>
  <c r="L11" i="10"/>
  <c r="C59" i="9"/>
  <c r="C103" i="25" s="1"/>
  <c r="C104" i="25" s="1"/>
  <c r="C113" i="25" s="1"/>
  <c r="C26" i="7"/>
  <c r="J59" i="9"/>
  <c r="J103" i="25" s="1"/>
  <c r="J104" i="25" s="1"/>
  <c r="K59" i="9"/>
  <c r="K105" i="25" s="1"/>
  <c r="K26" i="7"/>
  <c r="G59" i="9"/>
  <c r="G26" i="7"/>
  <c r="E59" i="9"/>
  <c r="E37" i="27" s="1"/>
  <c r="E26" i="7"/>
  <c r="C44" i="9"/>
  <c r="C63" i="25" s="1"/>
  <c r="C64" i="25" s="1"/>
  <c r="C73" i="25" s="1"/>
  <c r="C25" i="7"/>
  <c r="I59" i="9"/>
  <c r="I26" i="7"/>
  <c r="L59" i="9"/>
  <c r="L105" i="25" s="1"/>
  <c r="L26" i="7"/>
  <c r="F59" i="9"/>
  <c r="F105" i="25" s="1"/>
  <c r="F26" i="7"/>
  <c r="E36" i="9"/>
  <c r="E13" i="8" s="1"/>
  <c r="E13" i="18" s="1"/>
  <c r="E24" i="7"/>
  <c r="E25" i="7"/>
  <c r="E51" i="9"/>
  <c r="D25" i="7"/>
  <c r="D51" i="9"/>
  <c r="H36" i="9"/>
  <c r="H13" i="8" s="1"/>
  <c r="H13" i="18" s="1"/>
  <c r="H24" i="7"/>
  <c r="M66" i="9"/>
  <c r="N66" i="9"/>
  <c r="K51" i="9"/>
  <c r="K25" i="7"/>
  <c r="D66" i="9"/>
  <c r="H66" i="9"/>
  <c r="J36" i="9"/>
  <c r="J13" i="8" s="1"/>
  <c r="J13" i="18" s="1"/>
  <c r="J24" i="7"/>
  <c r="I25" i="7"/>
  <c r="I51" i="9"/>
  <c r="E29" i="9"/>
  <c r="E26" i="25" s="1"/>
  <c r="F42" i="21" s="1"/>
  <c r="D44" i="9"/>
  <c r="D65" i="25" s="1"/>
  <c r="H29" i="9"/>
  <c r="H26" i="25" s="1"/>
  <c r="I42" i="21" s="1"/>
  <c r="M59" i="9"/>
  <c r="M37" i="27" s="1"/>
  <c r="I36" i="9"/>
  <c r="I13" i="8" s="1"/>
  <c r="I13" i="18" s="1"/>
  <c r="I24" i="7"/>
  <c r="N59" i="9"/>
  <c r="N105" i="25" s="1"/>
  <c r="K44" i="9"/>
  <c r="D59" i="9"/>
  <c r="H59" i="9"/>
  <c r="H37" i="27" s="1"/>
  <c r="J29" i="9"/>
  <c r="J37" i="24" s="1"/>
  <c r="L36" i="9"/>
  <c r="L13" i="8" s="1"/>
  <c r="L13" i="18" s="1"/>
  <c r="L24" i="7"/>
  <c r="N36" i="9"/>
  <c r="N24" i="7"/>
  <c r="D36" i="9"/>
  <c r="D13" i="8" s="1"/>
  <c r="D13" i="18" s="1"/>
  <c r="D24" i="7"/>
  <c r="L25" i="7"/>
  <c r="L51" i="9"/>
  <c r="C24" i="7"/>
  <c r="C36" i="9"/>
  <c r="C13" i="8" s="1"/>
  <c r="C13" i="18" s="1"/>
  <c r="C14" i="21" s="1"/>
  <c r="G24" i="7"/>
  <c r="G36" i="9"/>
  <c r="J66" i="9"/>
  <c r="F66" i="9"/>
  <c r="G51" i="9"/>
  <c r="G25" i="7"/>
  <c r="M36" i="9"/>
  <c r="M24" i="7"/>
  <c r="L66" i="9"/>
  <c r="H25" i="7"/>
  <c r="H51" i="9"/>
  <c r="K24" i="7"/>
  <c r="K36" i="9"/>
  <c r="M25" i="7"/>
  <c r="M51" i="9"/>
  <c r="E44" i="9"/>
  <c r="I66" i="9"/>
  <c r="C66" i="9"/>
  <c r="K66" i="9"/>
  <c r="E66" i="9"/>
  <c r="G66" i="9"/>
  <c r="F36" i="9"/>
  <c r="F24" i="7"/>
  <c r="F51" i="9"/>
  <c r="F25" i="7"/>
  <c r="C51" i="9"/>
  <c r="N51" i="9"/>
  <c r="N25" i="7"/>
  <c r="J51" i="9"/>
  <c r="J25" i="7"/>
  <c r="H12" i="5"/>
  <c r="J8" i="5"/>
  <c r="G16" i="5"/>
  <c r="J16" i="5"/>
  <c r="F12" i="5"/>
  <c r="E8" i="5"/>
  <c r="K8" i="5"/>
  <c r="F16" i="5"/>
  <c r="D12" i="5"/>
  <c r="C8" i="5"/>
  <c r="E16" i="5"/>
  <c r="I8" i="5"/>
  <c r="K16" i="5"/>
  <c r="L16" i="5"/>
  <c r="I12" i="5"/>
  <c r="C16" i="5"/>
  <c r="M8" i="5"/>
  <c r="J12" i="5"/>
  <c r="G8" i="5"/>
  <c r="E12" i="5"/>
  <c r="K12" i="5"/>
  <c r="I16" i="5"/>
  <c r="D16" i="5"/>
  <c r="C12" i="5"/>
  <c r="L8" i="5"/>
  <c r="M12" i="5"/>
  <c r="M16" i="5"/>
  <c r="G12" i="5"/>
  <c r="F8" i="5"/>
  <c r="H16" i="5"/>
  <c r="D8" i="5"/>
  <c r="L12" i="5"/>
  <c r="I7" i="22" l="1"/>
  <c r="N63" i="25"/>
  <c r="N64" i="25" s="1"/>
  <c r="N7" i="22"/>
  <c r="J74" i="25"/>
  <c r="H35" i="25"/>
  <c r="N7" i="23"/>
  <c r="I63" i="25"/>
  <c r="I64" i="25" s="1"/>
  <c r="C24" i="25"/>
  <c r="K16" i="14"/>
  <c r="C13" i="23"/>
  <c r="D13" i="23"/>
  <c r="B13" i="23" s="1"/>
  <c r="K103" i="25"/>
  <c r="K104" i="25" s="1"/>
  <c r="C114" i="25"/>
  <c r="H114" i="25"/>
  <c r="F103" i="25"/>
  <c r="F104" i="25" s="1"/>
  <c r="E37" i="26"/>
  <c r="E63" i="25"/>
  <c r="E64" i="25" s="1"/>
  <c r="D7" i="22"/>
  <c r="E7" i="22"/>
  <c r="J7" i="23"/>
  <c r="K7" i="23"/>
  <c r="D63" i="25"/>
  <c r="D64" i="25" s="1"/>
  <c r="G63" i="25"/>
  <c r="G64" i="25" s="1"/>
  <c r="K65" i="25"/>
  <c r="K63" i="25"/>
  <c r="K64" i="25" s="1"/>
  <c r="M7" i="22"/>
  <c r="I7" i="23"/>
  <c r="J7" i="22"/>
  <c r="F63" i="25"/>
  <c r="F64" i="25" s="1"/>
  <c r="E7" i="23"/>
  <c r="H37" i="26"/>
  <c r="H63" i="25"/>
  <c r="H64" i="25" s="1"/>
  <c r="M7" i="23"/>
  <c r="G7" i="22"/>
  <c r="G7" i="23"/>
  <c r="L63" i="25"/>
  <c r="L64" i="25" s="1"/>
  <c r="E103" i="25"/>
  <c r="E104" i="25" s="1"/>
  <c r="M103" i="25"/>
  <c r="M104" i="25" s="1"/>
  <c r="D105" i="25"/>
  <c r="D103" i="25"/>
  <c r="D104" i="25" s="1"/>
  <c r="H103" i="25"/>
  <c r="H104" i="25" s="1"/>
  <c r="G37" i="27"/>
  <c r="G103" i="25"/>
  <c r="G104" i="25" s="1"/>
  <c r="N103" i="25"/>
  <c r="N104" i="25" s="1"/>
  <c r="I103" i="25"/>
  <c r="I104" i="25" s="1"/>
  <c r="L103" i="25"/>
  <c r="L104" i="25" s="1"/>
  <c r="H74" i="25"/>
  <c r="G74" i="25"/>
  <c r="N85" i="25"/>
  <c r="N96" i="25"/>
  <c r="K85" i="25"/>
  <c r="K96" i="25"/>
  <c r="K115" i="25" s="1"/>
  <c r="G42" i="22"/>
  <c r="L74" i="25"/>
  <c r="C74" i="25"/>
  <c r="M85" i="25"/>
  <c r="M96" i="25"/>
  <c r="M115" i="25" s="1"/>
  <c r="I85" i="25"/>
  <c r="I96" i="25"/>
  <c r="J42" i="22"/>
  <c r="G85" i="25"/>
  <c r="G96" i="25"/>
  <c r="L85" i="25"/>
  <c r="L96" i="25"/>
  <c r="J85" i="25"/>
  <c r="J96" i="25"/>
  <c r="J115" i="25" s="1"/>
  <c r="C85" i="25"/>
  <c r="C96" i="25"/>
  <c r="H85" i="25"/>
  <c r="H96" i="25"/>
  <c r="E42" i="22"/>
  <c r="I74" i="25"/>
  <c r="E35" i="25"/>
  <c r="K74" i="25"/>
  <c r="D74" i="25"/>
  <c r="F74" i="25"/>
  <c r="F85" i="25"/>
  <c r="F96" i="25"/>
  <c r="E85" i="25"/>
  <c r="E96" i="25"/>
  <c r="D85" i="25"/>
  <c r="D96" i="25"/>
  <c r="D115" i="25" s="1"/>
  <c r="C35" i="25"/>
  <c r="C17" i="24" s="1"/>
  <c r="D45" i="25"/>
  <c r="D56" i="25"/>
  <c r="N45" i="25"/>
  <c r="N56" i="25"/>
  <c r="H45" i="25"/>
  <c r="H56" i="25"/>
  <c r="L45" i="25"/>
  <c r="L56" i="25"/>
  <c r="F45" i="25"/>
  <c r="F56" i="25"/>
  <c r="I45" i="25"/>
  <c r="I56" i="25"/>
  <c r="C43" i="21"/>
  <c r="M45" i="25"/>
  <c r="M56" i="25"/>
  <c r="G45" i="25"/>
  <c r="G56" i="25"/>
  <c r="J45" i="25"/>
  <c r="J56" i="25"/>
  <c r="K45" i="25"/>
  <c r="K56" i="25"/>
  <c r="C45" i="25"/>
  <c r="C14" i="26"/>
  <c r="E45" i="25"/>
  <c r="E56" i="25"/>
  <c r="D42" i="21"/>
  <c r="J42" i="21"/>
  <c r="G42" i="21"/>
  <c r="F35" i="25"/>
  <c r="F16" i="14"/>
  <c r="K35" i="25"/>
  <c r="L35" i="25"/>
  <c r="I35" i="25"/>
  <c r="H6" i="25"/>
  <c r="H17" i="25"/>
  <c r="H36" i="25" s="1"/>
  <c r="H14" i="24" s="1"/>
  <c r="L6" i="25"/>
  <c r="L17" i="25"/>
  <c r="L36" i="25" s="1"/>
  <c r="L14" i="24" s="1"/>
  <c r="M6" i="25"/>
  <c r="M17" i="25"/>
  <c r="M36" i="25" s="1"/>
  <c r="M14" i="24" s="1"/>
  <c r="I6" i="25"/>
  <c r="I17" i="25"/>
  <c r="I36" i="25" s="1"/>
  <c r="I14" i="24" s="1"/>
  <c r="N6" i="25"/>
  <c r="N17" i="25"/>
  <c r="N36" i="25" s="1"/>
  <c r="N14" i="24" s="1"/>
  <c r="G6" i="25"/>
  <c r="G17" i="25"/>
  <c r="G36" i="25" s="1"/>
  <c r="G14" i="24" s="1"/>
  <c r="F6" i="25"/>
  <c r="F17" i="25"/>
  <c r="F36" i="25" s="1"/>
  <c r="F14" i="24" s="1"/>
  <c r="D52" i="25"/>
  <c r="G35" i="25"/>
  <c r="K6" i="25"/>
  <c r="K17" i="25"/>
  <c r="K36" i="25" s="1"/>
  <c r="K14" i="24" s="1"/>
  <c r="C6" i="25"/>
  <c r="C36" i="25"/>
  <c r="C14" i="24" s="1"/>
  <c r="J6" i="25"/>
  <c r="J17" i="25"/>
  <c r="J36" i="25" s="1"/>
  <c r="J14" i="24" s="1"/>
  <c r="E6" i="25"/>
  <c r="E17" i="25"/>
  <c r="E36" i="25" s="1"/>
  <c r="E14" i="24" s="1"/>
  <c r="J35" i="25"/>
  <c r="D6" i="25"/>
  <c r="D17" i="25"/>
  <c r="D36" i="25" s="1"/>
  <c r="D14" i="24" s="1"/>
  <c r="F9" i="17"/>
  <c r="E9" i="16"/>
  <c r="H11" i="11"/>
  <c r="G11" i="20"/>
  <c r="G11" i="23" s="1"/>
  <c r="G17" i="20"/>
  <c r="G17" i="23" s="1"/>
  <c r="H17" i="11"/>
  <c r="H17" i="10"/>
  <c r="G17" i="19"/>
  <c r="G17" i="22" s="1"/>
  <c r="H17" i="8"/>
  <c r="G17" i="18"/>
  <c r="G17" i="21" s="1"/>
  <c r="I9" i="20"/>
  <c r="I10" i="23" s="1"/>
  <c r="I9" i="16"/>
  <c r="L92" i="25"/>
  <c r="M9" i="17"/>
  <c r="M9" i="16"/>
  <c r="G16" i="14"/>
  <c r="F9" i="15"/>
  <c r="E16" i="13"/>
  <c r="B18" i="18"/>
  <c r="H9" i="20"/>
  <c r="H10" i="23" s="1"/>
  <c r="J52" i="25"/>
  <c r="I16" i="14"/>
  <c r="I37" i="24"/>
  <c r="E9" i="19"/>
  <c r="E10" i="22" s="1"/>
  <c r="F9" i="20"/>
  <c r="F10" i="23" s="1"/>
  <c r="I9" i="15"/>
  <c r="K52" i="25"/>
  <c r="J92" i="25"/>
  <c r="F37" i="24"/>
  <c r="C53" i="25"/>
  <c r="J9" i="17"/>
  <c r="H16" i="13"/>
  <c r="F16" i="13"/>
  <c r="M26" i="25"/>
  <c r="N42" i="21" s="1"/>
  <c r="N24" i="25"/>
  <c r="N37" i="27"/>
  <c r="I37" i="26"/>
  <c r="N37" i="26"/>
  <c r="F37" i="26"/>
  <c r="K37" i="26"/>
  <c r="E93" i="9"/>
  <c r="D94" i="25"/>
  <c r="D17" i="27" s="1"/>
  <c r="I37" i="27"/>
  <c r="H37" i="24"/>
  <c r="J37" i="26"/>
  <c r="C65" i="25"/>
  <c r="D37" i="26"/>
  <c r="L26" i="25"/>
  <c r="M42" i="21" s="1"/>
  <c r="L37" i="27"/>
  <c r="E37" i="24"/>
  <c r="C37" i="24"/>
  <c r="M37" i="26"/>
  <c r="C16" i="26"/>
  <c r="C37" i="26"/>
  <c r="K19" i="10"/>
  <c r="J19" i="19"/>
  <c r="J19" i="8"/>
  <c r="I19" i="18"/>
  <c r="I11" i="15"/>
  <c r="H11" i="18"/>
  <c r="H11" i="21" s="1"/>
  <c r="D62" i="9"/>
  <c r="D63" i="9" s="1"/>
  <c r="D69" i="9" s="1"/>
  <c r="C93" i="25"/>
  <c r="C16" i="27"/>
  <c r="E62" i="9"/>
  <c r="E63" i="9" s="1"/>
  <c r="E14" i="11" s="1"/>
  <c r="D93" i="25"/>
  <c r="G62" i="9"/>
  <c r="G63" i="9" s="1"/>
  <c r="G14" i="11" s="1"/>
  <c r="F93" i="25"/>
  <c r="J62" i="9"/>
  <c r="J63" i="9" s="1"/>
  <c r="J14" i="11" s="1"/>
  <c r="I93" i="25"/>
  <c r="F62" i="9"/>
  <c r="F63" i="9" s="1"/>
  <c r="F14" i="11" s="1"/>
  <c r="E93" i="25"/>
  <c r="L62" i="9"/>
  <c r="L63" i="9" s="1"/>
  <c r="L14" i="11" s="1"/>
  <c r="K93" i="25"/>
  <c r="F37" i="27"/>
  <c r="E105" i="25"/>
  <c r="C105" i="25"/>
  <c r="D37" i="27"/>
  <c r="K37" i="27"/>
  <c r="I62" i="9"/>
  <c r="I63" i="9" s="1"/>
  <c r="I14" i="11" s="1"/>
  <c r="H93" i="25"/>
  <c r="N62" i="9"/>
  <c r="N63" i="9" s="1"/>
  <c r="N14" i="11" s="1"/>
  <c r="M93" i="25"/>
  <c r="K62" i="9"/>
  <c r="K63" i="9" s="1"/>
  <c r="K14" i="11" s="1"/>
  <c r="J93" i="25"/>
  <c r="C37" i="27"/>
  <c r="H105" i="25"/>
  <c r="J37" i="27"/>
  <c r="N42" i="23"/>
  <c r="N47" i="23" s="1"/>
  <c r="N93" i="25"/>
  <c r="M62" i="9"/>
  <c r="M63" i="9" s="1"/>
  <c r="M14" i="11" s="1"/>
  <c r="L93" i="25"/>
  <c r="H62" i="9"/>
  <c r="H63" i="9" s="1"/>
  <c r="H14" i="11" s="1"/>
  <c r="G93" i="25"/>
  <c r="M105" i="25"/>
  <c r="G105" i="25"/>
  <c r="I105" i="25"/>
  <c r="J105" i="25"/>
  <c r="B13" i="22"/>
  <c r="E9" i="15"/>
  <c r="J9" i="15"/>
  <c r="J9" i="20"/>
  <c r="J10" i="23" s="1"/>
  <c r="J65" i="25"/>
  <c r="B13" i="21"/>
  <c r="H32" i="9"/>
  <c r="H33" i="9" s="1"/>
  <c r="H14" i="8" s="1"/>
  <c r="G14" i="25"/>
  <c r="E16" i="12"/>
  <c r="E13" i="25"/>
  <c r="D54" i="25"/>
  <c r="E92" i="9"/>
  <c r="D16" i="12"/>
  <c r="D13" i="25"/>
  <c r="H47" i="9"/>
  <c r="H48" i="9" s="1"/>
  <c r="H54" i="9" s="1"/>
  <c r="G53" i="25"/>
  <c r="M32" i="9"/>
  <c r="M43" i="21" s="1"/>
  <c r="L14" i="25"/>
  <c r="L24" i="25"/>
  <c r="I16" i="12"/>
  <c r="I13" i="25"/>
  <c r="G16" i="12"/>
  <c r="G13" i="25"/>
  <c r="F91" i="9"/>
  <c r="E15" i="25"/>
  <c r="L47" i="9"/>
  <c r="L48" i="9" s="1"/>
  <c r="L54" i="9" s="1"/>
  <c r="K53" i="25"/>
  <c r="D32" i="9"/>
  <c r="D33" i="9" s="1"/>
  <c r="D14" i="8" s="1"/>
  <c r="C14" i="25"/>
  <c r="E32" i="9"/>
  <c r="E43" i="21" s="1"/>
  <c r="D14" i="25"/>
  <c r="D24" i="25"/>
  <c r="H8" i="15"/>
  <c r="N14" i="25"/>
  <c r="H16" i="12"/>
  <c r="H13" i="25"/>
  <c r="I9" i="18"/>
  <c r="I10" i="21" s="1"/>
  <c r="M9" i="20"/>
  <c r="M10" i="23" s="1"/>
  <c r="M9" i="18"/>
  <c r="M10" i="21" s="1"/>
  <c r="F16" i="12"/>
  <c r="F13" i="25"/>
  <c r="F9" i="18"/>
  <c r="F10" i="21" s="1"/>
  <c r="J9" i="18"/>
  <c r="J10" i="21" s="1"/>
  <c r="J9" i="16"/>
  <c r="I52" i="25"/>
  <c r="G26" i="25"/>
  <c r="H42" i="21" s="1"/>
  <c r="G24" i="25"/>
  <c r="E16" i="14"/>
  <c r="E92" i="25"/>
  <c r="G65" i="25"/>
  <c r="N26" i="25"/>
  <c r="E47" i="9"/>
  <c r="D53" i="25"/>
  <c r="G47" i="9"/>
  <c r="F53" i="25"/>
  <c r="N53" i="25"/>
  <c r="J16" i="12"/>
  <c r="J13" i="25"/>
  <c r="F47" i="9"/>
  <c r="F48" i="9" s="1"/>
  <c r="E53" i="25"/>
  <c r="F32" i="9"/>
  <c r="F33" i="9" s="1"/>
  <c r="F14" i="8" s="1"/>
  <c r="E14" i="25"/>
  <c r="E24" i="25"/>
  <c r="I47" i="9"/>
  <c r="I43" i="22" s="1"/>
  <c r="H53" i="25"/>
  <c r="M47" i="9"/>
  <c r="L53" i="25"/>
  <c r="J32" i="9"/>
  <c r="I24" i="25"/>
  <c r="I14" i="25"/>
  <c r="H65" i="25"/>
  <c r="K32" i="9"/>
  <c r="J14" i="25"/>
  <c r="J24" i="25"/>
  <c r="I32" i="9"/>
  <c r="I33" i="9" s="1"/>
  <c r="I14" i="8" s="1"/>
  <c r="H14" i="25"/>
  <c r="H24" i="25"/>
  <c r="D47" i="9"/>
  <c r="D43" i="22" s="1"/>
  <c r="K16" i="12"/>
  <c r="K13" i="25"/>
  <c r="N32" i="9"/>
  <c r="N33" i="9" s="1"/>
  <c r="N14" i="8" s="1"/>
  <c r="M14" i="25"/>
  <c r="M24" i="25"/>
  <c r="K47" i="9"/>
  <c r="K48" i="9" s="1"/>
  <c r="K14" i="10" s="1"/>
  <c r="J53" i="25"/>
  <c r="G32" i="9"/>
  <c r="G33" i="9" s="1"/>
  <c r="G14" i="8" s="1"/>
  <c r="F24" i="25"/>
  <c r="F14" i="25"/>
  <c r="N47" i="9"/>
  <c r="N43" i="22" s="1"/>
  <c r="M53" i="25"/>
  <c r="L32" i="9"/>
  <c r="K14" i="25"/>
  <c r="J47" i="9"/>
  <c r="J48" i="9" s="1"/>
  <c r="J14" i="10" s="1"/>
  <c r="I53" i="25"/>
  <c r="I9" i="19"/>
  <c r="I10" i="22" s="1"/>
  <c r="C16" i="12"/>
  <c r="C21" i="12" s="1"/>
  <c r="C29" i="12" s="1"/>
  <c r="C31" i="12" s="1"/>
  <c r="C33" i="12" s="1"/>
  <c r="C13" i="25"/>
  <c r="M9" i="15"/>
  <c r="D16" i="14"/>
  <c r="D92" i="25"/>
  <c r="M16" i="14"/>
  <c r="M92" i="25"/>
  <c r="K26" i="25"/>
  <c r="L42" i="21" s="1"/>
  <c r="E65" i="25"/>
  <c r="M65" i="25"/>
  <c r="D26" i="25"/>
  <c r="J26" i="25"/>
  <c r="K42" i="21" s="1"/>
  <c r="L65" i="25"/>
  <c r="K24" i="25"/>
  <c r="C16" i="14"/>
  <c r="C92" i="25"/>
  <c r="G16" i="13"/>
  <c r="G52" i="25"/>
  <c r="L16" i="13"/>
  <c r="L52" i="25"/>
  <c r="C16" i="13"/>
  <c r="C21" i="13" s="1"/>
  <c r="C29" i="13" s="1"/>
  <c r="C31" i="13" s="1"/>
  <c r="C33" i="13" s="1"/>
  <c r="C52" i="25"/>
  <c r="B18" i="22"/>
  <c r="E9" i="20"/>
  <c r="E10" i="23" s="1"/>
  <c r="H9" i="18"/>
  <c r="H10" i="21" s="1"/>
  <c r="H9" i="15"/>
  <c r="H9" i="16"/>
  <c r="H9" i="17"/>
  <c r="H9" i="19"/>
  <c r="H10" i="22" s="1"/>
  <c r="C42" i="23"/>
  <c r="C47" i="23" s="1"/>
  <c r="M42" i="23"/>
  <c r="M47" i="23" s="1"/>
  <c r="D9" i="20"/>
  <c r="D10" i="23" s="1"/>
  <c r="D9" i="15"/>
  <c r="D9" i="19"/>
  <c r="D10" i="22" s="1"/>
  <c r="D9" i="18"/>
  <c r="D10" i="21" s="1"/>
  <c r="D9" i="16"/>
  <c r="D9" i="17"/>
  <c r="K9" i="17"/>
  <c r="K9" i="16"/>
  <c r="K9" i="18"/>
  <c r="K10" i="21" s="1"/>
  <c r="K9" i="15"/>
  <c r="K9" i="20"/>
  <c r="K10" i="23" s="1"/>
  <c r="K9" i="19"/>
  <c r="K10" i="22" s="1"/>
  <c r="F9" i="19"/>
  <c r="F10" i="22" s="1"/>
  <c r="E9" i="18"/>
  <c r="E10" i="21" s="1"/>
  <c r="G9" i="15"/>
  <c r="G9" i="17"/>
  <c r="G9" i="16"/>
  <c r="G9" i="20"/>
  <c r="G10" i="23" s="1"/>
  <c r="G9" i="18"/>
  <c r="G10" i="21" s="1"/>
  <c r="G9" i="19"/>
  <c r="G10" i="22" s="1"/>
  <c r="B18" i="21"/>
  <c r="L9" i="15"/>
  <c r="L9" i="20"/>
  <c r="L10" i="23" s="1"/>
  <c r="L9" i="19"/>
  <c r="L10" i="22" s="1"/>
  <c r="L9" i="17"/>
  <c r="L9" i="16"/>
  <c r="L9" i="18"/>
  <c r="L10" i="21" s="1"/>
  <c r="B18" i="23"/>
  <c r="E42" i="23"/>
  <c r="E47" i="23" s="1"/>
  <c r="I42" i="23"/>
  <c r="I47" i="23" s="1"/>
  <c r="K42" i="23"/>
  <c r="K47" i="23" s="1"/>
  <c r="J42" i="23"/>
  <c r="J47" i="23" s="1"/>
  <c r="B36" i="23"/>
  <c r="F42" i="23"/>
  <c r="F47" i="23" s="1"/>
  <c r="G42" i="23"/>
  <c r="G47" i="23" s="1"/>
  <c r="D42" i="23"/>
  <c r="B43" i="23"/>
  <c r="H42" i="23"/>
  <c r="H47" i="23" s="1"/>
  <c r="L42" i="23"/>
  <c r="L47" i="23" s="1"/>
  <c r="D14" i="21"/>
  <c r="D14" i="22"/>
  <c r="E14" i="21"/>
  <c r="E14" i="22"/>
  <c r="C42" i="22"/>
  <c r="I14" i="21"/>
  <c r="I14" i="22"/>
  <c r="J14" i="21"/>
  <c r="J14" i="22"/>
  <c r="H14" i="21"/>
  <c r="H14" i="22"/>
  <c r="L14" i="21"/>
  <c r="L14" i="22"/>
  <c r="C42" i="21"/>
  <c r="B18" i="20"/>
  <c r="C18" i="14"/>
  <c r="B21" i="14"/>
  <c r="B29" i="14" s="1"/>
  <c r="B31" i="14" s="1"/>
  <c r="B32" i="14" s="1"/>
  <c r="B33" i="14" s="1"/>
  <c r="C18" i="19"/>
  <c r="D18" i="13"/>
  <c r="C18" i="18"/>
  <c r="D18" i="12"/>
  <c r="F26" i="5"/>
  <c r="F8" i="18" s="1"/>
  <c r="F9" i="21" s="1"/>
  <c r="F8" i="15"/>
  <c r="K27" i="5"/>
  <c r="K8" i="19" s="1"/>
  <c r="K9" i="22" s="1"/>
  <c r="K8" i="16"/>
  <c r="M26" i="5"/>
  <c r="M8" i="18" s="1"/>
  <c r="M9" i="21" s="1"/>
  <c r="M8" i="15"/>
  <c r="D27" i="5"/>
  <c r="D8" i="19" s="1"/>
  <c r="D9" i="22" s="1"/>
  <c r="D8" i="16"/>
  <c r="H27" i="5"/>
  <c r="H8" i="19" s="1"/>
  <c r="H9" i="22" s="1"/>
  <c r="H8" i="16"/>
  <c r="G27" i="5"/>
  <c r="G8" i="19" s="1"/>
  <c r="G9" i="22" s="1"/>
  <c r="G8" i="16"/>
  <c r="E27" i="5"/>
  <c r="E8" i="19" s="1"/>
  <c r="E9" i="22" s="1"/>
  <c r="E8" i="16"/>
  <c r="E7" i="16" s="1"/>
  <c r="I26" i="5"/>
  <c r="I8" i="18" s="1"/>
  <c r="I9" i="21" s="1"/>
  <c r="I8" i="15"/>
  <c r="D26" i="5"/>
  <c r="D8" i="18" s="1"/>
  <c r="D9" i="21" s="1"/>
  <c r="D8" i="15"/>
  <c r="M28" i="5"/>
  <c r="M8" i="20" s="1"/>
  <c r="M9" i="23" s="1"/>
  <c r="M8" i="17"/>
  <c r="D28" i="5"/>
  <c r="D8" i="20" s="1"/>
  <c r="D9" i="23" s="1"/>
  <c r="D8" i="17"/>
  <c r="G26" i="5"/>
  <c r="G8" i="18" s="1"/>
  <c r="G9" i="21" s="1"/>
  <c r="G8" i="15"/>
  <c r="I27" i="5"/>
  <c r="I8" i="19" s="1"/>
  <c r="I9" i="22" s="1"/>
  <c r="I8" i="16"/>
  <c r="E28" i="5"/>
  <c r="E8" i="20" s="1"/>
  <c r="E9" i="23" s="1"/>
  <c r="E8" i="17"/>
  <c r="E7" i="17" s="1"/>
  <c r="K26" i="5"/>
  <c r="K8" i="18" s="1"/>
  <c r="K9" i="21" s="1"/>
  <c r="K8" i="15"/>
  <c r="G28" i="5"/>
  <c r="G8" i="20" s="1"/>
  <c r="G9" i="23" s="1"/>
  <c r="G8" i="17"/>
  <c r="H12" i="8"/>
  <c r="L26" i="5"/>
  <c r="L8" i="18" s="1"/>
  <c r="L9" i="21" s="1"/>
  <c r="L8" i="15"/>
  <c r="K28" i="5"/>
  <c r="K8" i="20" s="1"/>
  <c r="K9" i="23" s="1"/>
  <c r="K8" i="17"/>
  <c r="F27" i="5"/>
  <c r="F8" i="19" s="1"/>
  <c r="F9" i="22" s="1"/>
  <c r="F8" i="16"/>
  <c r="F7" i="16" s="1"/>
  <c r="H12" i="11"/>
  <c r="G12" i="20"/>
  <c r="G12" i="23" s="1"/>
  <c r="H12" i="10"/>
  <c r="G12" i="19"/>
  <c r="G12" i="22" s="1"/>
  <c r="L27" i="5"/>
  <c r="L8" i="19" s="1"/>
  <c r="L9" i="22" s="1"/>
  <c r="L8" i="16"/>
  <c r="C27" i="5"/>
  <c r="C8" i="19" s="1"/>
  <c r="C9" i="22" s="1"/>
  <c r="C8" i="16"/>
  <c r="C28" i="5"/>
  <c r="C8" i="20" s="1"/>
  <c r="C9" i="23" s="1"/>
  <c r="C8" i="17"/>
  <c r="F28" i="5"/>
  <c r="F8" i="20" s="1"/>
  <c r="F9" i="23" s="1"/>
  <c r="F8" i="17"/>
  <c r="J28" i="5"/>
  <c r="J8" i="20" s="1"/>
  <c r="J9" i="23" s="1"/>
  <c r="J8" i="17"/>
  <c r="H28" i="5"/>
  <c r="H8" i="20" s="1"/>
  <c r="H9" i="23" s="1"/>
  <c r="H8" i="17"/>
  <c r="M27" i="5"/>
  <c r="M8" i="19" s="1"/>
  <c r="M9" i="22" s="1"/>
  <c r="M8" i="16"/>
  <c r="I28" i="5"/>
  <c r="I8" i="20" s="1"/>
  <c r="I9" i="23" s="1"/>
  <c r="I8" i="17"/>
  <c r="I7" i="17" s="1"/>
  <c r="J27" i="5"/>
  <c r="J8" i="19" s="1"/>
  <c r="J9" i="22" s="1"/>
  <c r="J8" i="16"/>
  <c r="L28" i="5"/>
  <c r="L8" i="20" s="1"/>
  <c r="L9" i="23" s="1"/>
  <c r="L8" i="17"/>
  <c r="C26" i="5"/>
  <c r="C8" i="18" s="1"/>
  <c r="C9" i="21" s="1"/>
  <c r="C8" i="15"/>
  <c r="E26" i="5"/>
  <c r="E8" i="18" s="1"/>
  <c r="E9" i="21" s="1"/>
  <c r="E8" i="15"/>
  <c r="J26" i="5"/>
  <c r="J8" i="18" s="1"/>
  <c r="J9" i="21" s="1"/>
  <c r="J8" i="15"/>
  <c r="N10" i="17"/>
  <c r="J11" i="17"/>
  <c r="J11" i="16"/>
  <c r="J11" i="19" s="1"/>
  <c r="N10" i="15"/>
  <c r="N10" i="13"/>
  <c r="N7" i="13" s="1"/>
  <c r="M7" i="13"/>
  <c r="C48" i="9"/>
  <c r="C54" i="9" s="1"/>
  <c r="L7" i="12"/>
  <c r="F13" i="8"/>
  <c r="C13" i="11"/>
  <c r="C13" i="20" s="1"/>
  <c r="C14" i="23" s="1"/>
  <c r="K13" i="8"/>
  <c r="H13" i="10"/>
  <c r="H13" i="19" s="1"/>
  <c r="J13" i="11"/>
  <c r="J13" i="20" s="1"/>
  <c r="J14" i="23" s="1"/>
  <c r="N13" i="8"/>
  <c r="N13" i="18" s="1"/>
  <c r="E13" i="10"/>
  <c r="E13" i="19" s="1"/>
  <c r="N13" i="10"/>
  <c r="N13" i="19" s="1"/>
  <c r="E13" i="11"/>
  <c r="E13" i="20" s="1"/>
  <c r="E14" i="23" s="1"/>
  <c r="C63" i="9"/>
  <c r="C14" i="11" s="1"/>
  <c r="M13" i="10"/>
  <c r="M13" i="19" s="1"/>
  <c r="G13" i="10"/>
  <c r="G13" i="19" s="1"/>
  <c r="L13" i="10"/>
  <c r="L13" i="19" s="1"/>
  <c r="I13" i="10"/>
  <c r="I13" i="19" s="1"/>
  <c r="D13" i="11"/>
  <c r="D13" i="20" s="1"/>
  <c r="D14" i="23" s="1"/>
  <c r="K13" i="10"/>
  <c r="K13" i="19" s="1"/>
  <c r="M13" i="11"/>
  <c r="M13" i="20" s="1"/>
  <c r="M14" i="23" s="1"/>
  <c r="D13" i="10"/>
  <c r="D13" i="19" s="1"/>
  <c r="J13" i="10"/>
  <c r="J13" i="19" s="1"/>
  <c r="C13" i="10"/>
  <c r="C13" i="19" s="1"/>
  <c r="C14" i="22" s="1"/>
  <c r="F13" i="10"/>
  <c r="F13" i="19" s="1"/>
  <c r="L13" i="11"/>
  <c r="L13" i="20" s="1"/>
  <c r="L14" i="23" s="1"/>
  <c r="M13" i="8"/>
  <c r="M13" i="18" s="1"/>
  <c r="F13" i="11"/>
  <c r="G13" i="8"/>
  <c r="N13" i="11"/>
  <c r="N13" i="20" s="1"/>
  <c r="N14" i="23" s="1"/>
  <c r="G13" i="11"/>
  <c r="G13" i="20" s="1"/>
  <c r="G14" i="23" s="1"/>
  <c r="K13" i="11"/>
  <c r="K13" i="20" s="1"/>
  <c r="K14" i="23" s="1"/>
  <c r="I13" i="11"/>
  <c r="I13" i="20" s="1"/>
  <c r="I14" i="23" s="1"/>
  <c r="H13" i="11"/>
  <c r="H13" i="20" s="1"/>
  <c r="H14" i="23" s="1"/>
  <c r="M11" i="10"/>
  <c r="C33" i="9"/>
  <c r="C14" i="8" s="1"/>
  <c r="H29" i="7"/>
  <c r="D28" i="7"/>
  <c r="C30" i="7"/>
  <c r="K28" i="7"/>
  <c r="E29" i="7"/>
  <c r="F30" i="7"/>
  <c r="I30" i="7"/>
  <c r="E30" i="7"/>
  <c r="K30" i="7"/>
  <c r="N29" i="7"/>
  <c r="F28" i="7"/>
  <c r="M29" i="7"/>
  <c r="G29" i="7"/>
  <c r="C28" i="7"/>
  <c r="B46" i="4"/>
  <c r="L29" i="7"/>
  <c r="N28" i="7"/>
  <c r="L28" i="7"/>
  <c r="I28" i="7"/>
  <c r="I29" i="7"/>
  <c r="K29" i="7"/>
  <c r="H28" i="7"/>
  <c r="D29" i="7"/>
  <c r="E28" i="7"/>
  <c r="J29" i="7"/>
  <c r="F29" i="7"/>
  <c r="M28" i="7"/>
  <c r="G28" i="7"/>
  <c r="J28" i="7"/>
  <c r="L30" i="7"/>
  <c r="C29" i="7"/>
  <c r="G30" i="7"/>
  <c r="B51" i="9"/>
  <c r="B66" i="9"/>
  <c r="B36" i="9"/>
  <c r="B13" i="8" s="1"/>
  <c r="B13" i="18" s="1"/>
  <c r="J11" i="22" l="1"/>
  <c r="B7" i="22"/>
  <c r="I7" i="16"/>
  <c r="I16" i="16" s="1"/>
  <c r="I21" i="16" s="1"/>
  <c r="I29" i="16" s="1"/>
  <c r="I31" i="16" s="1"/>
  <c r="I33" i="16" s="1"/>
  <c r="D113" i="25"/>
  <c r="D16" i="27" s="1"/>
  <c r="K43" i="22"/>
  <c r="C14" i="20"/>
  <c r="C16" i="23" s="1"/>
  <c r="C35" i="11"/>
  <c r="C109" i="25" s="1"/>
  <c r="C116" i="25" s="1"/>
  <c r="C36" i="27" s="1"/>
  <c r="C33" i="27" s="1"/>
  <c r="B7" i="23"/>
  <c r="J14" i="19"/>
  <c r="J16" i="22" s="1"/>
  <c r="K14" i="19"/>
  <c r="K16" i="22" s="1"/>
  <c r="L42" i="22"/>
  <c r="F43" i="22"/>
  <c r="E14" i="20"/>
  <c r="E16" i="23" s="1"/>
  <c r="E35" i="11"/>
  <c r="E109" i="25" s="1"/>
  <c r="E116" i="25" s="1"/>
  <c r="E36" i="27" s="1"/>
  <c r="E33" i="27" s="1"/>
  <c r="H14" i="20"/>
  <c r="H16" i="23" s="1"/>
  <c r="H35" i="11"/>
  <c r="H109" i="25" s="1"/>
  <c r="H116" i="25" s="1"/>
  <c r="F14" i="20"/>
  <c r="F16" i="23" s="1"/>
  <c r="F35" i="11"/>
  <c r="F109" i="25" s="1"/>
  <c r="F116" i="25" s="1"/>
  <c r="F36" i="27" s="1"/>
  <c r="F33" i="27" s="1"/>
  <c r="K14" i="20"/>
  <c r="K16" i="23" s="1"/>
  <c r="E115" i="25"/>
  <c r="E14" i="27" s="1"/>
  <c r="N14" i="20"/>
  <c r="N16" i="23" s="1"/>
  <c r="D14" i="27"/>
  <c r="F115" i="25"/>
  <c r="F14" i="27" s="1"/>
  <c r="G14" i="20"/>
  <c r="G16" i="23" s="1"/>
  <c r="G8" i="23" s="1"/>
  <c r="G35" i="11"/>
  <c r="G109" i="25" s="1"/>
  <c r="G116" i="25" s="1"/>
  <c r="G36" i="27" s="1"/>
  <c r="G33" i="27" s="1"/>
  <c r="J14" i="27"/>
  <c r="N115" i="25"/>
  <c r="N14" i="27" s="1"/>
  <c r="H115" i="25"/>
  <c r="H14" i="27" s="1"/>
  <c r="I115" i="25"/>
  <c r="I14" i="27" s="1"/>
  <c r="G115" i="25"/>
  <c r="G14" i="27" s="1"/>
  <c r="M14" i="20"/>
  <c r="M16" i="23" s="1"/>
  <c r="I14" i="20"/>
  <c r="I16" i="23" s="1"/>
  <c r="L14" i="20"/>
  <c r="L16" i="23" s="1"/>
  <c r="J14" i="20"/>
  <c r="J16" i="23" s="1"/>
  <c r="M14" i="27"/>
  <c r="K14" i="27"/>
  <c r="L115" i="25"/>
  <c r="L14" i="27" s="1"/>
  <c r="C115" i="25"/>
  <c r="C14" i="27" s="1"/>
  <c r="C47" i="21"/>
  <c r="M42" i="22"/>
  <c r="L43" i="22"/>
  <c r="L43" i="21"/>
  <c r="K42" i="22"/>
  <c r="K47" i="22" s="1"/>
  <c r="J43" i="22"/>
  <c r="K75" i="25"/>
  <c r="K14" i="26" s="1"/>
  <c r="D75" i="25"/>
  <c r="M43" i="22"/>
  <c r="N42" i="22"/>
  <c r="H43" i="22"/>
  <c r="H47" i="22" s="1"/>
  <c r="I42" i="22"/>
  <c r="I47" i="22" s="1"/>
  <c r="G43" i="22"/>
  <c r="G47" i="22" s="1"/>
  <c r="H42" i="22"/>
  <c r="E17" i="24"/>
  <c r="D17" i="26"/>
  <c r="D73" i="25"/>
  <c r="D16" i="26" s="1"/>
  <c r="C17" i="26"/>
  <c r="D42" i="22"/>
  <c r="C43" i="22"/>
  <c r="C47" i="22" s="1"/>
  <c r="E75" i="25"/>
  <c r="E14" i="26" s="1"/>
  <c r="G75" i="25"/>
  <c r="G14" i="26" s="1"/>
  <c r="F75" i="25"/>
  <c r="F14" i="26" s="1"/>
  <c r="H75" i="25"/>
  <c r="H14" i="26" s="1"/>
  <c r="E43" i="22"/>
  <c r="E47" i="22" s="1"/>
  <c r="F42" i="22"/>
  <c r="J75" i="25"/>
  <c r="J14" i="26" s="1"/>
  <c r="M75" i="25"/>
  <c r="M14" i="26" s="1"/>
  <c r="I75" i="25"/>
  <c r="I14" i="26" s="1"/>
  <c r="L75" i="25"/>
  <c r="L14" i="26" s="1"/>
  <c r="N75" i="25"/>
  <c r="N14" i="26" s="1"/>
  <c r="K43" i="21"/>
  <c r="K47" i="21" s="1"/>
  <c r="J43" i="21"/>
  <c r="J47" i="21" s="1"/>
  <c r="H43" i="21"/>
  <c r="D17" i="24"/>
  <c r="E42" i="21"/>
  <c r="B42" i="21" s="1"/>
  <c r="I43" i="21"/>
  <c r="I47" i="21" s="1"/>
  <c r="F43" i="21"/>
  <c r="F47" i="21" s="1"/>
  <c r="G43" i="21"/>
  <c r="G47" i="21" s="1"/>
  <c r="N43" i="21"/>
  <c r="N47" i="21" s="1"/>
  <c r="D43" i="21"/>
  <c r="D47" i="21" s="1"/>
  <c r="H35" i="8"/>
  <c r="H30" i="25" s="1"/>
  <c r="H37" i="25" s="1"/>
  <c r="H36" i="24" s="1"/>
  <c r="H33" i="24" s="1"/>
  <c r="C25" i="25"/>
  <c r="C34" i="25" s="1"/>
  <c r="E25" i="25"/>
  <c r="E34" i="25" s="1"/>
  <c r="N25" i="25"/>
  <c r="H25" i="25"/>
  <c r="F25" i="25"/>
  <c r="M25" i="25"/>
  <c r="I25" i="25"/>
  <c r="K25" i="25"/>
  <c r="J25" i="25"/>
  <c r="G25" i="25"/>
  <c r="D25" i="25"/>
  <c r="D34" i="25" s="1"/>
  <c r="L25" i="25"/>
  <c r="F7" i="17"/>
  <c r="F84" i="25" s="1"/>
  <c r="I48" i="9"/>
  <c r="I14" i="10" s="1"/>
  <c r="G14" i="18"/>
  <c r="G16" i="21" s="1"/>
  <c r="G35" i="8"/>
  <c r="G30" i="25" s="1"/>
  <c r="F14" i="18"/>
  <c r="F16" i="21" s="1"/>
  <c r="F35" i="8"/>
  <c r="F30" i="25" s="1"/>
  <c r="D14" i="18"/>
  <c r="D16" i="21" s="1"/>
  <c r="D35" i="8"/>
  <c r="D30" i="25" s="1"/>
  <c r="I14" i="18"/>
  <c r="I16" i="21" s="1"/>
  <c r="C14" i="18"/>
  <c r="C16" i="21" s="1"/>
  <c r="C35" i="8"/>
  <c r="C30" i="25" s="1"/>
  <c r="N14" i="18"/>
  <c r="N16" i="21" s="1"/>
  <c r="I11" i="11"/>
  <c r="H11" i="20"/>
  <c r="H11" i="23" s="1"/>
  <c r="I17" i="8"/>
  <c r="H17" i="18"/>
  <c r="H17" i="21" s="1"/>
  <c r="I17" i="10"/>
  <c r="H17" i="19"/>
  <c r="H17" i="22" s="1"/>
  <c r="I17" i="11"/>
  <c r="H17" i="20"/>
  <c r="H17" i="23" s="1"/>
  <c r="H36" i="27"/>
  <c r="H33" i="27" s="1"/>
  <c r="H7" i="17"/>
  <c r="H16" i="17" s="1"/>
  <c r="H21" i="17" s="1"/>
  <c r="H29" i="17" s="1"/>
  <c r="H31" i="17" s="1"/>
  <c r="H33" i="17" s="1"/>
  <c r="J47" i="22"/>
  <c r="N48" i="9"/>
  <c r="N14" i="10" s="1"/>
  <c r="L33" i="9"/>
  <c r="L14" i="8" s="1"/>
  <c r="E33" i="9"/>
  <c r="E14" i="8" s="1"/>
  <c r="E35" i="8" s="1"/>
  <c r="E30" i="25" s="1"/>
  <c r="D48" i="9"/>
  <c r="D14" i="10" s="1"/>
  <c r="G48" i="9"/>
  <c r="G54" i="9" s="1"/>
  <c r="K33" i="9"/>
  <c r="K14" i="8" s="1"/>
  <c r="F54" i="9"/>
  <c r="F14" i="10"/>
  <c r="E48" i="9"/>
  <c r="E14" i="10" s="1"/>
  <c r="H7" i="16"/>
  <c r="H44" i="25" s="1"/>
  <c r="F93" i="9"/>
  <c r="E94" i="25"/>
  <c r="E17" i="27" s="1"/>
  <c r="L19" i="10"/>
  <c r="K19" i="19"/>
  <c r="K19" i="8"/>
  <c r="J19" i="18"/>
  <c r="J11" i="15"/>
  <c r="I11" i="18"/>
  <c r="I11" i="21" s="1"/>
  <c r="C17" i="27"/>
  <c r="H47" i="21"/>
  <c r="M48" i="9"/>
  <c r="M14" i="10" s="1"/>
  <c r="J33" i="9"/>
  <c r="J14" i="8" s="1"/>
  <c r="L16" i="12"/>
  <c r="L13" i="25"/>
  <c r="I16" i="17"/>
  <c r="I21" i="17" s="1"/>
  <c r="I29" i="17" s="1"/>
  <c r="I31" i="17" s="1"/>
  <c r="I33" i="17" s="1"/>
  <c r="I84" i="25"/>
  <c r="F16" i="16"/>
  <c r="F21" i="16" s="1"/>
  <c r="F29" i="16" s="1"/>
  <c r="F31" i="16" s="1"/>
  <c r="F33" i="16" s="1"/>
  <c r="F44" i="25"/>
  <c r="E16" i="16"/>
  <c r="E21" i="16" s="1"/>
  <c r="E29" i="16" s="1"/>
  <c r="E31" i="16" s="1"/>
  <c r="E33" i="16" s="1"/>
  <c r="E44" i="25"/>
  <c r="E16" i="17"/>
  <c r="E21" i="17" s="1"/>
  <c r="E29" i="17" s="1"/>
  <c r="E31" i="17" s="1"/>
  <c r="E33" i="17" s="1"/>
  <c r="E84" i="25"/>
  <c r="M33" i="9"/>
  <c r="M14" i="8" s="1"/>
  <c r="G91" i="9"/>
  <c r="F15" i="25"/>
  <c r="F92" i="9"/>
  <c r="E54" i="25"/>
  <c r="E73" i="25" s="1"/>
  <c r="E16" i="26" s="1"/>
  <c r="N16" i="13"/>
  <c r="N52" i="25"/>
  <c r="M16" i="13"/>
  <c r="M52" i="25"/>
  <c r="D7" i="17"/>
  <c r="F69" i="9"/>
  <c r="G7" i="17"/>
  <c r="G7" i="16"/>
  <c r="D7" i="16"/>
  <c r="B42" i="23"/>
  <c r="B47" i="23" s="1"/>
  <c r="B9" i="22"/>
  <c r="L14" i="10"/>
  <c r="B9" i="23"/>
  <c r="F39" i="9"/>
  <c r="D47" i="23"/>
  <c r="C7" i="8"/>
  <c r="C16" i="8" s="1"/>
  <c r="C21" i="8" s="1"/>
  <c r="C29" i="8" s="1"/>
  <c r="C31" i="8" s="1"/>
  <c r="C33" i="8" s="1"/>
  <c r="G39" i="9"/>
  <c r="H39" i="9"/>
  <c r="M47" i="21"/>
  <c r="N14" i="21"/>
  <c r="N14" i="22"/>
  <c r="M14" i="21"/>
  <c r="M14" i="22"/>
  <c r="N47" i="22"/>
  <c r="I39" i="9"/>
  <c r="L47" i="21"/>
  <c r="N39" i="9"/>
  <c r="D21" i="12"/>
  <c r="D29" i="12" s="1"/>
  <c r="D31" i="12" s="1"/>
  <c r="D33" i="12" s="1"/>
  <c r="E18" i="12"/>
  <c r="D18" i="18"/>
  <c r="D7" i="8"/>
  <c r="D16" i="8" s="1"/>
  <c r="D21" i="8" s="1"/>
  <c r="D29" i="8" s="1"/>
  <c r="D31" i="8" s="1"/>
  <c r="D33" i="8" s="1"/>
  <c r="J54" i="9"/>
  <c r="C18" i="20"/>
  <c r="D18" i="14"/>
  <c r="C21" i="14"/>
  <c r="C29" i="14" s="1"/>
  <c r="C31" i="14" s="1"/>
  <c r="C33" i="14" s="1"/>
  <c r="D39" i="9"/>
  <c r="D18" i="19"/>
  <c r="D21" i="13"/>
  <c r="D29" i="13" s="1"/>
  <c r="D31" i="13" s="1"/>
  <c r="D33" i="13" s="1"/>
  <c r="E18" i="13"/>
  <c r="B9" i="21"/>
  <c r="H14" i="10"/>
  <c r="M69" i="9"/>
  <c r="I12" i="10"/>
  <c r="H12" i="19"/>
  <c r="H12" i="22" s="1"/>
  <c r="H69" i="9"/>
  <c r="I12" i="11"/>
  <c r="I7" i="11" s="1"/>
  <c r="I16" i="11" s="1"/>
  <c r="I21" i="11" s="1"/>
  <c r="I29" i="11" s="1"/>
  <c r="I31" i="11" s="1"/>
  <c r="I33" i="11" s="1"/>
  <c r="H12" i="20"/>
  <c r="I12" i="8"/>
  <c r="G7" i="8"/>
  <c r="G16" i="8" s="1"/>
  <c r="G21" i="8" s="1"/>
  <c r="G29" i="8" s="1"/>
  <c r="G31" i="8" s="1"/>
  <c r="G33" i="8" s="1"/>
  <c r="G13" i="18"/>
  <c r="G14" i="22" s="1"/>
  <c r="F7" i="8"/>
  <c r="F16" i="8" s="1"/>
  <c r="F21" i="8" s="1"/>
  <c r="F29" i="8" s="1"/>
  <c r="F31" i="8" s="1"/>
  <c r="F33" i="8" s="1"/>
  <c r="F13" i="18"/>
  <c r="F14" i="22" s="1"/>
  <c r="K13" i="18"/>
  <c r="F7" i="11"/>
  <c r="F16" i="11" s="1"/>
  <c r="F21" i="11" s="1"/>
  <c r="F29" i="11" s="1"/>
  <c r="F31" i="11" s="1"/>
  <c r="F33" i="11" s="1"/>
  <c r="F13" i="20"/>
  <c r="L69" i="9"/>
  <c r="I69" i="9"/>
  <c r="E7" i="11"/>
  <c r="E16" i="11" s="1"/>
  <c r="E21" i="11" s="1"/>
  <c r="E29" i="11" s="1"/>
  <c r="E31" i="11" s="1"/>
  <c r="E33" i="11" s="1"/>
  <c r="H7" i="8"/>
  <c r="H16" i="8" s="1"/>
  <c r="H21" i="8" s="1"/>
  <c r="H29" i="8" s="1"/>
  <c r="H31" i="8" s="1"/>
  <c r="H33" i="8" s="1"/>
  <c r="H14" i="18"/>
  <c r="H16" i="21" s="1"/>
  <c r="K11" i="17"/>
  <c r="J7" i="17"/>
  <c r="K11" i="16"/>
  <c r="K11" i="19" s="1"/>
  <c r="K11" i="22" s="1"/>
  <c r="J7" i="16"/>
  <c r="K69" i="9"/>
  <c r="C14" i="10"/>
  <c r="G7" i="11"/>
  <c r="G16" i="11" s="1"/>
  <c r="G21" i="11" s="1"/>
  <c r="G29" i="11" s="1"/>
  <c r="G31" i="11" s="1"/>
  <c r="G33" i="11" s="1"/>
  <c r="H7" i="11"/>
  <c r="H16" i="11" s="1"/>
  <c r="H21" i="11" s="1"/>
  <c r="H29" i="11" s="1"/>
  <c r="H31" i="11" s="1"/>
  <c r="H33" i="11" s="1"/>
  <c r="G69" i="9"/>
  <c r="E69" i="9"/>
  <c r="J69" i="9"/>
  <c r="K54" i="9"/>
  <c r="N69" i="9"/>
  <c r="M7" i="12"/>
  <c r="C69" i="9"/>
  <c r="C39" i="9"/>
  <c r="C7" i="11"/>
  <c r="C16" i="11" s="1"/>
  <c r="C21" i="11" s="1"/>
  <c r="C29" i="11" s="1"/>
  <c r="C31" i="11" s="1"/>
  <c r="C33" i="11" s="1"/>
  <c r="B13" i="11"/>
  <c r="B13" i="20" s="1"/>
  <c r="B13" i="10"/>
  <c r="B13" i="19" s="1"/>
  <c r="B63" i="9"/>
  <c r="B14" i="11" s="1"/>
  <c r="B14" i="20" s="1"/>
  <c r="D14" i="11"/>
  <c r="D35" i="11" s="1"/>
  <c r="D109" i="25" s="1"/>
  <c r="D116" i="25" s="1"/>
  <c r="D36" i="27" s="1"/>
  <c r="D33" i="27" s="1"/>
  <c r="N11" i="10"/>
  <c r="H31" i="7"/>
  <c r="H32" i="7"/>
  <c r="H33" i="7" s="1"/>
  <c r="H6" i="7" s="1"/>
  <c r="L31" i="7"/>
  <c r="L32" i="7"/>
  <c r="L33" i="7" s="1"/>
  <c r="L6" i="7" s="1"/>
  <c r="C31" i="7"/>
  <c r="C32" i="7"/>
  <c r="C33" i="7" s="1"/>
  <c r="D31" i="7"/>
  <c r="D32" i="7"/>
  <c r="D33" i="7" s="1"/>
  <c r="D6" i="7" s="1"/>
  <c r="J31" i="7"/>
  <c r="J32" i="7"/>
  <c r="J33" i="7" s="1"/>
  <c r="J6" i="7" s="1"/>
  <c r="N31" i="7"/>
  <c r="N32" i="7"/>
  <c r="N33" i="7" s="1"/>
  <c r="N6" i="7" s="1"/>
  <c r="G31" i="7"/>
  <c r="G32" i="7"/>
  <c r="G33" i="7" s="1"/>
  <c r="G6" i="7" s="1"/>
  <c r="E31" i="7"/>
  <c r="E32" i="7"/>
  <c r="E33" i="7" s="1"/>
  <c r="E6" i="7" s="1"/>
  <c r="K31" i="7"/>
  <c r="K32" i="7"/>
  <c r="K33" i="7" s="1"/>
  <c r="K6" i="7" s="1"/>
  <c r="M31" i="7"/>
  <c r="M32" i="7"/>
  <c r="M33" i="7" s="1"/>
  <c r="M6" i="7" s="1"/>
  <c r="I31" i="7"/>
  <c r="I32" i="7"/>
  <c r="I33" i="7" s="1"/>
  <c r="I6" i="7" s="1"/>
  <c r="F31" i="7"/>
  <c r="F32" i="7"/>
  <c r="F33" i="7" s="1"/>
  <c r="F6" i="7" s="1"/>
  <c r="I35" i="8" l="1"/>
  <c r="I30" i="25" s="1"/>
  <c r="I37" i="25" s="1"/>
  <c r="I44" i="25"/>
  <c r="L47" i="22"/>
  <c r="E113" i="25"/>
  <c r="E16" i="27" s="1"/>
  <c r="G7" i="20"/>
  <c r="G16" i="20" s="1"/>
  <c r="F47" i="22"/>
  <c r="I35" i="11"/>
  <c r="I109" i="25" s="1"/>
  <c r="I116" i="25" s="1"/>
  <c r="E7" i="20"/>
  <c r="E16" i="20" s="1"/>
  <c r="C117" i="25"/>
  <c r="C118" i="25" s="1"/>
  <c r="C20" i="23" s="1"/>
  <c r="C14" i="19"/>
  <c r="C16" i="22" s="1"/>
  <c r="C35" i="10"/>
  <c r="C69" i="25" s="1"/>
  <c r="C76" i="25" s="1"/>
  <c r="F14" i="19"/>
  <c r="F16" i="22" s="1"/>
  <c r="F35" i="10"/>
  <c r="F69" i="25" s="1"/>
  <c r="F76" i="25" s="1"/>
  <c r="F36" i="26" s="1"/>
  <c r="D14" i="19"/>
  <c r="D35" i="10"/>
  <c r="D69" i="25" s="1"/>
  <c r="D76" i="25" s="1"/>
  <c r="D36" i="26" s="1"/>
  <c r="N14" i="19"/>
  <c r="N16" i="22" s="1"/>
  <c r="M14" i="19"/>
  <c r="M16" i="22" s="1"/>
  <c r="H14" i="19"/>
  <c r="H16" i="22" s="1"/>
  <c r="H35" i="10"/>
  <c r="H69" i="25" s="1"/>
  <c r="H76" i="25" s="1"/>
  <c r="H36" i="26" s="1"/>
  <c r="E14" i="19"/>
  <c r="E16" i="22" s="1"/>
  <c r="E35" i="10"/>
  <c r="E69" i="25" s="1"/>
  <c r="E76" i="25" s="1"/>
  <c r="E36" i="26" s="1"/>
  <c r="G14" i="10"/>
  <c r="L14" i="19"/>
  <c r="L16" i="22" s="1"/>
  <c r="I14" i="19"/>
  <c r="I16" i="22" s="1"/>
  <c r="I35" i="10"/>
  <c r="I69" i="25" s="1"/>
  <c r="I76" i="25" s="1"/>
  <c r="I36" i="26" s="1"/>
  <c r="D117" i="25"/>
  <c r="B42" i="22"/>
  <c r="D47" i="22"/>
  <c r="M47" i="22"/>
  <c r="D14" i="26"/>
  <c r="E47" i="21"/>
  <c r="F16" i="17"/>
  <c r="F21" i="17" s="1"/>
  <c r="F29" i="17" s="1"/>
  <c r="F31" i="17" s="1"/>
  <c r="F33" i="17" s="1"/>
  <c r="C37" i="25"/>
  <c r="C36" i="24" s="1"/>
  <c r="C33" i="24" s="1"/>
  <c r="F37" i="25"/>
  <c r="E37" i="25"/>
  <c r="E36" i="24" s="1"/>
  <c r="E33" i="24" s="1"/>
  <c r="D37" i="25"/>
  <c r="D38" i="25" s="1"/>
  <c r="G37" i="25"/>
  <c r="G36" i="24" s="1"/>
  <c r="G33" i="24" s="1"/>
  <c r="F34" i="25"/>
  <c r="F16" i="24" s="1"/>
  <c r="D16" i="24"/>
  <c r="C16" i="24"/>
  <c r="I7" i="10"/>
  <c r="I16" i="10" s="1"/>
  <c r="I21" i="10" s="1"/>
  <c r="I29" i="10" s="1"/>
  <c r="I31" i="10" s="1"/>
  <c r="I33" i="10" s="1"/>
  <c r="E16" i="24"/>
  <c r="I54" i="9"/>
  <c r="J14" i="18"/>
  <c r="J16" i="21" s="1"/>
  <c r="L14" i="18"/>
  <c r="L16" i="21" s="1"/>
  <c r="K14" i="18"/>
  <c r="K16" i="21" s="1"/>
  <c r="M14" i="18"/>
  <c r="M16" i="21" s="1"/>
  <c r="H84" i="25"/>
  <c r="J11" i="11"/>
  <c r="I11" i="20"/>
  <c r="I11" i="23" s="1"/>
  <c r="J17" i="8"/>
  <c r="I17" i="18"/>
  <c r="I17" i="21" s="1"/>
  <c r="I36" i="24"/>
  <c r="I33" i="24" s="1"/>
  <c r="I17" i="20"/>
  <c r="I17" i="23" s="1"/>
  <c r="I36" i="27"/>
  <c r="I33" i="27" s="1"/>
  <c r="J17" i="11"/>
  <c r="J17" i="10"/>
  <c r="I17" i="19"/>
  <c r="I17" i="22" s="1"/>
  <c r="E39" i="9"/>
  <c r="N54" i="9"/>
  <c r="D7" i="19"/>
  <c r="D16" i="19" s="1"/>
  <c r="D21" i="19" s="1"/>
  <c r="D29" i="19" s="1"/>
  <c r="D31" i="19" s="1"/>
  <c r="E7" i="19"/>
  <c r="E16" i="19" s="1"/>
  <c r="F7" i="10"/>
  <c r="F16" i="10" s="1"/>
  <c r="F21" i="10" s="1"/>
  <c r="F29" i="10" s="1"/>
  <c r="F31" i="10" s="1"/>
  <c r="F33" i="10" s="1"/>
  <c r="D54" i="9"/>
  <c r="K39" i="9"/>
  <c r="E7" i="10"/>
  <c r="E16" i="10" s="1"/>
  <c r="E21" i="10" s="1"/>
  <c r="E29" i="10" s="1"/>
  <c r="E31" i="10" s="1"/>
  <c r="E33" i="10" s="1"/>
  <c r="B43" i="21"/>
  <c r="B47" i="21" s="1"/>
  <c r="D7" i="10"/>
  <c r="D16" i="10" s="1"/>
  <c r="D21" i="10" s="1"/>
  <c r="D29" i="10" s="1"/>
  <c r="D31" i="10" s="1"/>
  <c r="D33" i="10" s="1"/>
  <c r="E54" i="9"/>
  <c r="J39" i="9"/>
  <c r="L39" i="9"/>
  <c r="H16" i="16"/>
  <c r="H21" i="16" s="1"/>
  <c r="H29" i="16" s="1"/>
  <c r="H31" i="16" s="1"/>
  <c r="H33" i="16" s="1"/>
  <c r="E117" i="25"/>
  <c r="E118" i="25" s="1"/>
  <c r="E20" i="23" s="1"/>
  <c r="G93" i="9"/>
  <c r="F94" i="25"/>
  <c r="F113" i="25" s="1"/>
  <c r="F16" i="27" s="1"/>
  <c r="M19" i="10"/>
  <c r="L19" i="19"/>
  <c r="L19" i="8"/>
  <c r="K19" i="18"/>
  <c r="K11" i="15"/>
  <c r="J11" i="18"/>
  <c r="J11" i="21" s="1"/>
  <c r="F17" i="24"/>
  <c r="E17" i="26"/>
  <c r="B48" i="9"/>
  <c r="B14" i="10" s="1"/>
  <c r="B14" i="19" s="1"/>
  <c r="M39" i="9"/>
  <c r="B33" i="9"/>
  <c r="B14" i="8" s="1"/>
  <c r="B14" i="18" s="1"/>
  <c r="M54" i="9"/>
  <c r="J16" i="16"/>
  <c r="J21" i="16" s="1"/>
  <c r="J29" i="16" s="1"/>
  <c r="J31" i="16" s="1"/>
  <c r="J33" i="16" s="1"/>
  <c r="J44" i="25"/>
  <c r="G92" i="9"/>
  <c r="F54" i="25"/>
  <c r="F73" i="25" s="1"/>
  <c r="F16" i="26" s="1"/>
  <c r="M16" i="12"/>
  <c r="M13" i="25"/>
  <c r="D16" i="16"/>
  <c r="D21" i="16" s="1"/>
  <c r="D29" i="16" s="1"/>
  <c r="D31" i="16" s="1"/>
  <c r="D33" i="16" s="1"/>
  <c r="D44" i="25"/>
  <c r="D16" i="17"/>
  <c r="D21" i="17" s="1"/>
  <c r="D29" i="17" s="1"/>
  <c r="D31" i="17" s="1"/>
  <c r="D33" i="17" s="1"/>
  <c r="D84" i="25"/>
  <c r="J16" i="17"/>
  <c r="J21" i="17" s="1"/>
  <c r="J29" i="17" s="1"/>
  <c r="J31" i="17" s="1"/>
  <c r="J33" i="17" s="1"/>
  <c r="J84" i="25"/>
  <c r="G16" i="16"/>
  <c r="G21" i="16" s="1"/>
  <c r="G29" i="16" s="1"/>
  <c r="G31" i="16" s="1"/>
  <c r="G33" i="16" s="1"/>
  <c r="G44" i="25"/>
  <c r="B43" i="22"/>
  <c r="G16" i="17"/>
  <c r="G21" i="17" s="1"/>
  <c r="G29" i="17" s="1"/>
  <c r="G31" i="17" s="1"/>
  <c r="G33" i="17" s="1"/>
  <c r="G84" i="25"/>
  <c r="H91" i="9"/>
  <c r="G15" i="25"/>
  <c r="G34" i="25" s="1"/>
  <c r="H7" i="20"/>
  <c r="H16" i="20" s="1"/>
  <c r="H12" i="23"/>
  <c r="H8" i="23" s="1"/>
  <c r="F7" i="20"/>
  <c r="F16" i="20" s="1"/>
  <c r="F14" i="23"/>
  <c r="B14" i="23" s="1"/>
  <c r="H8" i="22"/>
  <c r="H7" i="10"/>
  <c r="H16" i="10" s="1"/>
  <c r="H21" i="10" s="1"/>
  <c r="H29" i="10" s="1"/>
  <c r="H31" i="10" s="1"/>
  <c r="H33" i="10" s="1"/>
  <c r="C7" i="10"/>
  <c r="C16" i="10" s="1"/>
  <c r="C21" i="10" s="1"/>
  <c r="C29" i="10" s="1"/>
  <c r="C31" i="10" s="1"/>
  <c r="C33" i="10" s="1"/>
  <c r="K14" i="21"/>
  <c r="K14" i="22"/>
  <c r="E18" i="19"/>
  <c r="F18" i="13"/>
  <c r="E21" i="13"/>
  <c r="E29" i="13" s="1"/>
  <c r="E31" i="13" s="1"/>
  <c r="E33" i="13" s="1"/>
  <c r="E18" i="18"/>
  <c r="F18" i="12"/>
  <c r="E21" i="12"/>
  <c r="E29" i="12" s="1"/>
  <c r="E31" i="12" s="1"/>
  <c r="E33" i="12" s="1"/>
  <c r="H7" i="19"/>
  <c r="H16" i="19" s="1"/>
  <c r="E18" i="14"/>
  <c r="D18" i="20"/>
  <c r="D21" i="14"/>
  <c r="D29" i="14" s="1"/>
  <c r="D31" i="14" s="1"/>
  <c r="D33" i="14" s="1"/>
  <c r="J12" i="11"/>
  <c r="I12" i="20"/>
  <c r="J12" i="8"/>
  <c r="J35" i="8" s="1"/>
  <c r="J30" i="25" s="1"/>
  <c r="J37" i="25" s="1"/>
  <c r="I7" i="8"/>
  <c r="I16" i="8" s="1"/>
  <c r="I21" i="8" s="1"/>
  <c r="I29" i="8" s="1"/>
  <c r="I31" i="8" s="1"/>
  <c r="I33" i="8" s="1"/>
  <c r="J12" i="10"/>
  <c r="I12" i="19"/>
  <c r="F14" i="21"/>
  <c r="G14" i="21"/>
  <c r="D7" i="11"/>
  <c r="D16" i="11" s="1"/>
  <c r="D21" i="11" s="1"/>
  <c r="D29" i="11" s="1"/>
  <c r="D31" i="11" s="1"/>
  <c r="D33" i="11" s="1"/>
  <c r="D14" i="20"/>
  <c r="D16" i="23" s="1"/>
  <c r="D8" i="23" s="1"/>
  <c r="E7" i="8"/>
  <c r="E16" i="8" s="1"/>
  <c r="E21" i="8" s="1"/>
  <c r="E29" i="8" s="1"/>
  <c r="E31" i="8" s="1"/>
  <c r="E33" i="8" s="1"/>
  <c r="E14" i="18"/>
  <c r="E16" i="21" s="1"/>
  <c r="L11" i="17"/>
  <c r="K7" i="17"/>
  <c r="L11" i="16"/>
  <c r="L11" i="19" s="1"/>
  <c r="L11" i="22" s="1"/>
  <c r="K7" i="16"/>
  <c r="N7" i="12"/>
  <c r="B7" i="12"/>
  <c r="B69" i="9"/>
  <c r="B11" i="10"/>
  <c r="C6" i="7"/>
  <c r="C7" i="7" s="1"/>
  <c r="B33" i="7"/>
  <c r="B6" i="7" s="1"/>
  <c r="B7" i="7" s="1"/>
  <c r="J35" i="10" l="1"/>
  <c r="J69" i="25" s="1"/>
  <c r="J76" i="25" s="1"/>
  <c r="J35" i="11"/>
  <c r="J109" i="25" s="1"/>
  <c r="J116" i="25" s="1"/>
  <c r="B47" i="22"/>
  <c r="E77" i="25"/>
  <c r="D118" i="25"/>
  <c r="D20" i="23" s="1"/>
  <c r="D77" i="25"/>
  <c r="C36" i="26"/>
  <c r="C77" i="25"/>
  <c r="G14" i="19"/>
  <c r="G35" i="10"/>
  <c r="G69" i="25" s="1"/>
  <c r="G76" i="25" s="1"/>
  <c r="G36" i="26" s="1"/>
  <c r="F7" i="19"/>
  <c r="F16" i="19" s="1"/>
  <c r="G7" i="10"/>
  <c r="G16" i="10" s="1"/>
  <c r="G21" i="10" s="1"/>
  <c r="G29" i="10" s="1"/>
  <c r="G31" i="10" s="1"/>
  <c r="G33" i="10" s="1"/>
  <c r="E8" i="22"/>
  <c r="D16" i="22"/>
  <c r="D21" i="23"/>
  <c r="D49" i="23" s="1"/>
  <c r="F38" i="25"/>
  <c r="E38" i="25"/>
  <c r="E39" i="25" s="1"/>
  <c r="E20" i="21" s="1"/>
  <c r="C38" i="25"/>
  <c r="D36" i="24"/>
  <c r="D33" i="24" s="1"/>
  <c r="F36" i="24"/>
  <c r="F33" i="24" s="1"/>
  <c r="G16" i="24"/>
  <c r="D33" i="19"/>
  <c r="D28" i="26"/>
  <c r="K11" i="11"/>
  <c r="J11" i="20"/>
  <c r="J11" i="23" s="1"/>
  <c r="K17" i="10"/>
  <c r="J17" i="19"/>
  <c r="J17" i="22" s="1"/>
  <c r="J36" i="26"/>
  <c r="J36" i="27"/>
  <c r="J33" i="27" s="1"/>
  <c r="J17" i="20"/>
  <c r="J17" i="23" s="1"/>
  <c r="K17" i="11"/>
  <c r="J17" i="18"/>
  <c r="J17" i="21" s="1"/>
  <c r="J36" i="24"/>
  <c r="J33" i="24" s="1"/>
  <c r="K17" i="8"/>
  <c r="E21" i="19"/>
  <c r="E29" i="19" s="1"/>
  <c r="E31" i="19" s="1"/>
  <c r="B39" i="9"/>
  <c r="B54" i="9"/>
  <c r="F17" i="27"/>
  <c r="F117" i="25"/>
  <c r="F118" i="25" s="1"/>
  <c r="F20" i="23" s="1"/>
  <c r="H93" i="9"/>
  <c r="G94" i="25"/>
  <c r="G113" i="25" s="1"/>
  <c r="G16" i="27" s="1"/>
  <c r="N19" i="10"/>
  <c r="N19" i="19" s="1"/>
  <c r="M19" i="19"/>
  <c r="M19" i="8"/>
  <c r="L19" i="18"/>
  <c r="L11" i="15"/>
  <c r="K11" i="18"/>
  <c r="K11" i="21" s="1"/>
  <c r="G38" i="25"/>
  <c r="G17" i="24"/>
  <c r="F77" i="25"/>
  <c r="F17" i="26"/>
  <c r="H92" i="9"/>
  <c r="G54" i="25"/>
  <c r="G73" i="25" s="1"/>
  <c r="G16" i="26" s="1"/>
  <c r="N16" i="12"/>
  <c r="N13" i="25"/>
  <c r="K16" i="17"/>
  <c r="K21" i="17" s="1"/>
  <c r="K29" i="17" s="1"/>
  <c r="K31" i="17" s="1"/>
  <c r="K33" i="17" s="1"/>
  <c r="K84" i="25"/>
  <c r="B16" i="12"/>
  <c r="B30" i="12" s="1"/>
  <c r="B13" i="25"/>
  <c r="I91" i="9"/>
  <c r="H15" i="25"/>
  <c r="H34" i="25" s="1"/>
  <c r="K16" i="16"/>
  <c r="K21" i="16" s="1"/>
  <c r="K29" i="16" s="1"/>
  <c r="K31" i="16" s="1"/>
  <c r="K33" i="16" s="1"/>
  <c r="K44" i="25"/>
  <c r="D7" i="20"/>
  <c r="D16" i="20" s="1"/>
  <c r="D21" i="20" s="1"/>
  <c r="D29" i="20" s="1"/>
  <c r="I7" i="19"/>
  <c r="I16" i="19" s="1"/>
  <c r="I12" i="22"/>
  <c r="I7" i="20"/>
  <c r="I16" i="20" s="1"/>
  <c r="I12" i="23"/>
  <c r="B14" i="22"/>
  <c r="F18" i="14"/>
  <c r="E18" i="20"/>
  <c r="E21" i="20" s="1"/>
  <c r="E29" i="20" s="1"/>
  <c r="E21" i="14"/>
  <c r="E29" i="14" s="1"/>
  <c r="E31" i="14" s="1"/>
  <c r="E33" i="14" s="1"/>
  <c r="F18" i="19"/>
  <c r="F21" i="13"/>
  <c r="F29" i="13" s="1"/>
  <c r="F31" i="13" s="1"/>
  <c r="F33" i="13" s="1"/>
  <c r="G18" i="13"/>
  <c r="G18" i="12"/>
  <c r="F21" i="12"/>
  <c r="F29" i="12" s="1"/>
  <c r="F31" i="12" s="1"/>
  <c r="F33" i="12" s="1"/>
  <c r="F18" i="18"/>
  <c r="B14" i="21"/>
  <c r="K12" i="10"/>
  <c r="K35" i="10" s="1"/>
  <c r="K69" i="25" s="1"/>
  <c r="K76" i="25" s="1"/>
  <c r="J12" i="19"/>
  <c r="J7" i="10"/>
  <c r="J16" i="10" s="1"/>
  <c r="J21" i="10" s="1"/>
  <c r="J29" i="10" s="1"/>
  <c r="J31" i="10" s="1"/>
  <c r="J33" i="10" s="1"/>
  <c r="K12" i="8"/>
  <c r="K35" i="8" s="1"/>
  <c r="K30" i="25" s="1"/>
  <c r="K37" i="25" s="1"/>
  <c r="J7" i="8"/>
  <c r="J16" i="8" s="1"/>
  <c r="J21" i="8" s="1"/>
  <c r="J29" i="8" s="1"/>
  <c r="J31" i="8" s="1"/>
  <c r="J33" i="8" s="1"/>
  <c r="K12" i="11"/>
  <c r="J12" i="20"/>
  <c r="J7" i="11"/>
  <c r="J16" i="11" s="1"/>
  <c r="J21" i="11" s="1"/>
  <c r="J29" i="11" s="1"/>
  <c r="J31" i="11" s="1"/>
  <c r="J33" i="11" s="1"/>
  <c r="C9" i="20"/>
  <c r="C9" i="18"/>
  <c r="C9" i="16"/>
  <c r="C7" i="16" s="1"/>
  <c r="C9" i="19"/>
  <c r="C9" i="17"/>
  <c r="C7" i="17" s="1"/>
  <c r="C9" i="15"/>
  <c r="B16" i="21"/>
  <c r="B9" i="17"/>
  <c r="B9" i="15"/>
  <c r="B9" i="16"/>
  <c r="B9" i="19"/>
  <c r="B9" i="18"/>
  <c r="B9" i="20"/>
  <c r="M11" i="17"/>
  <c r="L7" i="17"/>
  <c r="M11" i="16"/>
  <c r="M11" i="19" s="1"/>
  <c r="M11" i="22" s="1"/>
  <c r="L7" i="16"/>
  <c r="E78" i="25" l="1"/>
  <c r="E20" i="22" s="1"/>
  <c r="E21" i="22" s="1"/>
  <c r="E49" i="22" s="1"/>
  <c r="K35" i="11"/>
  <c r="K109" i="25" s="1"/>
  <c r="K116" i="25" s="1"/>
  <c r="F78" i="25"/>
  <c r="F20" i="22" s="1"/>
  <c r="G16" i="22"/>
  <c r="G8" i="22" s="1"/>
  <c r="G7" i="19"/>
  <c r="G16" i="19" s="1"/>
  <c r="C78" i="25"/>
  <c r="C20" i="22" s="1"/>
  <c r="D78" i="25"/>
  <c r="D20" i="22" s="1"/>
  <c r="F21" i="19"/>
  <c r="F29" i="19" s="1"/>
  <c r="F31" i="19" s="1"/>
  <c r="F28" i="26" s="1"/>
  <c r="B16" i="22"/>
  <c r="D8" i="22"/>
  <c r="D39" i="25"/>
  <c r="D20" i="21" s="1"/>
  <c r="C39" i="25"/>
  <c r="C20" i="21" s="1"/>
  <c r="G39" i="25"/>
  <c r="G20" i="21" s="1"/>
  <c r="F39" i="25"/>
  <c r="F20" i="21" s="1"/>
  <c r="H16" i="24"/>
  <c r="F33" i="19"/>
  <c r="E33" i="19"/>
  <c r="E28" i="26"/>
  <c r="B21" i="12"/>
  <c r="B29" i="12" s="1"/>
  <c r="B31" i="12" s="1"/>
  <c r="B32" i="12" s="1"/>
  <c r="B33" i="12" s="1"/>
  <c r="E31" i="20"/>
  <c r="E33" i="20" s="1"/>
  <c r="E28" i="27"/>
  <c r="D31" i="20"/>
  <c r="D33" i="20" s="1"/>
  <c r="D28" i="27"/>
  <c r="L11" i="11"/>
  <c r="K11" i="20"/>
  <c r="K11" i="23" s="1"/>
  <c r="K36" i="27"/>
  <c r="K33" i="27" s="1"/>
  <c r="L17" i="11"/>
  <c r="K17" i="20"/>
  <c r="K17" i="23" s="1"/>
  <c r="K36" i="24"/>
  <c r="K33" i="24" s="1"/>
  <c r="L17" i="8"/>
  <c r="K17" i="18"/>
  <c r="K17" i="21" s="1"/>
  <c r="L17" i="10"/>
  <c r="K17" i="19"/>
  <c r="K17" i="22" s="1"/>
  <c r="K36" i="26"/>
  <c r="B19" i="10"/>
  <c r="B19" i="19" s="1"/>
  <c r="I93" i="9"/>
  <c r="H94" i="25"/>
  <c r="H113" i="25" s="1"/>
  <c r="H16" i="27" s="1"/>
  <c r="G17" i="27"/>
  <c r="G117" i="25"/>
  <c r="G118" i="25" s="1"/>
  <c r="G20" i="23" s="1"/>
  <c r="G21" i="23" s="1"/>
  <c r="G49" i="23" s="1"/>
  <c r="N19" i="8"/>
  <c r="N19" i="18" s="1"/>
  <c r="M19" i="18"/>
  <c r="B19" i="8"/>
  <c r="B19" i="18" s="1"/>
  <c r="M11" i="15"/>
  <c r="L11" i="18"/>
  <c r="L11" i="21" s="1"/>
  <c r="H38" i="25"/>
  <c r="H39" i="25" s="1"/>
  <c r="H20" i="21" s="1"/>
  <c r="H17" i="24"/>
  <c r="G77" i="25"/>
  <c r="G78" i="25" s="1"/>
  <c r="G20" i="22" s="1"/>
  <c r="G17" i="26"/>
  <c r="J91" i="9"/>
  <c r="I15" i="25"/>
  <c r="I34" i="25" s="1"/>
  <c r="L16" i="17"/>
  <c r="L21" i="17" s="1"/>
  <c r="L29" i="17" s="1"/>
  <c r="L31" i="17" s="1"/>
  <c r="L33" i="17" s="1"/>
  <c r="L84" i="25"/>
  <c r="C16" i="16"/>
  <c r="C21" i="16" s="1"/>
  <c r="C29" i="16" s="1"/>
  <c r="C31" i="16" s="1"/>
  <c r="C33" i="16" s="1"/>
  <c r="C44" i="25"/>
  <c r="L16" i="16"/>
  <c r="L21" i="16" s="1"/>
  <c r="L29" i="16" s="1"/>
  <c r="L31" i="16" s="1"/>
  <c r="L33" i="16" s="1"/>
  <c r="L44" i="25"/>
  <c r="C16" i="17"/>
  <c r="C21" i="17" s="1"/>
  <c r="C29" i="17" s="1"/>
  <c r="C31" i="17" s="1"/>
  <c r="C33" i="17" s="1"/>
  <c r="C84" i="25"/>
  <c r="I92" i="9"/>
  <c r="H54" i="25"/>
  <c r="H73" i="25" s="1"/>
  <c r="H16" i="26" s="1"/>
  <c r="J7" i="19"/>
  <c r="J16" i="19" s="1"/>
  <c r="J12" i="22"/>
  <c r="J8" i="22" s="1"/>
  <c r="C7" i="20"/>
  <c r="C16" i="20" s="1"/>
  <c r="C21" i="20" s="1"/>
  <c r="C29" i="20" s="1"/>
  <c r="C10" i="23"/>
  <c r="B10" i="23" s="1"/>
  <c r="E8" i="23"/>
  <c r="E21" i="23" s="1"/>
  <c r="E49" i="23" s="1"/>
  <c r="B16" i="23"/>
  <c r="J7" i="20"/>
  <c r="J16" i="20" s="1"/>
  <c r="J12" i="23"/>
  <c r="J8" i="23" s="1"/>
  <c r="C7" i="19"/>
  <c r="C16" i="19" s="1"/>
  <c r="C21" i="19" s="1"/>
  <c r="C29" i="19" s="1"/>
  <c r="C31" i="19" s="1"/>
  <c r="C10" i="22"/>
  <c r="G21" i="12"/>
  <c r="G29" i="12" s="1"/>
  <c r="G31" i="12" s="1"/>
  <c r="G33" i="12" s="1"/>
  <c r="G18" i="18"/>
  <c r="H18" i="12"/>
  <c r="G21" i="13"/>
  <c r="G29" i="13" s="1"/>
  <c r="G31" i="13" s="1"/>
  <c r="G33" i="13" s="1"/>
  <c r="H18" i="13"/>
  <c r="G18" i="19"/>
  <c r="G18" i="14"/>
  <c r="F18" i="20"/>
  <c r="F21" i="20" s="1"/>
  <c r="F29" i="20" s="1"/>
  <c r="F21" i="14"/>
  <c r="F29" i="14" s="1"/>
  <c r="F31" i="14" s="1"/>
  <c r="F33" i="14" s="1"/>
  <c r="L12" i="8"/>
  <c r="K7" i="8"/>
  <c r="K16" i="8" s="1"/>
  <c r="K21" i="8" s="1"/>
  <c r="K29" i="8" s="1"/>
  <c r="K31" i="8" s="1"/>
  <c r="K33" i="8" s="1"/>
  <c r="L12" i="10"/>
  <c r="L35" i="10" s="1"/>
  <c r="L69" i="25" s="1"/>
  <c r="L76" i="25" s="1"/>
  <c r="K12" i="19"/>
  <c r="K7" i="10"/>
  <c r="K16" i="10" s="1"/>
  <c r="K21" i="10" s="1"/>
  <c r="K29" i="10" s="1"/>
  <c r="K31" i="10" s="1"/>
  <c r="K33" i="10" s="1"/>
  <c r="L12" i="11"/>
  <c r="L35" i="11" s="1"/>
  <c r="L109" i="25" s="1"/>
  <c r="L116" i="25" s="1"/>
  <c r="K12" i="20"/>
  <c r="K7" i="11"/>
  <c r="K16" i="11" s="1"/>
  <c r="K21" i="11" s="1"/>
  <c r="K29" i="11" s="1"/>
  <c r="K31" i="11" s="1"/>
  <c r="K33" i="11" s="1"/>
  <c r="C10" i="21"/>
  <c r="B10" i="21" s="1"/>
  <c r="C7" i="18"/>
  <c r="C16" i="18" s="1"/>
  <c r="C21" i="18" s="1"/>
  <c r="C29" i="18" s="1"/>
  <c r="C31" i="18" s="1"/>
  <c r="N11" i="17"/>
  <c r="M7" i="17"/>
  <c r="N11" i="16"/>
  <c r="N11" i="19" s="1"/>
  <c r="M7" i="16"/>
  <c r="B11" i="22" l="1"/>
  <c r="N11" i="22"/>
  <c r="L35" i="8"/>
  <c r="L30" i="25" s="1"/>
  <c r="L37" i="25" s="1"/>
  <c r="L36" i="24" s="1"/>
  <c r="L33" i="24" s="1"/>
  <c r="G21" i="22"/>
  <c r="G49" i="22" s="1"/>
  <c r="G21" i="19"/>
  <c r="G29" i="19" s="1"/>
  <c r="G31" i="19" s="1"/>
  <c r="G33" i="19" s="1"/>
  <c r="D21" i="22"/>
  <c r="D49" i="22" s="1"/>
  <c r="I16" i="24"/>
  <c r="C31" i="20"/>
  <c r="C33" i="20" s="1"/>
  <c r="C28" i="27"/>
  <c r="C33" i="18"/>
  <c r="C28" i="24"/>
  <c r="C33" i="19"/>
  <c r="C28" i="26"/>
  <c r="F31" i="20"/>
  <c r="F33" i="20" s="1"/>
  <c r="F28" i="27"/>
  <c r="G28" i="26"/>
  <c r="M11" i="11"/>
  <c r="L11" i="20"/>
  <c r="L11" i="23" s="1"/>
  <c r="M17" i="8"/>
  <c r="L17" i="18"/>
  <c r="L17" i="21" s="1"/>
  <c r="M17" i="10"/>
  <c r="L17" i="19"/>
  <c r="L17" i="22" s="1"/>
  <c r="L36" i="26"/>
  <c r="L36" i="27"/>
  <c r="L33" i="27" s="1"/>
  <c r="M17" i="11"/>
  <c r="L17" i="20"/>
  <c r="L17" i="23" s="1"/>
  <c r="H17" i="27"/>
  <c r="H117" i="25"/>
  <c r="H118" i="25" s="1"/>
  <c r="H20" i="23" s="1"/>
  <c r="H21" i="23" s="1"/>
  <c r="H49" i="23" s="1"/>
  <c r="J93" i="9"/>
  <c r="I94" i="25"/>
  <c r="I113" i="25" s="1"/>
  <c r="I16" i="27" s="1"/>
  <c r="N11" i="15"/>
  <c r="M11" i="18"/>
  <c r="M11" i="21" s="1"/>
  <c r="I38" i="25"/>
  <c r="I39" i="25" s="1"/>
  <c r="I20" i="21" s="1"/>
  <c r="I17" i="24"/>
  <c r="H77" i="25"/>
  <c r="H78" i="25" s="1"/>
  <c r="H20" i="22" s="1"/>
  <c r="H21" i="22" s="1"/>
  <c r="H49" i="22" s="1"/>
  <c r="H17" i="26"/>
  <c r="M16" i="17"/>
  <c r="M21" i="17" s="1"/>
  <c r="M29" i="17" s="1"/>
  <c r="M31" i="17" s="1"/>
  <c r="M33" i="17" s="1"/>
  <c r="M84" i="25"/>
  <c r="J92" i="9"/>
  <c r="I54" i="25"/>
  <c r="I73" i="25" s="1"/>
  <c r="I16" i="26" s="1"/>
  <c r="K91" i="9"/>
  <c r="J15" i="25"/>
  <c r="J34" i="25" s="1"/>
  <c r="M16" i="16"/>
  <c r="M21" i="16" s="1"/>
  <c r="M29" i="16" s="1"/>
  <c r="M31" i="16" s="1"/>
  <c r="M33" i="16" s="1"/>
  <c r="M44" i="25"/>
  <c r="K7" i="19"/>
  <c r="K16" i="19" s="1"/>
  <c r="K12" i="22"/>
  <c r="K8" i="22" s="1"/>
  <c r="K7" i="20"/>
  <c r="K16" i="20" s="1"/>
  <c r="K12" i="23"/>
  <c r="K8" i="23" s="1"/>
  <c r="B10" i="22"/>
  <c r="G18" i="20"/>
  <c r="G21" i="20" s="1"/>
  <c r="G29" i="20" s="1"/>
  <c r="H18" i="14"/>
  <c r="G21" i="14"/>
  <c r="G29" i="14" s="1"/>
  <c r="G31" i="14" s="1"/>
  <c r="G33" i="14" s="1"/>
  <c r="I18" i="12"/>
  <c r="H18" i="18"/>
  <c r="H21" i="12"/>
  <c r="H29" i="12" s="1"/>
  <c r="H31" i="12" s="1"/>
  <c r="H33" i="12" s="1"/>
  <c r="H18" i="19"/>
  <c r="H21" i="19" s="1"/>
  <c r="H29" i="19" s="1"/>
  <c r="H31" i="19" s="1"/>
  <c r="H21" i="13"/>
  <c r="H29" i="13" s="1"/>
  <c r="H31" i="13" s="1"/>
  <c r="H33" i="13" s="1"/>
  <c r="I18" i="13"/>
  <c r="M12" i="11"/>
  <c r="L12" i="20"/>
  <c r="L7" i="11"/>
  <c r="L16" i="11" s="1"/>
  <c r="L21" i="11" s="1"/>
  <c r="L29" i="11" s="1"/>
  <c r="L31" i="11" s="1"/>
  <c r="L33" i="11" s="1"/>
  <c r="M12" i="8"/>
  <c r="M35" i="8" s="1"/>
  <c r="M30" i="25" s="1"/>
  <c r="M37" i="25" s="1"/>
  <c r="L7" i="8"/>
  <c r="L16" i="8" s="1"/>
  <c r="L21" i="8" s="1"/>
  <c r="L29" i="8" s="1"/>
  <c r="L31" i="8" s="1"/>
  <c r="L33" i="8" s="1"/>
  <c r="M12" i="10"/>
  <c r="L12" i="19"/>
  <c r="L7" i="10"/>
  <c r="L16" i="10" s="1"/>
  <c r="L21" i="10" s="1"/>
  <c r="L29" i="10" s="1"/>
  <c r="L31" i="10" s="1"/>
  <c r="L33" i="10" s="1"/>
  <c r="B11" i="17"/>
  <c r="N7" i="17"/>
  <c r="N7" i="16"/>
  <c r="B11" i="16"/>
  <c r="M35" i="10" l="1"/>
  <c r="M69" i="25" s="1"/>
  <c r="M76" i="25" s="1"/>
  <c r="M35" i="11"/>
  <c r="M109" i="25" s="1"/>
  <c r="M116" i="25" s="1"/>
  <c r="J16" i="24"/>
  <c r="H33" i="19"/>
  <c r="H28" i="26"/>
  <c r="D27" i="26"/>
  <c r="C23" i="26"/>
  <c r="D27" i="27"/>
  <c r="C23" i="27"/>
  <c r="C40" i="27" s="1"/>
  <c r="G31" i="20"/>
  <c r="G33" i="20" s="1"/>
  <c r="G28" i="27"/>
  <c r="D27" i="24"/>
  <c r="C23" i="24"/>
  <c r="C40" i="24" s="1"/>
  <c r="N11" i="11"/>
  <c r="M11" i="20"/>
  <c r="M11" i="23" s="1"/>
  <c r="N17" i="11"/>
  <c r="M17" i="20"/>
  <c r="M17" i="23" s="1"/>
  <c r="M36" i="27"/>
  <c r="M33" i="27" s="1"/>
  <c r="N17" i="10"/>
  <c r="M17" i="19"/>
  <c r="M17" i="22" s="1"/>
  <c r="M36" i="26"/>
  <c r="M36" i="24"/>
  <c r="M33" i="24" s="1"/>
  <c r="N17" i="8"/>
  <c r="B17" i="8" s="1"/>
  <c r="B17" i="18" s="1"/>
  <c r="M17" i="18"/>
  <c r="M17" i="21" s="1"/>
  <c r="J94" i="25"/>
  <c r="J113" i="25" s="1"/>
  <c r="J16" i="27" s="1"/>
  <c r="K93" i="9"/>
  <c r="I17" i="27"/>
  <c r="I117" i="25"/>
  <c r="I118" i="25" s="1"/>
  <c r="I20" i="23" s="1"/>
  <c r="B7" i="17"/>
  <c r="B16" i="17" s="1"/>
  <c r="B21" i="17" s="1"/>
  <c r="B29" i="17" s="1"/>
  <c r="B30" i="17" s="1"/>
  <c r="C15" i="23" s="1"/>
  <c r="N11" i="18"/>
  <c r="B11" i="15"/>
  <c r="B11" i="18" s="1"/>
  <c r="B7" i="16"/>
  <c r="B44" i="25" s="1"/>
  <c r="B11" i="19"/>
  <c r="J38" i="25"/>
  <c r="J39" i="25" s="1"/>
  <c r="J20" i="21" s="1"/>
  <c r="J17" i="24"/>
  <c r="I77" i="25"/>
  <c r="I78" i="25" s="1"/>
  <c r="I20" i="22" s="1"/>
  <c r="I17" i="26"/>
  <c r="K92" i="9"/>
  <c r="J54" i="25"/>
  <c r="J73" i="25" s="1"/>
  <c r="J16" i="26" s="1"/>
  <c r="N16" i="16"/>
  <c r="N21" i="16" s="1"/>
  <c r="N29" i="16" s="1"/>
  <c r="N31" i="16" s="1"/>
  <c r="N33" i="16" s="1"/>
  <c r="N44" i="25"/>
  <c r="N16" i="17"/>
  <c r="N21" i="17" s="1"/>
  <c r="N29" i="17" s="1"/>
  <c r="N31" i="17" s="1"/>
  <c r="N33" i="17" s="1"/>
  <c r="N84" i="25"/>
  <c r="L91" i="9"/>
  <c r="K15" i="25"/>
  <c r="K34" i="25" s="1"/>
  <c r="L7" i="20"/>
  <c r="L16" i="20" s="1"/>
  <c r="L12" i="23"/>
  <c r="L7" i="19"/>
  <c r="L16" i="19" s="1"/>
  <c r="L12" i="22"/>
  <c r="H18" i="20"/>
  <c r="H21" i="20" s="1"/>
  <c r="H29" i="20" s="1"/>
  <c r="H21" i="14"/>
  <c r="H29" i="14" s="1"/>
  <c r="H31" i="14" s="1"/>
  <c r="H33" i="14" s="1"/>
  <c r="I18" i="14"/>
  <c r="J18" i="13"/>
  <c r="I21" i="13"/>
  <c r="I29" i="13" s="1"/>
  <c r="I31" i="13" s="1"/>
  <c r="I33" i="13" s="1"/>
  <c r="I18" i="19"/>
  <c r="I21" i="19" s="1"/>
  <c r="I29" i="19" s="1"/>
  <c r="I31" i="19" s="1"/>
  <c r="I21" i="12"/>
  <c r="I29" i="12" s="1"/>
  <c r="I31" i="12" s="1"/>
  <c r="I33" i="12" s="1"/>
  <c r="J18" i="12"/>
  <c r="I18" i="18"/>
  <c r="N12" i="10"/>
  <c r="M12" i="19"/>
  <c r="M7" i="10"/>
  <c r="M16" i="10" s="1"/>
  <c r="M21" i="10" s="1"/>
  <c r="M29" i="10" s="1"/>
  <c r="M31" i="10" s="1"/>
  <c r="M33" i="10" s="1"/>
  <c r="N12" i="11"/>
  <c r="N35" i="11" s="1"/>
  <c r="N109" i="25" s="1"/>
  <c r="N116" i="25" s="1"/>
  <c r="M12" i="20"/>
  <c r="M7" i="11"/>
  <c r="M16" i="11" s="1"/>
  <c r="M21" i="11" s="1"/>
  <c r="M29" i="11" s="1"/>
  <c r="M31" i="11" s="1"/>
  <c r="M33" i="11" s="1"/>
  <c r="N12" i="8"/>
  <c r="M7" i="8"/>
  <c r="M16" i="8" s="1"/>
  <c r="M21" i="8" s="1"/>
  <c r="M29" i="8" s="1"/>
  <c r="M31" i="8" s="1"/>
  <c r="M33" i="8" s="1"/>
  <c r="B11" i="21" l="1"/>
  <c r="N11" i="21"/>
  <c r="N35" i="8"/>
  <c r="N30" i="25" s="1"/>
  <c r="N37" i="25" s="1"/>
  <c r="N35" i="10"/>
  <c r="N69" i="25" s="1"/>
  <c r="N76" i="25" s="1"/>
  <c r="K16" i="24"/>
  <c r="H31" i="20"/>
  <c r="H33" i="20" s="1"/>
  <c r="H28" i="27"/>
  <c r="D23" i="26"/>
  <c r="E27" i="26"/>
  <c r="I33" i="19"/>
  <c r="I28" i="26"/>
  <c r="D23" i="27"/>
  <c r="D40" i="27" s="1"/>
  <c r="E27" i="27"/>
  <c r="B11" i="11"/>
  <c r="B11" i="20" s="1"/>
  <c r="N11" i="20"/>
  <c r="N17" i="18"/>
  <c r="N17" i="21" s="1"/>
  <c r="N36" i="24"/>
  <c r="N33" i="24" s="1"/>
  <c r="N17" i="19"/>
  <c r="N17" i="22" s="1"/>
  <c r="B17" i="22" s="1"/>
  <c r="N36" i="26"/>
  <c r="B17" i="10"/>
  <c r="B17" i="19" s="1"/>
  <c r="N17" i="20"/>
  <c r="N17" i="23" s="1"/>
  <c r="B17" i="23" s="1"/>
  <c r="N36" i="27"/>
  <c r="N33" i="27" s="1"/>
  <c r="B17" i="11"/>
  <c r="B17" i="20" s="1"/>
  <c r="B17" i="21"/>
  <c r="B16" i="16"/>
  <c r="B21" i="16" s="1"/>
  <c r="B29" i="16" s="1"/>
  <c r="B30" i="16" s="1"/>
  <c r="C15" i="22" s="1"/>
  <c r="C8" i="22" s="1"/>
  <c r="C21" i="22" s="1"/>
  <c r="C49" i="22" s="1"/>
  <c r="C52" i="22" s="1"/>
  <c r="L93" i="9"/>
  <c r="K94" i="25"/>
  <c r="K113" i="25" s="1"/>
  <c r="K16" i="27" s="1"/>
  <c r="J17" i="27"/>
  <c r="J117" i="25"/>
  <c r="J118" i="25" s="1"/>
  <c r="J20" i="23" s="1"/>
  <c r="J21" i="23" s="1"/>
  <c r="J49" i="23" s="1"/>
  <c r="B84" i="25"/>
  <c r="K38" i="25"/>
  <c r="K39" i="25" s="1"/>
  <c r="K20" i="21" s="1"/>
  <c r="K17" i="24"/>
  <c r="J77" i="25"/>
  <c r="J78" i="25" s="1"/>
  <c r="J20" i="22" s="1"/>
  <c r="J21" i="22" s="1"/>
  <c r="J49" i="22" s="1"/>
  <c r="J17" i="26"/>
  <c r="L92" i="9"/>
  <c r="K54" i="25"/>
  <c r="K73" i="25" s="1"/>
  <c r="K16" i="26" s="1"/>
  <c r="M91" i="9"/>
  <c r="L15" i="25"/>
  <c r="L34" i="25" s="1"/>
  <c r="M7" i="19"/>
  <c r="M16" i="19" s="1"/>
  <c r="M12" i="22"/>
  <c r="M8" i="22" s="1"/>
  <c r="M7" i="20"/>
  <c r="M16" i="20" s="1"/>
  <c r="M12" i="23"/>
  <c r="M8" i="23" s="1"/>
  <c r="F15" i="23"/>
  <c r="C8" i="23"/>
  <c r="C21" i="23" s="1"/>
  <c r="C49" i="23" s="1"/>
  <c r="C52" i="23" s="1"/>
  <c r="K18" i="13"/>
  <c r="J18" i="19"/>
  <c r="J21" i="19" s="1"/>
  <c r="J29" i="19" s="1"/>
  <c r="J31" i="19" s="1"/>
  <c r="J21" i="13"/>
  <c r="J29" i="13" s="1"/>
  <c r="J31" i="13" s="1"/>
  <c r="J33" i="13" s="1"/>
  <c r="I21" i="14"/>
  <c r="I29" i="14" s="1"/>
  <c r="I31" i="14" s="1"/>
  <c r="I33" i="14" s="1"/>
  <c r="I18" i="20"/>
  <c r="I21" i="20" s="1"/>
  <c r="I29" i="20" s="1"/>
  <c r="J18" i="14"/>
  <c r="J21" i="12"/>
  <c r="J29" i="12" s="1"/>
  <c r="J31" i="12" s="1"/>
  <c r="J33" i="12" s="1"/>
  <c r="K18" i="12"/>
  <c r="J18" i="18"/>
  <c r="N12" i="20"/>
  <c r="B12" i="11"/>
  <c r="N7" i="11"/>
  <c r="N16" i="11" s="1"/>
  <c r="N21" i="11" s="1"/>
  <c r="N29" i="11" s="1"/>
  <c r="N31" i="11" s="1"/>
  <c r="N33" i="11" s="1"/>
  <c r="N7" i="8"/>
  <c r="N16" i="8" s="1"/>
  <c r="N21" i="8" s="1"/>
  <c r="N29" i="8" s="1"/>
  <c r="N31" i="8" s="1"/>
  <c r="N33" i="8" s="1"/>
  <c r="B12" i="8"/>
  <c r="N12" i="19"/>
  <c r="N7" i="10"/>
  <c r="N16" i="10" s="1"/>
  <c r="N21" i="10" s="1"/>
  <c r="N29" i="10" s="1"/>
  <c r="N31" i="10" s="1"/>
  <c r="N33" i="10" s="1"/>
  <c r="B12" i="10"/>
  <c r="B31" i="17"/>
  <c r="B32" i="17" s="1"/>
  <c r="B11" i="23" l="1"/>
  <c r="N11" i="23"/>
  <c r="D51" i="22"/>
  <c r="D52" i="22" s="1"/>
  <c r="C18" i="26"/>
  <c r="D51" i="23"/>
  <c r="D52" i="23" s="1"/>
  <c r="C18" i="27"/>
  <c r="C12" i="27" s="1"/>
  <c r="C21" i="27" s="1"/>
  <c r="C41" i="27" s="1"/>
  <c r="L16" i="24"/>
  <c r="F27" i="26"/>
  <c r="E23" i="26"/>
  <c r="I31" i="20"/>
  <c r="I33" i="20" s="1"/>
  <c r="I28" i="27"/>
  <c r="J33" i="19"/>
  <c r="J28" i="26"/>
  <c r="F27" i="27"/>
  <c r="E23" i="27"/>
  <c r="E40" i="27" s="1"/>
  <c r="F15" i="22"/>
  <c r="F8" i="22" s="1"/>
  <c r="F21" i="22" s="1"/>
  <c r="F49" i="22" s="1"/>
  <c r="B31" i="16"/>
  <c r="B32" i="16" s="1"/>
  <c r="M93" i="9"/>
  <c r="L94" i="25"/>
  <c r="L113" i="25" s="1"/>
  <c r="L16" i="27" s="1"/>
  <c r="K17" i="27"/>
  <c r="K117" i="25"/>
  <c r="K118" i="25" s="1"/>
  <c r="K20" i="23" s="1"/>
  <c r="K21" i="23" s="1"/>
  <c r="K49" i="23" s="1"/>
  <c r="L38" i="25"/>
  <c r="L39" i="25" s="1"/>
  <c r="L20" i="21" s="1"/>
  <c r="L17" i="24"/>
  <c r="K77" i="25"/>
  <c r="K78" i="25" s="1"/>
  <c r="K20" i="22" s="1"/>
  <c r="K21" i="22" s="1"/>
  <c r="K49" i="22" s="1"/>
  <c r="K17" i="26"/>
  <c r="M92" i="9"/>
  <c r="L54" i="25"/>
  <c r="L73" i="25" s="1"/>
  <c r="L16" i="26" s="1"/>
  <c r="N91" i="9"/>
  <c r="N15" i="25" s="1"/>
  <c r="N34" i="25" s="1"/>
  <c r="M15" i="25"/>
  <c r="M34" i="25" s="1"/>
  <c r="N7" i="19"/>
  <c r="N16" i="19" s="1"/>
  <c r="N12" i="22"/>
  <c r="B12" i="22" s="1"/>
  <c r="N7" i="20"/>
  <c r="N16" i="20" s="1"/>
  <c r="N12" i="23"/>
  <c r="B12" i="23" s="1"/>
  <c r="I15" i="23"/>
  <c r="F8" i="23"/>
  <c r="F21" i="23" s="1"/>
  <c r="F49" i="23" s="1"/>
  <c r="K21" i="12"/>
  <c r="K29" i="12" s="1"/>
  <c r="K31" i="12" s="1"/>
  <c r="K33" i="12" s="1"/>
  <c r="L18" i="12"/>
  <c r="K18" i="18"/>
  <c r="J21" i="14"/>
  <c r="J29" i="14" s="1"/>
  <c r="J31" i="14" s="1"/>
  <c r="J33" i="14" s="1"/>
  <c r="K18" i="14"/>
  <c r="J18" i="20"/>
  <c r="J21" i="20" s="1"/>
  <c r="J29" i="20" s="1"/>
  <c r="L18" i="13"/>
  <c r="K21" i="13"/>
  <c r="K29" i="13" s="1"/>
  <c r="K31" i="13" s="1"/>
  <c r="K33" i="13" s="1"/>
  <c r="K18" i="19"/>
  <c r="K21" i="19" s="1"/>
  <c r="K29" i="19" s="1"/>
  <c r="K31" i="19" s="1"/>
  <c r="B12" i="19"/>
  <c r="B7" i="19" s="1"/>
  <c r="B16" i="19" s="1"/>
  <c r="B21" i="19" s="1"/>
  <c r="B29" i="19" s="1"/>
  <c r="B7" i="10"/>
  <c r="B16" i="10" s="1"/>
  <c r="B21" i="10" s="1"/>
  <c r="B29" i="10" s="1"/>
  <c r="B30" i="10" s="1"/>
  <c r="B7" i="8"/>
  <c r="B16" i="8" s="1"/>
  <c r="B21" i="8" s="1"/>
  <c r="B29" i="8" s="1"/>
  <c r="B30" i="8" s="1"/>
  <c r="B12" i="20"/>
  <c r="B7" i="20" s="1"/>
  <c r="B16" i="20" s="1"/>
  <c r="B21" i="20" s="1"/>
  <c r="B29" i="20" s="1"/>
  <c r="B7" i="11"/>
  <c r="B16" i="11" s="1"/>
  <c r="B21" i="11" s="1"/>
  <c r="B29" i="11" s="1"/>
  <c r="B30" i="11" s="1"/>
  <c r="B33" i="17"/>
  <c r="I15" i="22" l="1"/>
  <c r="E51" i="22"/>
  <c r="E52" i="22" s="1"/>
  <c r="D18" i="26"/>
  <c r="E51" i="23"/>
  <c r="E52" i="23" s="1"/>
  <c r="D18" i="27"/>
  <c r="D12" i="27" s="1"/>
  <c r="D21" i="27" s="1"/>
  <c r="D41" i="27" s="1"/>
  <c r="M16" i="24"/>
  <c r="N16" i="24"/>
  <c r="K33" i="19"/>
  <c r="K28" i="26"/>
  <c r="J31" i="20"/>
  <c r="J33" i="20" s="1"/>
  <c r="J28" i="27"/>
  <c r="G27" i="27"/>
  <c r="F23" i="27"/>
  <c r="F40" i="27" s="1"/>
  <c r="G27" i="26"/>
  <c r="F23" i="26"/>
  <c r="B33" i="16"/>
  <c r="N93" i="9"/>
  <c r="N94" i="25" s="1"/>
  <c r="N113" i="25" s="1"/>
  <c r="N16" i="27" s="1"/>
  <c r="M94" i="25"/>
  <c r="M113" i="25" s="1"/>
  <c r="M16" i="27" s="1"/>
  <c r="N38" i="25"/>
  <c r="N17" i="24"/>
  <c r="L17" i="27"/>
  <c r="L117" i="25"/>
  <c r="L118" i="25" s="1"/>
  <c r="L20" i="23" s="1"/>
  <c r="M38" i="25"/>
  <c r="M39" i="25" s="1"/>
  <c r="M20" i="21" s="1"/>
  <c r="M17" i="24"/>
  <c r="L77" i="25"/>
  <c r="L78" i="25" s="1"/>
  <c r="L20" i="22" s="1"/>
  <c r="L17" i="26"/>
  <c r="N92" i="9"/>
  <c r="N54" i="25" s="1"/>
  <c r="N73" i="25" s="1"/>
  <c r="N16" i="26" s="1"/>
  <c r="M54" i="25"/>
  <c r="M73" i="25" s="1"/>
  <c r="M16" i="26" s="1"/>
  <c r="L15" i="23"/>
  <c r="L8" i="23" s="1"/>
  <c r="I8" i="23"/>
  <c r="I21" i="23" s="1"/>
  <c r="I49" i="23" s="1"/>
  <c r="L15" i="22"/>
  <c r="L8" i="22" s="1"/>
  <c r="I8" i="22"/>
  <c r="I21" i="22" s="1"/>
  <c r="I49" i="22" s="1"/>
  <c r="L21" i="12"/>
  <c r="L29" i="12" s="1"/>
  <c r="L31" i="12" s="1"/>
  <c r="L33" i="12" s="1"/>
  <c r="M18" i="12"/>
  <c r="L18" i="18"/>
  <c r="L18" i="19"/>
  <c r="L21" i="19" s="1"/>
  <c r="L29" i="19" s="1"/>
  <c r="L31" i="19" s="1"/>
  <c r="M18" i="13"/>
  <c r="L21" i="13"/>
  <c r="L29" i="13" s="1"/>
  <c r="L31" i="13" s="1"/>
  <c r="L33" i="13" s="1"/>
  <c r="L18" i="14"/>
  <c r="K21" i="14"/>
  <c r="K29" i="14" s="1"/>
  <c r="K31" i="14" s="1"/>
  <c r="K33" i="14" s="1"/>
  <c r="K18" i="20"/>
  <c r="K21" i="20" s="1"/>
  <c r="K29" i="20" s="1"/>
  <c r="B31" i="10"/>
  <c r="F51" i="22" l="1"/>
  <c r="F52" i="22" s="1"/>
  <c r="E18" i="26"/>
  <c r="F51" i="23"/>
  <c r="F52" i="23" s="1"/>
  <c r="E18" i="27"/>
  <c r="E12" i="27" s="1"/>
  <c r="E21" i="27" s="1"/>
  <c r="E41" i="27" s="1"/>
  <c r="B7" i="21"/>
  <c r="H27" i="27"/>
  <c r="G23" i="27"/>
  <c r="G40" i="27" s="1"/>
  <c r="K31" i="20"/>
  <c r="K33" i="20" s="1"/>
  <c r="K28" i="27"/>
  <c r="L33" i="19"/>
  <c r="L28" i="26"/>
  <c r="H27" i="26"/>
  <c r="G23" i="26"/>
  <c r="L21" i="23"/>
  <c r="L49" i="23" s="1"/>
  <c r="N17" i="27"/>
  <c r="N117" i="25"/>
  <c r="N77" i="25"/>
  <c r="N17" i="26"/>
  <c r="M17" i="27"/>
  <c r="M117" i="25"/>
  <c r="M118" i="25" s="1"/>
  <c r="M20" i="23" s="1"/>
  <c r="M21" i="23" s="1"/>
  <c r="M49" i="23" s="1"/>
  <c r="N39" i="25"/>
  <c r="N20" i="21" s="1"/>
  <c r="B20" i="21" s="1"/>
  <c r="M77" i="25"/>
  <c r="M78" i="25" s="1"/>
  <c r="M20" i="22" s="1"/>
  <c r="M21" i="22" s="1"/>
  <c r="M49" i="22" s="1"/>
  <c r="M17" i="26"/>
  <c r="L21" i="22"/>
  <c r="L49" i="22" s="1"/>
  <c r="B30" i="20"/>
  <c r="B31" i="20" s="1"/>
  <c r="B53" i="28" s="1"/>
  <c r="N15" i="23"/>
  <c r="B15" i="23" s="1"/>
  <c r="B31" i="8"/>
  <c r="B32" i="8" s="1"/>
  <c r="B33" i="8" s="1"/>
  <c r="N15" i="21"/>
  <c r="B30" i="19"/>
  <c r="B31" i="19" s="1"/>
  <c r="B48" i="28" s="1"/>
  <c r="N15" i="22"/>
  <c r="B15" i="22" s="1"/>
  <c r="L18" i="20"/>
  <c r="L21" i="20" s="1"/>
  <c r="L29" i="20" s="1"/>
  <c r="M18" i="14"/>
  <c r="L21" i="14"/>
  <c r="L29" i="14" s="1"/>
  <c r="L31" i="14" s="1"/>
  <c r="L33" i="14" s="1"/>
  <c r="N18" i="12"/>
  <c r="M21" i="12"/>
  <c r="M29" i="12" s="1"/>
  <c r="M31" i="12" s="1"/>
  <c r="M33" i="12" s="1"/>
  <c r="M18" i="18"/>
  <c r="M18" i="19"/>
  <c r="M21" i="19" s="1"/>
  <c r="M29" i="19" s="1"/>
  <c r="M31" i="19" s="1"/>
  <c r="N18" i="13"/>
  <c r="M21" i="13"/>
  <c r="M29" i="13" s="1"/>
  <c r="M31" i="13" s="1"/>
  <c r="M33" i="13" s="1"/>
  <c r="B31" i="11"/>
  <c r="B32" i="11" s="1"/>
  <c r="B32" i="20" s="1"/>
  <c r="B54" i="28" s="1"/>
  <c r="B32" i="10"/>
  <c r="B32" i="19" s="1"/>
  <c r="B49" i="28" s="1"/>
  <c r="B51" i="28" s="1"/>
  <c r="B50" i="28" l="1"/>
  <c r="B55" i="28"/>
  <c r="B56" i="28"/>
  <c r="G51" i="22"/>
  <c r="G52" i="22" s="1"/>
  <c r="F18" i="26"/>
  <c r="G51" i="23"/>
  <c r="G52" i="23" s="1"/>
  <c r="F18" i="27"/>
  <c r="F12" i="27" s="1"/>
  <c r="F21" i="27" s="1"/>
  <c r="F41" i="27" s="1"/>
  <c r="B35" i="20"/>
  <c r="B35" i="19"/>
  <c r="I27" i="27"/>
  <c r="H23" i="27"/>
  <c r="H40" i="27" s="1"/>
  <c r="L31" i="20"/>
  <c r="L33" i="20" s="1"/>
  <c r="L28" i="27"/>
  <c r="I27" i="26"/>
  <c r="H23" i="26"/>
  <c r="M33" i="19"/>
  <c r="M28" i="26"/>
  <c r="N78" i="25"/>
  <c r="N20" i="22" s="1"/>
  <c r="B20" i="22" s="1"/>
  <c r="N118" i="25"/>
  <c r="N20" i="23" s="1"/>
  <c r="B20" i="23" s="1"/>
  <c r="B33" i="20"/>
  <c r="N19" i="23"/>
  <c r="B33" i="19"/>
  <c r="N19" i="22"/>
  <c r="B19" i="22" s="1"/>
  <c r="B8" i="22" s="1"/>
  <c r="M18" i="20"/>
  <c r="M21" i="20" s="1"/>
  <c r="M29" i="20" s="1"/>
  <c r="M21" i="14"/>
  <c r="M29" i="14" s="1"/>
  <c r="M31" i="14" s="1"/>
  <c r="M33" i="14" s="1"/>
  <c r="N18" i="14"/>
  <c r="B33" i="10"/>
  <c r="N21" i="13"/>
  <c r="N29" i="13" s="1"/>
  <c r="N31" i="13" s="1"/>
  <c r="N33" i="13" s="1"/>
  <c r="N18" i="19"/>
  <c r="N21" i="19" s="1"/>
  <c r="N29" i="19" s="1"/>
  <c r="N31" i="19" s="1"/>
  <c r="N18" i="18"/>
  <c r="N21" i="12"/>
  <c r="N29" i="12" s="1"/>
  <c r="N31" i="12" s="1"/>
  <c r="N33" i="12" s="1"/>
  <c r="B33" i="11"/>
  <c r="H51" i="22" l="1"/>
  <c r="G18" i="26"/>
  <c r="H51" i="23"/>
  <c r="H52" i="23" s="1"/>
  <c r="G18" i="27"/>
  <c r="G12" i="27" s="1"/>
  <c r="G21" i="27" s="1"/>
  <c r="G41" i="27" s="1"/>
  <c r="H52" i="22"/>
  <c r="N33" i="19"/>
  <c r="N28" i="26"/>
  <c r="J27" i="26"/>
  <c r="I23" i="26"/>
  <c r="J27" i="27"/>
  <c r="I23" i="27"/>
  <c r="I40" i="27" s="1"/>
  <c r="M31" i="20"/>
  <c r="M33" i="20" s="1"/>
  <c r="M28" i="27"/>
  <c r="B21" i="22"/>
  <c r="B49" i="22" s="1"/>
  <c r="B19" i="23"/>
  <c r="B8" i="23" s="1"/>
  <c r="B21" i="23" s="1"/>
  <c r="B49" i="23" s="1"/>
  <c r="N8" i="23"/>
  <c r="N21" i="23" s="1"/>
  <c r="N49" i="23" s="1"/>
  <c r="N8" i="22"/>
  <c r="N21" i="22" s="1"/>
  <c r="N49" i="22" s="1"/>
  <c r="N18" i="20"/>
  <c r="N21" i="20" s="1"/>
  <c r="N29" i="20" s="1"/>
  <c r="N21" i="14"/>
  <c r="N29" i="14" s="1"/>
  <c r="N31" i="14" s="1"/>
  <c r="N33" i="14" s="1"/>
  <c r="C7" i="15"/>
  <c r="D12" i="15"/>
  <c r="I51" i="22" l="1"/>
  <c r="H18" i="26"/>
  <c r="I51" i="23"/>
  <c r="I52" i="23" s="1"/>
  <c r="H18" i="27"/>
  <c r="H12" i="27" s="1"/>
  <c r="H21" i="27" s="1"/>
  <c r="H41" i="27" s="1"/>
  <c r="I52" i="22"/>
  <c r="N31" i="20"/>
  <c r="N33" i="20" s="1"/>
  <c r="N28" i="27"/>
  <c r="K27" i="27"/>
  <c r="J23" i="27"/>
  <c r="J40" i="27" s="1"/>
  <c r="K27" i="26"/>
  <c r="J23" i="26"/>
  <c r="C16" i="15"/>
  <c r="C21" i="15" s="1"/>
  <c r="C29" i="15" s="1"/>
  <c r="C31" i="15" s="1"/>
  <c r="C33" i="15" s="1"/>
  <c r="C5" i="25"/>
  <c r="D7" i="15"/>
  <c r="D12" i="18"/>
  <c r="E12" i="15"/>
  <c r="E12" i="18" s="1"/>
  <c r="J51" i="22" l="1"/>
  <c r="I18" i="26"/>
  <c r="J51" i="23"/>
  <c r="J52" i="23" s="1"/>
  <c r="I18" i="27"/>
  <c r="I12" i="27" s="1"/>
  <c r="I21" i="27" s="1"/>
  <c r="I41" i="27" s="1"/>
  <c r="J52" i="22"/>
  <c r="L27" i="26"/>
  <c r="K23" i="26"/>
  <c r="L27" i="27"/>
  <c r="K23" i="27"/>
  <c r="K40" i="27" s="1"/>
  <c r="D16" i="15"/>
  <c r="D21" i="15" s="1"/>
  <c r="D29" i="15" s="1"/>
  <c r="D31" i="15" s="1"/>
  <c r="D33" i="15" s="1"/>
  <c r="D5" i="25"/>
  <c r="E12" i="21"/>
  <c r="E7" i="18"/>
  <c r="E16" i="18" s="1"/>
  <c r="E21" i="18" s="1"/>
  <c r="E29" i="18" s="1"/>
  <c r="E31" i="18" s="1"/>
  <c r="D12" i="21"/>
  <c r="D8" i="21" s="1"/>
  <c r="D21" i="21" s="1"/>
  <c r="D7" i="18"/>
  <c r="D16" i="18" s="1"/>
  <c r="D21" i="18" s="1"/>
  <c r="D29" i="18" s="1"/>
  <c r="D31" i="18" s="1"/>
  <c r="E7" i="15"/>
  <c r="F12" i="15"/>
  <c r="F12" i="18" s="1"/>
  <c r="K51" i="22" l="1"/>
  <c r="J18" i="26"/>
  <c r="K51" i="23"/>
  <c r="J18" i="27"/>
  <c r="J12" i="27" s="1"/>
  <c r="J21" i="27" s="1"/>
  <c r="J41" i="27" s="1"/>
  <c r="K52" i="22"/>
  <c r="E8" i="21"/>
  <c r="E21" i="21" s="1"/>
  <c r="E49" i="21" s="1"/>
  <c r="M27" i="26"/>
  <c r="L23" i="26"/>
  <c r="E33" i="18"/>
  <c r="E28" i="24"/>
  <c r="M27" i="27"/>
  <c r="L23" i="27"/>
  <c r="L40" i="27" s="1"/>
  <c r="D33" i="18"/>
  <c r="D28" i="24"/>
  <c r="K52" i="23"/>
  <c r="E16" i="15"/>
  <c r="E21" i="15" s="1"/>
  <c r="E29" i="15" s="1"/>
  <c r="E31" i="15" s="1"/>
  <c r="E33" i="15" s="1"/>
  <c r="E5" i="25"/>
  <c r="D49" i="21"/>
  <c r="F12" i="21"/>
  <c r="F7" i="18"/>
  <c r="F16" i="18" s="1"/>
  <c r="F21" i="18" s="1"/>
  <c r="F29" i="18" s="1"/>
  <c r="F31" i="18" s="1"/>
  <c r="G12" i="15"/>
  <c r="G12" i="18" s="1"/>
  <c r="F7" i="15"/>
  <c r="L51" i="22" l="1"/>
  <c r="K18" i="26"/>
  <c r="L51" i="23"/>
  <c r="L52" i="23" s="1"/>
  <c r="K18" i="27"/>
  <c r="K12" i="27" s="1"/>
  <c r="K21" i="27" s="1"/>
  <c r="K41" i="27" s="1"/>
  <c r="L52" i="22"/>
  <c r="F33" i="18"/>
  <c r="F28" i="24"/>
  <c r="N27" i="27"/>
  <c r="N23" i="27" s="1"/>
  <c r="N40" i="27" s="1"/>
  <c r="M23" i="27"/>
  <c r="M40" i="27" s="1"/>
  <c r="N27" i="26"/>
  <c r="N23" i="26" s="1"/>
  <c r="M23" i="26"/>
  <c r="E27" i="24"/>
  <c r="D23" i="24"/>
  <c r="D40" i="24" s="1"/>
  <c r="F16" i="15"/>
  <c r="F21" i="15" s="1"/>
  <c r="F29" i="15" s="1"/>
  <c r="F31" i="15" s="1"/>
  <c r="F33" i="15" s="1"/>
  <c r="F5" i="25"/>
  <c r="G12" i="21"/>
  <c r="G7" i="18"/>
  <c r="G16" i="18" s="1"/>
  <c r="G21" i="18" s="1"/>
  <c r="G29" i="18" s="1"/>
  <c r="G31" i="18" s="1"/>
  <c r="G7" i="15"/>
  <c r="H12" i="15"/>
  <c r="H12" i="18" s="1"/>
  <c r="M51" i="22" l="1"/>
  <c r="M52" i="22" s="1"/>
  <c r="L18" i="26"/>
  <c r="M51" i="23"/>
  <c r="M52" i="23" s="1"/>
  <c r="L18" i="27"/>
  <c r="L12" i="27" s="1"/>
  <c r="L21" i="27" s="1"/>
  <c r="L41" i="27" s="1"/>
  <c r="G8" i="21"/>
  <c r="G21" i="21" s="1"/>
  <c r="G49" i="21" s="1"/>
  <c r="G33" i="18"/>
  <c r="G28" i="24"/>
  <c r="F27" i="24"/>
  <c r="E23" i="24"/>
  <c r="E40" i="24" s="1"/>
  <c r="G16" i="15"/>
  <c r="G21" i="15" s="1"/>
  <c r="G29" i="15" s="1"/>
  <c r="G31" i="15" s="1"/>
  <c r="G33" i="15" s="1"/>
  <c r="G5" i="25"/>
  <c r="H12" i="21"/>
  <c r="H7" i="18"/>
  <c r="H16" i="18" s="1"/>
  <c r="H21" i="18" s="1"/>
  <c r="H29" i="18" s="1"/>
  <c r="H31" i="18" s="1"/>
  <c r="I12" i="15"/>
  <c r="I12" i="18" s="1"/>
  <c r="H7" i="15"/>
  <c r="N51" i="22" l="1"/>
  <c r="M18" i="26"/>
  <c r="N51" i="23"/>
  <c r="N52" i="23" s="1"/>
  <c r="M18" i="27"/>
  <c r="M12" i="27" s="1"/>
  <c r="M21" i="27" s="1"/>
  <c r="M41" i="27" s="1"/>
  <c r="N52" i="22"/>
  <c r="H8" i="21"/>
  <c r="H21" i="21" s="1"/>
  <c r="H49" i="21" s="1"/>
  <c r="G27" i="24"/>
  <c r="F23" i="24"/>
  <c r="F40" i="24" s="1"/>
  <c r="H33" i="18"/>
  <c r="H28" i="24"/>
  <c r="H16" i="15"/>
  <c r="H21" i="15" s="1"/>
  <c r="H29" i="15" s="1"/>
  <c r="H31" i="15" s="1"/>
  <c r="H33" i="15" s="1"/>
  <c r="H5" i="25"/>
  <c r="I12" i="21"/>
  <c r="I7" i="18"/>
  <c r="I16" i="18" s="1"/>
  <c r="I21" i="18" s="1"/>
  <c r="I29" i="18" s="1"/>
  <c r="I31" i="18" s="1"/>
  <c r="J12" i="15"/>
  <c r="J12" i="18" s="1"/>
  <c r="I7" i="15"/>
  <c r="B52" i="22" l="1"/>
  <c r="N18" i="26"/>
  <c r="B52" i="23"/>
  <c r="N18" i="27"/>
  <c r="N12" i="27" s="1"/>
  <c r="N21" i="27" s="1"/>
  <c r="N41" i="27" s="1"/>
  <c r="H27" i="24"/>
  <c r="G23" i="24"/>
  <c r="G40" i="24" s="1"/>
  <c r="I33" i="18"/>
  <c r="I28" i="24"/>
  <c r="I16" i="15"/>
  <c r="I21" i="15" s="1"/>
  <c r="I29" i="15" s="1"/>
  <c r="I31" i="15" s="1"/>
  <c r="I33" i="15" s="1"/>
  <c r="I5" i="25"/>
  <c r="J12" i="21"/>
  <c r="J7" i="18"/>
  <c r="J16" i="18" s="1"/>
  <c r="J21" i="18" s="1"/>
  <c r="J29" i="18" s="1"/>
  <c r="J31" i="18" s="1"/>
  <c r="J7" i="15"/>
  <c r="K12" i="15"/>
  <c r="K12" i="18" s="1"/>
  <c r="J8" i="21" l="1"/>
  <c r="J21" i="21" s="1"/>
  <c r="J49" i="21" s="1"/>
  <c r="I27" i="24"/>
  <c r="H23" i="24"/>
  <c r="H40" i="24" s="1"/>
  <c r="J33" i="18"/>
  <c r="J28" i="24"/>
  <c r="J16" i="15"/>
  <c r="J21" i="15" s="1"/>
  <c r="J29" i="15" s="1"/>
  <c r="J31" i="15" s="1"/>
  <c r="J33" i="15" s="1"/>
  <c r="J5" i="25"/>
  <c r="K12" i="21"/>
  <c r="K7" i="18"/>
  <c r="K16" i="18" s="1"/>
  <c r="K21" i="18" s="1"/>
  <c r="K29" i="18" s="1"/>
  <c r="K31" i="18" s="1"/>
  <c r="K7" i="15"/>
  <c r="L12" i="15"/>
  <c r="L12" i="18" s="1"/>
  <c r="K8" i="21" l="1"/>
  <c r="K21" i="21" s="1"/>
  <c r="K49" i="21" s="1"/>
  <c r="J27" i="24"/>
  <c r="I23" i="24"/>
  <c r="I40" i="24" s="1"/>
  <c r="K33" i="18"/>
  <c r="K28" i="24"/>
  <c r="K16" i="15"/>
  <c r="K21" i="15" s="1"/>
  <c r="K29" i="15" s="1"/>
  <c r="K31" i="15" s="1"/>
  <c r="K33" i="15" s="1"/>
  <c r="K5" i="25"/>
  <c r="L12" i="21"/>
  <c r="L7" i="18"/>
  <c r="L16" i="18" s="1"/>
  <c r="L21" i="18" s="1"/>
  <c r="L29" i="18" s="1"/>
  <c r="L31" i="18" s="1"/>
  <c r="M12" i="15"/>
  <c r="M12" i="18" s="1"/>
  <c r="L7" i="15"/>
  <c r="K27" i="24" l="1"/>
  <c r="J23" i="24"/>
  <c r="J40" i="24" s="1"/>
  <c r="L33" i="18"/>
  <c r="L28" i="24"/>
  <c r="L16" i="15"/>
  <c r="L21" i="15" s="1"/>
  <c r="L29" i="15" s="1"/>
  <c r="L31" i="15" s="1"/>
  <c r="L33" i="15" s="1"/>
  <c r="L5" i="25"/>
  <c r="M12" i="21"/>
  <c r="M7" i="18"/>
  <c r="M16" i="18" s="1"/>
  <c r="M21" i="18" s="1"/>
  <c r="M29" i="18" s="1"/>
  <c r="M31" i="18" s="1"/>
  <c r="M7" i="15"/>
  <c r="N12" i="15"/>
  <c r="N12" i="18" s="1"/>
  <c r="M8" i="21" l="1"/>
  <c r="M21" i="21" s="1"/>
  <c r="M49" i="21" s="1"/>
  <c r="L27" i="24"/>
  <c r="K23" i="24"/>
  <c r="K40" i="24" s="1"/>
  <c r="M33" i="18"/>
  <c r="M28" i="24"/>
  <c r="M16" i="15"/>
  <c r="M21" i="15" s="1"/>
  <c r="M29" i="15" s="1"/>
  <c r="M31" i="15" s="1"/>
  <c r="M33" i="15" s="1"/>
  <c r="M5" i="25"/>
  <c r="N12" i="21"/>
  <c r="N7" i="18"/>
  <c r="N16" i="18" s="1"/>
  <c r="N21" i="18" s="1"/>
  <c r="N29" i="18" s="1"/>
  <c r="N31" i="18" s="1"/>
  <c r="N7" i="15"/>
  <c r="B12" i="15"/>
  <c r="B12" i="21" l="1"/>
  <c r="M27" i="24"/>
  <c r="L23" i="24"/>
  <c r="L40" i="24" s="1"/>
  <c r="N33" i="18"/>
  <c r="N28" i="24"/>
  <c r="N16" i="15"/>
  <c r="N21" i="15" s="1"/>
  <c r="N29" i="15" s="1"/>
  <c r="N31" i="15" s="1"/>
  <c r="N33" i="15" s="1"/>
  <c r="N5" i="25"/>
  <c r="B7" i="15"/>
  <c r="B12" i="18"/>
  <c r="B7" i="18" s="1"/>
  <c r="B16" i="18" s="1"/>
  <c r="B21" i="18" s="1"/>
  <c r="B29" i="18" s="1"/>
  <c r="N27" i="24" l="1"/>
  <c r="N23" i="24" s="1"/>
  <c r="N40" i="24" s="1"/>
  <c r="M23" i="24"/>
  <c r="M40" i="24" s="1"/>
  <c r="B16" i="15"/>
  <c r="B21" i="15" s="1"/>
  <c r="B29" i="15" s="1"/>
  <c r="B30" i="15" s="1"/>
  <c r="B31" i="15" s="1"/>
  <c r="B32" i="15" s="1"/>
  <c r="B32" i="18" s="1"/>
  <c r="B5" i="25"/>
  <c r="N19" i="21" l="1"/>
  <c r="B44" i="28"/>
  <c r="B46" i="28" s="1"/>
  <c r="B19" i="21"/>
  <c r="N8" i="21"/>
  <c r="N21" i="21" s="1"/>
  <c r="C15" i="21"/>
  <c r="C8" i="21" s="1"/>
  <c r="B33" i="15"/>
  <c r="B30" i="18"/>
  <c r="B31" i="18" s="1"/>
  <c r="B43" i="28" s="1"/>
  <c r="B33" i="18" l="1"/>
  <c r="B35" i="18"/>
  <c r="B45" i="28" s="1"/>
  <c r="C21" i="21"/>
  <c r="C49" i="21" s="1"/>
  <c r="F15" i="21"/>
  <c r="N49" i="21"/>
  <c r="F8" i="21" l="1"/>
  <c r="F21" i="21" s="1"/>
  <c r="F49" i="21" s="1"/>
  <c r="I15" i="21"/>
  <c r="I8" i="21" s="1"/>
  <c r="I21" i="21" s="1"/>
  <c r="L15" i="21" l="1"/>
  <c r="I49" i="21"/>
  <c r="L8" i="21" l="1"/>
  <c r="L21" i="21" s="1"/>
  <c r="L49" i="21" s="1"/>
  <c r="B15" i="21"/>
  <c r="B8" i="21" s="1"/>
  <c r="B21" i="21" s="1"/>
  <c r="B49" i="21" s="1"/>
  <c r="C52" i="21" s="1"/>
  <c r="D51" i="21" l="1"/>
  <c r="D52" i="21" s="1"/>
  <c r="C18" i="24"/>
  <c r="C12" i="24" s="1"/>
  <c r="C21" i="24" s="1"/>
  <c r="C41" i="24" s="1"/>
  <c r="E51" i="21" l="1"/>
  <c r="D18" i="24"/>
  <c r="D12" i="24" s="1"/>
  <c r="D21" i="24" s="1"/>
  <c r="D41" i="24" s="1"/>
  <c r="E52" i="21"/>
  <c r="F51" i="21" l="1"/>
  <c r="F52" i="21" s="1"/>
  <c r="E18" i="24"/>
  <c r="E12" i="24" s="1"/>
  <c r="E21" i="24" s="1"/>
  <c r="E41" i="24" s="1"/>
  <c r="G51" i="21" l="1"/>
  <c r="F18" i="24"/>
  <c r="F12" i="24" s="1"/>
  <c r="F21" i="24" s="1"/>
  <c r="F41" i="24" s="1"/>
  <c r="G52" i="21"/>
  <c r="H51" i="21" l="1"/>
  <c r="G18" i="24"/>
  <c r="G12" i="24" s="1"/>
  <c r="G21" i="24" s="1"/>
  <c r="G41" i="24" s="1"/>
  <c r="H52" i="21"/>
  <c r="I51" i="21" l="1"/>
  <c r="H18" i="24"/>
  <c r="H12" i="24" s="1"/>
  <c r="H21" i="24" s="1"/>
  <c r="H41" i="24" s="1"/>
  <c r="I52" i="21"/>
  <c r="J51" i="21" l="1"/>
  <c r="J52" i="21" s="1"/>
  <c r="I18" i="24"/>
  <c r="I12" i="24" s="1"/>
  <c r="I21" i="24" s="1"/>
  <c r="I41" i="24" s="1"/>
  <c r="K51" i="21" l="1"/>
  <c r="K52" i="21" s="1"/>
  <c r="J18" i="24"/>
  <c r="J12" i="24" s="1"/>
  <c r="J21" i="24" s="1"/>
  <c r="J41" i="24" s="1"/>
  <c r="L51" i="21" l="1"/>
  <c r="L52" i="21" s="1"/>
  <c r="K18" i="24"/>
  <c r="K12" i="24" s="1"/>
  <c r="K21" i="24" s="1"/>
  <c r="K41" i="24" s="1"/>
  <c r="M51" i="21" l="1"/>
  <c r="L18" i="24"/>
  <c r="L12" i="24" s="1"/>
  <c r="L21" i="24" s="1"/>
  <c r="L41" i="24" s="1"/>
  <c r="M52" i="21"/>
  <c r="N51" i="21" l="1"/>
  <c r="M18" i="24"/>
  <c r="M12" i="24" s="1"/>
  <c r="M21" i="24" s="1"/>
  <c r="M41" i="24" s="1"/>
  <c r="N52" i="21"/>
  <c r="C39" i="26"/>
  <c r="C33" i="26" s="1"/>
  <c r="C40" i="26" s="1"/>
  <c r="C20" i="26"/>
  <c r="C12" i="26" s="1"/>
  <c r="C21" i="26" s="1"/>
  <c r="D39" i="26"/>
  <c r="D33" i="26" s="1"/>
  <c r="D40" i="26" s="1"/>
  <c r="D20" i="26"/>
  <c r="D12" i="26" s="1"/>
  <c r="D21" i="26" s="1"/>
  <c r="E39" i="26"/>
  <c r="E33" i="26" s="1"/>
  <c r="E40" i="26" s="1"/>
  <c r="E20" i="26"/>
  <c r="E12" i="26" s="1"/>
  <c r="E21" i="26" s="1"/>
  <c r="F39" i="26"/>
  <c r="F33" i="26" s="1"/>
  <c r="F40" i="26" s="1"/>
  <c r="F20" i="26"/>
  <c r="F12" i="26" s="1"/>
  <c r="F21" i="26" s="1"/>
  <c r="G39" i="26"/>
  <c r="G33" i="26" s="1"/>
  <c r="G40" i="26" s="1"/>
  <c r="G20" i="26"/>
  <c r="G12" i="26" s="1"/>
  <c r="G21" i="26" s="1"/>
  <c r="H39" i="26"/>
  <c r="H33" i="26" s="1"/>
  <c r="H40" i="26" s="1"/>
  <c r="H20" i="26"/>
  <c r="H12" i="26" s="1"/>
  <c r="H21" i="26" s="1"/>
  <c r="I20" i="26"/>
  <c r="I12" i="26" s="1"/>
  <c r="I21" i="26" s="1"/>
  <c r="J20" i="26"/>
  <c r="J12" i="26" s="1"/>
  <c r="J21" i="26" s="1"/>
  <c r="K20" i="26"/>
  <c r="K12" i="26" s="1"/>
  <c r="K21" i="26" s="1"/>
  <c r="L20" i="26"/>
  <c r="L12" i="26" s="1"/>
  <c r="L21" i="26" s="1"/>
  <c r="I39" i="26"/>
  <c r="I33" i="26" s="1"/>
  <c r="I40" i="26" s="1"/>
  <c r="J39" i="26"/>
  <c r="J33" i="26" s="1"/>
  <c r="J40" i="26" s="1"/>
  <c r="K39" i="26"/>
  <c r="K33" i="26" s="1"/>
  <c r="K40" i="26" s="1"/>
  <c r="L39" i="26"/>
  <c r="L33" i="26" s="1"/>
  <c r="L40" i="26" s="1"/>
  <c r="M39" i="26"/>
  <c r="M33" i="26" s="1"/>
  <c r="M40" i="26" s="1"/>
  <c r="M20" i="26"/>
  <c r="M12" i="26" s="1"/>
  <c r="M21" i="26" s="1"/>
  <c r="N20" i="26"/>
  <c r="N12" i="26" s="1"/>
  <c r="N21" i="26" s="1"/>
  <c r="N39" i="26"/>
  <c r="N33" i="26" s="1"/>
  <c r="N40" i="26" s="1"/>
  <c r="N41" i="26" l="1"/>
  <c r="B52" i="21"/>
  <c r="N18" i="24"/>
  <c r="N12" i="24" s="1"/>
  <c r="N21" i="24" s="1"/>
  <c r="N41" i="24" s="1"/>
  <c r="F41" i="26"/>
  <c r="M41" i="26"/>
  <c r="L41" i="26"/>
  <c r="I41" i="26"/>
  <c r="K41" i="26"/>
  <c r="J41" i="26"/>
  <c r="H41" i="26"/>
  <c r="E41" i="26"/>
  <c r="G41" i="26"/>
  <c r="C41" i="26"/>
  <c r="D41" i="26"/>
</calcChain>
</file>

<file path=xl/sharedStrings.xml><?xml version="1.0" encoding="utf-8"?>
<sst xmlns="http://schemas.openxmlformats.org/spreadsheetml/2006/main" count="1575" uniqueCount="426">
  <si>
    <t>май</t>
  </si>
  <si>
    <t>июнь</t>
  </si>
  <si>
    <t>USD/RUR</t>
  </si>
  <si>
    <t>CHF/USD</t>
  </si>
  <si>
    <t>Перевалка малые порты, USD</t>
  </si>
  <si>
    <t>Перевалка Новороссийск, USD</t>
  </si>
  <si>
    <t>в USD</t>
  </si>
  <si>
    <t>LIBOR + 5%</t>
  </si>
  <si>
    <t>LIBOR + 2%</t>
  </si>
  <si>
    <t>2013/14 сезон</t>
  </si>
  <si>
    <t>Статья</t>
  </si>
  <si>
    <t>Кредиторская задолженность</t>
  </si>
  <si>
    <t>Авансы уплаченные</t>
  </si>
  <si>
    <t>Запасы готовой продукции</t>
  </si>
  <si>
    <t>Дебиторы по реализации</t>
  </si>
  <si>
    <t>Срок оборачиваемости активов и пассивов, дней (после 2013 г.)</t>
  </si>
  <si>
    <t>Коэффициент оборачиваемости активов и пассивов, оборотов в год (после 2013 г.)</t>
  </si>
  <si>
    <t>Cезон</t>
  </si>
  <si>
    <t>Project Summary</t>
  </si>
  <si>
    <t>Target sales volume, mt of wheat p.a.</t>
  </si>
  <si>
    <t>FOB price, USD/mt</t>
  </si>
  <si>
    <t>no matter</t>
  </si>
  <si>
    <t>possible only since 2nd year of project</t>
  </si>
  <si>
    <t>Opportunity of volume increase</t>
  </si>
  <si>
    <t>Maximal sales volume when the margin is kept on the same level, mt of wheat p.a.</t>
  </si>
  <si>
    <t>Margins:</t>
  </si>
  <si>
    <t>Pessimistic scenario:</t>
  </si>
  <si>
    <t>USD/mt</t>
  </si>
  <si>
    <t>% of FOB, Novorossiysk</t>
  </si>
  <si>
    <t>Purchasing Co's margin, USD/mt (Ex-works basis)</t>
  </si>
  <si>
    <t>Exporting Co's margin, USD/mt (third parties' sales on CPT basis)</t>
  </si>
  <si>
    <t>Swiss trading Co's margin, USD/mt (sales on FOB Novorossiysk price)</t>
  </si>
  <si>
    <t>Swiss trading Co's margin, USD/mt (sales on FOB Small Azov Sea port price)</t>
  </si>
  <si>
    <t>Neutral scenario:</t>
  </si>
  <si>
    <t>Optimistic scenario:</t>
  </si>
  <si>
    <t>Financing:</t>
  </si>
  <si>
    <t>The Project requires the total capacity of all financing types, USD</t>
  </si>
  <si>
    <t>Types of financing, USD:</t>
  </si>
  <si>
    <t>Shareholders paid-up equity</t>
  </si>
  <si>
    <t>Subordinated 1-year loan, interest - 12% p.a.</t>
  </si>
  <si>
    <t>Local banks' financing, USD no less</t>
  </si>
  <si>
    <t>European banks' financing (starts since 15/09/2013), USD</t>
  </si>
  <si>
    <t>European banks' financing (starts since 01/07/2013), USD</t>
  </si>
  <si>
    <t>Group's structure</t>
  </si>
  <si>
    <t>Holding Co. (BVI) owns 100% of Swiss Trading Co.</t>
  </si>
  <si>
    <t>Swiss trading Co. owns 100% of Russian Exporting Co.</t>
  </si>
  <si>
    <t>Swiss trading Co. owns 100% of Russian Purchasing Co.</t>
  </si>
  <si>
    <t>Shareholder's return is paid by: interest reimbursement on Subordinated loan + Broker's commission of BVI non-affiliated Co.</t>
  </si>
  <si>
    <t>Broker's commission makes corrections on taxation amount (It works like a form of dividends repayment)</t>
  </si>
  <si>
    <t>Group's financial results, USD (no correction of taxation volumes):</t>
  </si>
  <si>
    <t>Net Profit Consolidated</t>
  </si>
  <si>
    <t>Financial return for shareholders (Subordinated loan interest + Dividends/Broker's commission)</t>
  </si>
  <si>
    <t>Net financial result (Shareholders' return + Retained earnings possessed by the Group)</t>
  </si>
  <si>
    <t>Return on Shareholders' investment, % p.a.</t>
  </si>
  <si>
    <t>Hedging:</t>
  </si>
  <si>
    <r>
      <t xml:space="preserve">Price risk hedging directs the financial results to the </t>
    </r>
    <r>
      <rPr>
        <b/>
        <sz val="11"/>
        <color rgb="FFFF0000"/>
        <rFont val="Calibri"/>
        <family val="2"/>
        <charset val="204"/>
        <scheme val="minor"/>
      </rPr>
      <t>NEUTRAL SCENARIO!</t>
    </r>
  </si>
  <si>
    <t>ASSUMPTIONS</t>
  </si>
  <si>
    <t>Macroeconomic</t>
  </si>
  <si>
    <t>Inflation rate Russia, % p.a.</t>
  </si>
  <si>
    <t>Inflation rate Switzerland and World, % p.a.</t>
  </si>
  <si>
    <t>Taxation</t>
  </si>
  <si>
    <t>Switzerland</t>
  </si>
  <si>
    <t>Company's taxes linked to employees' salaries, % of payroll</t>
  </si>
  <si>
    <t>Income tax on employee, %</t>
  </si>
  <si>
    <t>Equity tax, % of shareholders' paid-up equity</t>
  </si>
  <si>
    <t>Russia</t>
  </si>
  <si>
    <t>Corporate taxes</t>
  </si>
  <si>
    <t>VAT on wheat (Russia), %</t>
  </si>
  <si>
    <t>VAT on logistics services (Russia), %</t>
  </si>
  <si>
    <t>Income tax (Russia), %</t>
  </si>
  <si>
    <t>Income tax (Switzerland), %</t>
  </si>
  <si>
    <t>Income tax (BVI), %</t>
  </si>
  <si>
    <t>The share of Russian VAT not-redempted, % of total VAT amount</t>
  </si>
  <si>
    <t>Sales volume</t>
  </si>
  <si>
    <t>Seasonality of sales, % of total sales volume for the entire year</t>
  </si>
  <si>
    <t>Season</t>
  </si>
  <si>
    <t>Whole year sales volume, with monthly breakdowns, mt</t>
  </si>
  <si>
    <t>Purchase (mt of wheat)</t>
  </si>
  <si>
    <t>Swiss Co.</t>
  </si>
  <si>
    <t>FOB - C&amp;F, third party suppliers</t>
  </si>
  <si>
    <t>FOB - C&amp;F, Exporting Co.</t>
  </si>
  <si>
    <t>Exporting Co.</t>
  </si>
  <si>
    <t>CPT - FOB, third party suppliers</t>
  </si>
  <si>
    <t>CPT - FOB, Purchasing Co.</t>
  </si>
  <si>
    <t>Purchasing Co.</t>
  </si>
  <si>
    <t>Volumes purchased in the Southern Russia</t>
  </si>
  <si>
    <t>Volumes purchased in the Central Russia</t>
  </si>
  <si>
    <t>Sales (mt of wheat)</t>
  </si>
  <si>
    <t>C&amp;F, small vessels, Azov Sea ports</t>
  </si>
  <si>
    <t>C&amp;F, Handysize, Novorossiysk port</t>
  </si>
  <si>
    <t>Number of contracts</t>
  </si>
  <si>
    <t>Handysize, 10 000 mt</t>
  </si>
  <si>
    <t>Small vessels, 3 000 mt</t>
  </si>
  <si>
    <t>Tonnage ready for loading (in transportation and in the ports) by 10/07/2013, mt</t>
  </si>
  <si>
    <t>Including: in the ports, mt</t>
  </si>
  <si>
    <t>Tonnage stored in inland silos, % of monthly purchase volume (except of ports)</t>
  </si>
  <si>
    <t>Inland silos services, USD per month/mt</t>
  </si>
  <si>
    <t>Scenarios (for trading)</t>
  </si>
  <si>
    <t>PESSIMISTIC</t>
  </si>
  <si>
    <t>NEUTRAL</t>
  </si>
  <si>
    <t>OPTIMISTIC</t>
  </si>
  <si>
    <t>Materials' and logistics services pricing (per 1 mt of wheat)</t>
  </si>
  <si>
    <t>FOB Novorossiysk (USD)</t>
  </si>
  <si>
    <t>FOB Azov Sea port (USD)</t>
  </si>
  <si>
    <t>Freight Handysize (USD)</t>
  </si>
  <si>
    <t>Freight small vessel (USD)</t>
  </si>
  <si>
    <t>FOBing Novorossiysk (USD), including storing for up to 30 days</t>
  </si>
  <si>
    <t>FOBing Azov Sea port (USD), including storing for up to 30 days</t>
  </si>
  <si>
    <t>Transportation Southern Russia materials to the port (USD)</t>
  </si>
  <si>
    <t>Transportation Central Russia materials to the port (USD)</t>
  </si>
  <si>
    <t>Inland purchase margin (USD)</t>
  </si>
  <si>
    <t>Purchasing price in the Southern Russia (RUR), forecast for 2013</t>
  </si>
  <si>
    <t>Purchasing price in the Central Russia (RUR), forecast for 2013</t>
  </si>
  <si>
    <t>Actual inland purchase margin in Southern Russia (RUR)</t>
  </si>
  <si>
    <t>Actual inland purchase margin in Central Russia (RUR)</t>
  </si>
  <si>
    <t>CPT Purchase margin (USD)</t>
  </si>
  <si>
    <t>CPT Purchasing price (USD) Novorossiysk</t>
  </si>
  <si>
    <t>CPT Purchasing price (USD) Azov Sea port</t>
  </si>
  <si>
    <t>C&amp;F Sale margin (USD) Handysize</t>
  </si>
  <si>
    <t>C&amp;F Sale margin (USD) small vessel</t>
  </si>
  <si>
    <t>C&amp;F Sales price (USD) Handysize</t>
  </si>
  <si>
    <t>C&amp;F Sale price (USD) small vessel</t>
  </si>
  <si>
    <t>Sale price from Purchasing Co. to Exporting Co., USD</t>
  </si>
  <si>
    <t>Sale price from Exporting Co. to Swiss trading Co., USD</t>
  </si>
  <si>
    <t>Freight losses (demurrage etc.), % of total freight volume</t>
  </si>
  <si>
    <t>Broker's commission, USD/mt, Handysize</t>
  </si>
  <si>
    <t>Broker's commission, USD/mt, small vessel</t>
  </si>
  <si>
    <t>Share of the contracts through brokers, % of total sales volume</t>
  </si>
  <si>
    <t>Sales proceeds from final customers, % of current month sales volume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</si>
  <si>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</si>
  <si>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</si>
  <si>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</si>
  <si>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</si>
  <si>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</si>
  <si>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</si>
  <si>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</si>
  <si>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</si>
  <si>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</si>
  <si>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</si>
  <si>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</si>
  <si>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</si>
  <si>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Financing</t>
  </si>
  <si>
    <t>Trade financing</t>
  </si>
  <si>
    <t>Global limits granted (USD):</t>
  </si>
  <si>
    <t xml:space="preserve"> - port financing</t>
  </si>
  <si>
    <t xml:space="preserve"> - Bill of Lading financing</t>
  </si>
  <si>
    <t>Interest rate, % p.a. (USD):</t>
  </si>
  <si>
    <t>Advanced rate, % of contract sales price</t>
  </si>
  <si>
    <t>Terms of financing, days per transaction</t>
  </si>
  <si>
    <t>Sales proceeds from Letters of credit, % of total sales volume</t>
  </si>
  <si>
    <t>Pessimistic scenario</t>
  </si>
  <si>
    <t>Neutral Scenario</t>
  </si>
  <si>
    <t>Optimistic scenario</t>
  </si>
  <si>
    <t>L/C commissions , % of L/C value</t>
  </si>
  <si>
    <t>Collateral fee to the bank on transaction, USD/Handysize</t>
  </si>
  <si>
    <t>Collateral fee to the bank on transaction, USD/Small vessel</t>
  </si>
  <si>
    <t>Insurance premium, % of financed materials value</t>
  </si>
  <si>
    <t>Prepayments to suppliers from Purchasing Co., % of next month purchase volume</t>
  </si>
  <si>
    <t>Suppliers delivery on open account basis, % of next month supply volume</t>
  </si>
  <si>
    <t>Local financing</t>
  </si>
  <si>
    <t>Global credit facility limit (USD):</t>
  </si>
  <si>
    <t>Limit utilization, %, PESSIMISTIC SCENARIO</t>
  </si>
  <si>
    <t>Limit utilization, %, OPTIIMISTIC SCENARIO</t>
  </si>
  <si>
    <t>Limit utilization, %, NEUTRAL SCENARIO</t>
  </si>
  <si>
    <t>Limit utilization, USD, PESSIMISTIC SCENARIO</t>
  </si>
  <si>
    <t>Limit utilization, USD, NEUTRAL SCENARIO</t>
  </si>
  <si>
    <t>Limit utilization, USD, OPTIIMISTIC SCENARIO</t>
  </si>
  <si>
    <t>Interest paid, USD, PESSIMISTIC SCENARIO</t>
  </si>
  <si>
    <t>Interest paid, USD, NEUTRAL SCENARIO</t>
  </si>
  <si>
    <t>Interest paid, USD, OPTIMISTIC SCENARIO</t>
  </si>
  <si>
    <t>Maturity</t>
  </si>
  <si>
    <t>Revolving</t>
  </si>
  <si>
    <t>Yearly</t>
  </si>
  <si>
    <t>1 year</t>
  </si>
  <si>
    <t>Accessible credit facility limit at the starting point (July), USD</t>
  </si>
  <si>
    <t>Shareholders equity</t>
  </si>
  <si>
    <t>Dividend policy, % of total net profit in each Group's subsidiary</t>
  </si>
  <si>
    <t>Paid-up capital of Swiss Co., CHF</t>
  </si>
  <si>
    <t>Auxiliary capital of Swiss Co. (Subordinated loan), USD</t>
  </si>
  <si>
    <t>Total paid-up capital of 2 Russian Co., RUR</t>
  </si>
  <si>
    <t>Subordinated loan interest rate, % p.a.</t>
  </si>
  <si>
    <t>Interest repayments on subordinated loan</t>
  </si>
  <si>
    <t>Quarterly</t>
  </si>
  <si>
    <t>Subordinated loan maturity, months</t>
  </si>
  <si>
    <t>Accounting assumptions</t>
  </si>
  <si>
    <t>Initial Swiss office equipment, USD</t>
  </si>
  <si>
    <t>Initial Russian office equipment, USD</t>
  </si>
  <si>
    <t>Depreciation of office equipment, % p.a.</t>
  </si>
  <si>
    <t>TOTAL PURCHASES (USD):</t>
  </si>
  <si>
    <t>Purchasing from third party suppliers</t>
  </si>
  <si>
    <t>No VAT</t>
  </si>
  <si>
    <t>Southern Russia Ex-Works, mt</t>
  </si>
  <si>
    <t>Central Russia Ex-Works, mt</t>
  </si>
  <si>
    <t>Southern Russia Ex-Works, USD</t>
  </si>
  <si>
    <t>Central Russia Ex-Works, USD</t>
  </si>
  <si>
    <t>TOTAL purchases, USD:</t>
  </si>
  <si>
    <t>CPT basis, mt</t>
  </si>
  <si>
    <t>CPT basis, USD</t>
  </si>
  <si>
    <t>FOB basis, mt</t>
  </si>
  <si>
    <t>FOB basis, USD</t>
  </si>
  <si>
    <t>SALES</t>
  </si>
  <si>
    <r>
      <rPr>
        <b/>
        <sz val="12"/>
        <color theme="1"/>
        <rFont val="Calibri"/>
        <family val="2"/>
        <charset val="204"/>
        <scheme val="minor"/>
      </rPr>
      <t xml:space="preserve">Purchasing Co. </t>
    </r>
    <r>
      <rPr>
        <sz val="11"/>
        <color theme="1"/>
        <rFont val="Calibri"/>
        <family val="2"/>
        <charset val="204"/>
        <scheme val="minor"/>
      </rPr>
      <t>(to Exporting Co., margin is kept by Seller), mt</t>
    </r>
  </si>
  <si>
    <r>
      <rPr>
        <b/>
        <sz val="12"/>
        <color theme="1"/>
        <rFont val="Calibri"/>
        <family val="2"/>
        <charset val="204"/>
        <scheme val="minor"/>
      </rPr>
      <t xml:space="preserve">Exporting Co. </t>
    </r>
    <r>
      <rPr>
        <sz val="11"/>
        <color theme="1"/>
        <rFont val="Calibri"/>
        <family val="2"/>
        <charset val="204"/>
        <scheme val="minor"/>
      </rPr>
      <t>(to Swiss Co., margin is kept by Seller), mt</t>
    </r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</si>
  <si>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Sales proceeds of Purchasing Co., USD</t>
    </r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</si>
  <si>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Sales proceeds of Exporting Co., USD</t>
    </r>
  </si>
  <si>
    <r>
      <rPr>
        <b/>
        <sz val="12"/>
        <color theme="1"/>
        <rFont val="Calibri"/>
        <family val="2"/>
        <charset val="204"/>
        <scheme val="minor"/>
      </rPr>
      <t>Swiss Co.</t>
    </r>
    <r>
      <rPr>
        <sz val="11"/>
        <color theme="1"/>
        <rFont val="Calibri"/>
        <family val="2"/>
        <charset val="204"/>
        <scheme val="minor"/>
      </rPr>
      <t>, Handysize sales, mt</t>
    </r>
  </si>
  <si>
    <r>
      <rPr>
        <b/>
        <sz val="12"/>
        <color theme="1"/>
        <rFont val="Calibri"/>
        <family val="2"/>
        <charset val="204"/>
        <scheme val="minor"/>
      </rPr>
      <t>Swiss Co.</t>
    </r>
    <r>
      <rPr>
        <sz val="11"/>
        <color theme="1"/>
        <rFont val="Calibri"/>
        <family val="2"/>
        <charset val="204"/>
        <scheme val="minor"/>
      </rPr>
      <t>, Small vessels sales, mt</t>
    </r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</si>
  <si>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Sales proceeds of Swiss Co., USD</t>
    </r>
  </si>
  <si>
    <t>LOGISTICS COSTS</t>
  </si>
  <si>
    <r>
      <rPr>
        <b/>
        <sz val="12"/>
        <color theme="1"/>
        <rFont val="Calibri"/>
        <family val="2"/>
        <charset val="204"/>
        <scheme val="minor"/>
      </rPr>
      <t>Purchasing Co.</t>
    </r>
    <r>
      <rPr>
        <sz val="11"/>
        <color theme="1"/>
        <rFont val="Calibri"/>
        <family val="2"/>
        <charset val="204"/>
        <scheme val="minor"/>
      </rPr>
      <t xml:space="preserve"> transportation volume, mt</t>
    </r>
  </si>
  <si>
    <r>
      <rPr>
        <b/>
        <sz val="12"/>
        <color theme="1"/>
        <rFont val="Calibri"/>
        <family val="2"/>
        <charset val="204"/>
        <scheme val="minor"/>
      </rPr>
      <t>Exporting Co.</t>
    </r>
    <r>
      <rPr>
        <sz val="11"/>
        <color theme="1"/>
        <rFont val="Calibri"/>
        <family val="2"/>
        <charset val="204"/>
        <scheme val="minor"/>
      </rPr>
      <t xml:space="preserve"> transshipment volume, mt</t>
    </r>
  </si>
  <si>
    <t>Southern Russia materials transportation, USD</t>
  </si>
  <si>
    <t>Central Russia materials transportation, USD</t>
  </si>
  <si>
    <t>Inland silos storage charges, USD</t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</si>
  <si>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logistics costs of Purchasing Co.</t>
    </r>
    <r>
      <rPr>
        <sz val="11"/>
        <color theme="1"/>
        <rFont val="Calibri"/>
        <family val="2"/>
        <charset val="204"/>
        <scheme val="minor"/>
      </rPr>
      <t>, USD</t>
    </r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</si>
  <si>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logistics costs of Swiss Co., USD</t>
    </r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</si>
  <si>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logistics costs of Exporting Co., USD</t>
    </r>
  </si>
  <si>
    <t>Freight expensse Handysize, USD</t>
  </si>
  <si>
    <t>Freight expensse Small vessels, USD</t>
  </si>
  <si>
    <t>Broker's commissions, USD</t>
  </si>
  <si>
    <t>Freight extra-losses, USD</t>
  </si>
  <si>
    <t>STOCKS</t>
  </si>
  <si>
    <t>Volume of goods in the ports, needed for trade financing operations, mt:</t>
  </si>
  <si>
    <t>Volume of goods in transportation and inland silos (except of ports), needed for keeping of sales volumes (beginning of each month), mt:</t>
  </si>
  <si>
    <r>
      <t xml:space="preserve">Total volume of goods everywhere, needed for keeping of sales volumes (beginning of each month, </t>
    </r>
    <r>
      <rPr>
        <b/>
        <sz val="11"/>
        <color theme="1"/>
        <rFont val="Calibri"/>
        <family val="2"/>
        <charset val="204"/>
        <scheme val="minor"/>
      </rPr>
      <t>ALL SCENARIOS</t>
    </r>
    <r>
      <rPr>
        <sz val="11"/>
        <color theme="1"/>
        <rFont val="Calibri"/>
        <family val="2"/>
        <charset val="204"/>
        <scheme val="minor"/>
      </rPr>
      <t>), mt:</t>
    </r>
  </si>
  <si>
    <r>
      <t xml:space="preserve">Total volume of goods in inland silos, needed for keeping of sales volumes (beginning of each month, </t>
    </r>
    <r>
      <rPr>
        <b/>
        <sz val="11"/>
        <color theme="1"/>
        <rFont val="Calibri"/>
        <family val="2"/>
        <charset val="204"/>
        <scheme val="minor"/>
      </rPr>
      <t>ALL SCENARIOS</t>
    </r>
    <r>
      <rPr>
        <sz val="11"/>
        <color theme="1"/>
        <rFont val="Calibri"/>
        <family val="2"/>
        <charset val="204"/>
        <scheme val="minor"/>
      </rPr>
      <t>), mt:</t>
    </r>
  </si>
  <si>
    <t>Inland silos charges, USD</t>
  </si>
  <si>
    <t>FINANCIAL CHARGES</t>
  </si>
  <si>
    <t>Local banks facility utilization, USD</t>
  </si>
  <si>
    <t>Incoming credits, USD</t>
  </si>
  <si>
    <t>Outcoming credits, USD</t>
  </si>
  <si>
    <t>Interest paid, USD</t>
  </si>
  <si>
    <t>Neutral scenario</t>
  </si>
  <si>
    <t>Exportsing Co.</t>
  </si>
  <si>
    <r>
      <rPr>
        <b/>
        <sz val="12"/>
        <color theme="1"/>
        <rFont val="Calibri"/>
        <family val="2"/>
        <charset val="204"/>
        <scheme val="minor"/>
      </rPr>
      <t>Pessimistic scenario</t>
    </r>
    <r>
      <rPr>
        <sz val="11"/>
        <color theme="1"/>
        <rFont val="Calibri"/>
        <family val="2"/>
        <charset val="204"/>
        <scheme val="minor"/>
      </rPr>
      <t>, Sales proceeds, USD</t>
    </r>
  </si>
  <si>
    <t>Granted trade finance, USD</t>
  </si>
  <si>
    <t>Trade finance repayment, USD</t>
  </si>
  <si>
    <t>Trade finance interest paid, USD</t>
  </si>
  <si>
    <t>Total value of Letters of credit, USD</t>
  </si>
  <si>
    <t>L/C charges, USD</t>
  </si>
  <si>
    <t>Insurance premiums paid, USD</t>
  </si>
  <si>
    <t>Collateral charges, USD/Handysize</t>
  </si>
  <si>
    <t>Collateral charges, USD/Small vessels</t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</si>
  <si>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financial expenses </t>
    </r>
    <r>
      <rPr>
        <b/>
        <sz val="12"/>
        <color theme="1"/>
        <rFont val="Calibri"/>
        <family val="2"/>
        <charset val="204"/>
        <scheme val="minor"/>
      </rPr>
      <t>Pessimistic scenario:</t>
    </r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</si>
  <si>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financial expenses </t>
    </r>
    <r>
      <rPr>
        <b/>
        <sz val="12"/>
        <color theme="1"/>
        <rFont val="Calibri"/>
        <family val="2"/>
        <charset val="204"/>
        <scheme val="minor"/>
      </rPr>
      <t>Optimistic scenario:</t>
    </r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</si>
  <si>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financial expenses </t>
    </r>
    <r>
      <rPr>
        <b/>
        <sz val="12"/>
        <color theme="1"/>
        <rFont val="Calibri"/>
        <family val="2"/>
        <charset val="204"/>
        <scheme val="minor"/>
      </rPr>
      <t>Neutral scenario:</t>
    </r>
  </si>
  <si>
    <r>
      <rPr>
        <b/>
        <sz val="12"/>
        <color theme="1"/>
        <rFont val="Calibri"/>
        <family val="2"/>
        <charset val="204"/>
        <scheme val="minor"/>
      </rPr>
      <t>Neutral scenario</t>
    </r>
    <r>
      <rPr>
        <sz val="11"/>
        <color theme="1"/>
        <rFont val="Calibri"/>
        <family val="2"/>
        <charset val="204"/>
        <scheme val="minor"/>
      </rPr>
      <t>, Sales proceeds, USD</t>
    </r>
  </si>
  <si>
    <r>
      <rPr>
        <b/>
        <sz val="12"/>
        <color theme="1"/>
        <rFont val="Calibri"/>
        <family val="2"/>
        <charset val="204"/>
        <scheme val="minor"/>
      </rPr>
      <t>Optimistic scenario</t>
    </r>
    <r>
      <rPr>
        <sz val="11"/>
        <color theme="1"/>
        <rFont val="Calibri"/>
        <family val="2"/>
        <charset val="204"/>
        <scheme val="minor"/>
      </rPr>
      <t>, Sales proceeds, USD</t>
    </r>
  </si>
  <si>
    <t>VAT</t>
  </si>
  <si>
    <t>Cost of sales at Exporting Co., USD (no VAT):</t>
  </si>
  <si>
    <t>Logistics charges at Exporting Co., USD (no VAT):</t>
  </si>
  <si>
    <t>VAT paid on total volume of purchased wheat:</t>
  </si>
  <si>
    <t>Losses sourced by not-redemted VAT (10% of total VAT amount paid):</t>
  </si>
  <si>
    <t>VAT reimbursement (delay - 8 months):</t>
  </si>
  <si>
    <t>VAT Balance</t>
  </si>
  <si>
    <t>Subordinated Loan</t>
  </si>
  <si>
    <t>Utilization of loan, USD</t>
  </si>
  <si>
    <t>Loan repayment, USD</t>
  </si>
  <si>
    <t>Interest on Subordinated Loan paid, USD</t>
  </si>
  <si>
    <t>ADMINISTRATIVE COSTS</t>
  </si>
  <si>
    <t>Swiss office, CHF</t>
  </si>
  <si>
    <t>Employee's contract compensation</t>
  </si>
  <si>
    <t>Taxes from company</t>
  </si>
  <si>
    <t>Taxes from employee</t>
  </si>
  <si>
    <t>Employee supplementary  compensation</t>
  </si>
  <si>
    <t>Total employee net income</t>
  </si>
  <si>
    <t>Financial director</t>
  </si>
  <si>
    <t>Trader</t>
  </si>
  <si>
    <t>Executor СIF</t>
  </si>
  <si>
    <t>TOTAL monthly, CHF</t>
  </si>
  <si>
    <t>Russian office, USD</t>
  </si>
  <si>
    <t>Director</t>
  </si>
  <si>
    <t>Accountant of Swiss Co.</t>
  </si>
  <si>
    <t>Executor FOB</t>
  </si>
  <si>
    <t>Logistic manager</t>
  </si>
  <si>
    <t>Lawyer (VAT issues)</t>
  </si>
  <si>
    <t>Accountant of Russian Co.</t>
  </si>
  <si>
    <t>Assistant</t>
  </si>
  <si>
    <t>Purchasing Manager (15 persons)</t>
  </si>
  <si>
    <t>Driver</t>
  </si>
  <si>
    <t>TOTAL monthly, USD</t>
  </si>
  <si>
    <t>OFFICE MAINTENANCE</t>
  </si>
  <si>
    <t>Russian office, USD (calculated as 500 USD per each employee monthly, 15 full-day employees)</t>
  </si>
  <si>
    <t>Internet and communications</t>
  </si>
  <si>
    <t>Lease of the office (70 sq. m)</t>
  </si>
  <si>
    <t>Maintenance costs</t>
  </si>
  <si>
    <t>IT Engineer fees</t>
  </si>
  <si>
    <t>Swiss accountant's fees</t>
  </si>
  <si>
    <t>Nominal director's fees</t>
  </si>
  <si>
    <t>Lawyer's fees</t>
  </si>
  <si>
    <t>Swiss auditor's fees</t>
  </si>
  <si>
    <t>Express-delivery charges</t>
  </si>
  <si>
    <t>Office expenses</t>
  </si>
  <si>
    <t>Coffee expenses</t>
  </si>
  <si>
    <t>International Auditor's fees (USD 50'000 p.a.)</t>
  </si>
  <si>
    <t>Cleaning</t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</si>
  <si>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Swiss office expenses, CHF p.a.</t>
    </r>
  </si>
  <si>
    <t>Incuding emplyees' net compensations, CHF</t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</si>
  <si>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Swiss office expenses, USD p.a.</t>
    </r>
  </si>
  <si>
    <r>
      <rPr>
        <b/>
        <sz val="12"/>
        <color theme="1"/>
        <rFont val="Calibri"/>
        <family val="2"/>
        <charset val="204"/>
        <scheme val="minor"/>
      </rPr>
      <t>TOTAL</t>
    </r>
    <r>
      <rPr>
        <sz val="11"/>
        <color theme="1"/>
        <rFont val="Calibri"/>
        <family val="2"/>
        <charset val="204"/>
        <scheme val="minor"/>
      </rPr>
      <t xml:space="preserve"> Russian office expenses, USD p.a.</t>
    </r>
  </si>
  <si>
    <t>TOTAL Administrative expenses, USD</t>
  </si>
  <si>
    <t>DEBTORS, CREDITORS, INVENTORY</t>
  </si>
  <si>
    <t>Sales proceeds</t>
  </si>
  <si>
    <t>Cost of sales</t>
  </si>
  <si>
    <t>Internal debtors (Exporting Co.)</t>
  </si>
  <si>
    <t>Advances paid (50% of total supply volume of next month)</t>
  </si>
  <si>
    <t>Inventories (50% of total sales of the current month)</t>
  </si>
  <si>
    <t>Creditors (50% of total supply volume of the next month)</t>
  </si>
  <si>
    <t>Internal debtors (Swiss Co.)</t>
  </si>
  <si>
    <t>VAT to be redempted</t>
  </si>
  <si>
    <t>Advances paid (Logistics charges)</t>
  </si>
  <si>
    <t>Inventories (50% of current month sales volume, but not less than the amount of goods financed in the port)</t>
  </si>
  <si>
    <t>Creditors (30% of CPT purchases to third party suppliers)</t>
  </si>
  <si>
    <t>Creditors (Swiss Co.'s services)</t>
  </si>
  <si>
    <t>Direct sales proceeds (100% of total sales proceeds minus financed BLs)</t>
  </si>
  <si>
    <t>Debtors (50% of direct sales proceeds of current month)</t>
  </si>
  <si>
    <t>Deposits (trade finance Advance rate compensation): 25 % of port financing amount + 5% of BL financing amount</t>
  </si>
  <si>
    <t>Advances paid (100 % of current month total freight expenses)</t>
  </si>
  <si>
    <t>Inventories</t>
  </si>
  <si>
    <t>Creditors (50% of FOB purchases volumes to third party suppliers)</t>
  </si>
  <si>
    <t>Creditors (Swiss Co.)</t>
  </si>
  <si>
    <t>TOTAL Consolidated:</t>
  </si>
  <si>
    <t>internal turnovers deducted</t>
  </si>
  <si>
    <t>Debtors</t>
  </si>
  <si>
    <t>Advances paid</t>
  </si>
  <si>
    <t>Creditors</t>
  </si>
  <si>
    <t>Working capital</t>
  </si>
  <si>
    <t>Net working capital changes</t>
  </si>
  <si>
    <t>USD</t>
  </si>
  <si>
    <t>(Pessimistic scenario)</t>
  </si>
  <si>
    <t>Projected Income statement</t>
  </si>
  <si>
    <t>Swiss Trading Co.</t>
  </si>
  <si>
    <t>Cost of sales, including:</t>
  </si>
  <si>
    <t>Cost of goods purchased</t>
  </si>
  <si>
    <t>Logistics and freight charges</t>
  </si>
  <si>
    <t>Broker's commissions</t>
  </si>
  <si>
    <t>Payroll</t>
  </si>
  <si>
    <t>Payroll linked taxes</t>
  </si>
  <si>
    <t>Insurance</t>
  </si>
  <si>
    <t>Interest and collateral commissions paid to the trade finance banks</t>
  </si>
  <si>
    <t>Depreciation</t>
  </si>
  <si>
    <t>Gross margin</t>
  </si>
  <si>
    <t>Administrative costs</t>
  </si>
  <si>
    <t>Freight losses</t>
  </si>
  <si>
    <t>Supplementary payroll</t>
  </si>
  <si>
    <t>Other incomes/expenses</t>
  </si>
  <si>
    <t>Operation profit</t>
  </si>
  <si>
    <t>Financial expenses</t>
  </si>
  <si>
    <t>Hedging expenses</t>
  </si>
  <si>
    <t>Interest paid on Subordinated loan</t>
  </si>
  <si>
    <t>Financial incomes (hedge incomes)</t>
  </si>
  <si>
    <t>Other incomes/expenses (Currency exchange payments)</t>
  </si>
  <si>
    <t>Profit before taxes</t>
  </si>
  <si>
    <t>Income tax + Capital tax</t>
  </si>
  <si>
    <t>Net profit</t>
  </si>
  <si>
    <t>Dividends paid</t>
  </si>
  <si>
    <t>Net retained earnings kept by the Co.</t>
  </si>
  <si>
    <t>(Neutral scenario)</t>
  </si>
  <si>
    <t>(Optimistic scenario)</t>
  </si>
  <si>
    <t>Income tax</t>
  </si>
  <si>
    <t>Consolidated</t>
  </si>
  <si>
    <r>
      <t>Group's Net financial result</t>
    </r>
    <r>
      <rPr>
        <sz val="12"/>
        <color theme="1"/>
        <rFont val="Calibri"/>
        <family val="2"/>
        <charset val="204"/>
        <scheme val="minor"/>
      </rPr>
      <t xml:space="preserve"> (Profit/Loss corrected with dividends paid and Subordinated loan interest paid)</t>
    </r>
  </si>
  <si>
    <t>Projected Cash Flow statement</t>
  </si>
  <si>
    <t>Operating activities</t>
  </si>
  <si>
    <t>Goods for resale</t>
  </si>
  <si>
    <t>Logistics charges</t>
  </si>
  <si>
    <t>Taxes paid (incl. income tax)</t>
  </si>
  <si>
    <t>Operating activity Cash Flow</t>
  </si>
  <si>
    <t>Investing activity</t>
  </si>
  <si>
    <t>Interest income on investments</t>
  </si>
  <si>
    <t>Direct fixed assets acquisition</t>
  </si>
  <si>
    <t>Leased fixed assets acquisition</t>
  </si>
  <si>
    <t>Fixed assets sales</t>
  </si>
  <si>
    <t>Intangible assets/subsidiaries acquisitions</t>
  </si>
  <si>
    <t>Intangible assets/subsidiaries sales</t>
  </si>
  <si>
    <t>Other investment expenses</t>
  </si>
  <si>
    <t>Other investment incomes</t>
  </si>
  <si>
    <t xml:space="preserve">Investing activity Cash Flow </t>
  </si>
  <si>
    <t>Financing activity</t>
  </si>
  <si>
    <t>Financial incomes</t>
  </si>
  <si>
    <t>Operating activities costs, including:</t>
  </si>
  <si>
    <t>Financial expenses, including</t>
  </si>
  <si>
    <t>Hedging costs</t>
  </si>
  <si>
    <t>Banks' loans interest paid</t>
  </si>
  <si>
    <t>Incoming credits</t>
  </si>
  <si>
    <t>Outcoming credits</t>
  </si>
  <si>
    <t>Incoming trade finance</t>
  </si>
  <si>
    <t>Outcoming trade finance</t>
  </si>
  <si>
    <t>Incoming Subordinated loan</t>
  </si>
  <si>
    <t>Total repayments on Subordinated loan</t>
  </si>
  <si>
    <t xml:space="preserve">Financing activities Cash Flow </t>
  </si>
  <si>
    <t>Net changes of Cash Flow for the period</t>
  </si>
  <si>
    <t>Cash at the End of period</t>
  </si>
  <si>
    <t>Cash at the Beginning of period</t>
  </si>
  <si>
    <t>Projected Balance Sheet Consolidated</t>
  </si>
  <si>
    <t>USD/RUR on month last day</t>
  </si>
  <si>
    <t>Assets</t>
  </si>
  <si>
    <r>
      <t>Non-current assets
including</t>
    </r>
    <r>
      <rPr>
        <i/>
        <sz val="10"/>
        <color indexed="62"/>
        <rFont val="Trebuchet MS"/>
        <family val="2"/>
        <charset val="204"/>
      </rPr>
      <t>:</t>
    </r>
  </si>
  <si>
    <t>Property, plant, equipment</t>
  </si>
  <si>
    <t>Other non-current assets</t>
  </si>
  <si>
    <r>
      <t>Current assets
   including</t>
    </r>
    <r>
      <rPr>
        <i/>
        <sz val="10"/>
        <color indexed="62"/>
        <rFont val="Trebuchet MS"/>
        <family val="2"/>
        <charset val="204"/>
      </rPr>
      <t>:</t>
    </r>
  </si>
  <si>
    <t>Other materials</t>
  </si>
  <si>
    <t>Cash &amp; cash equivalents</t>
  </si>
  <si>
    <t>Other current assets</t>
  </si>
  <si>
    <t>TOTAL ASSETS</t>
  </si>
  <si>
    <t>Equity and liabilities</t>
  </si>
  <si>
    <r>
      <t>Shareholders' equity</t>
    </r>
    <r>
      <rPr>
        <i/>
        <sz val="10"/>
        <color indexed="62"/>
        <rFont val="Trebuchet MS"/>
        <family val="2"/>
        <charset val="204"/>
      </rPr>
      <t xml:space="preserve">
including:</t>
    </r>
  </si>
  <si>
    <t>Paid-up capital</t>
  </si>
  <si>
    <t>Reserves</t>
  </si>
  <si>
    <t>Fixed assets revaluation</t>
  </si>
  <si>
    <t>Reatined earnings of previous years</t>
  </si>
  <si>
    <t>Reatined earnings of current years</t>
  </si>
  <si>
    <r>
      <t>Long-term liabilities</t>
    </r>
    <r>
      <rPr>
        <i/>
        <sz val="10"/>
        <color indexed="62"/>
        <rFont val="Trebuchet MS"/>
        <family val="2"/>
        <charset val="204"/>
      </rPr>
      <t xml:space="preserve">
including:</t>
    </r>
  </si>
  <si>
    <t>Long-term loans</t>
  </si>
  <si>
    <t>Long-term leasing</t>
  </si>
  <si>
    <t>Other long-term obligations</t>
  </si>
  <si>
    <r>
      <t>Short-term liabilities</t>
    </r>
    <r>
      <rPr>
        <i/>
        <sz val="10"/>
        <color indexed="62"/>
        <rFont val="Trebuchet MS"/>
        <family val="2"/>
        <charset val="204"/>
      </rPr>
      <t xml:space="preserve">
including:</t>
    </r>
  </si>
  <si>
    <t>Short-term loans</t>
  </si>
  <si>
    <t>Short-term leasing</t>
  </si>
  <si>
    <t>Trade finance</t>
  </si>
  <si>
    <t>Other short-term obligations</t>
  </si>
  <si>
    <t>TOTAL EQUITY AND LIABILITIES</t>
  </si>
  <si>
    <t>Assuming:</t>
  </si>
  <si>
    <t>Accounts Payable</t>
  </si>
  <si>
    <t>Accounts receivable</t>
  </si>
  <si>
    <t>Copyright © Mikhail Cherkasov,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</si>
</sst>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.0%"/>
    <numFmt numFmtId="165" formatCode="0.0000"/>
    <numFmt numFmtId="166" formatCode="_-* #,##0.0\ _г_р_н_._-;\-* #,##0.0\ _г_р_н_._-;_-* &quot;-&quot;??\ _г_р_н_._-;_-@_-"/>
    <numFmt numFmtId="167" formatCode="#,##0\ &quot;zł&quot;;[Red]\-#,##0\ &quot;zł&quot;"/>
    <numFmt numFmtId="168" formatCode="_-* #,##0_р_._-;\-* #,##0_р_._-;_-* &quot;-&quot;??_р_._-;_-@_-"/>
    <numFmt numFmtId="169" formatCode="#,##0.0"/>
    <numFmt numFmtId="170" formatCode="#,##0.0000"/>
    <numFmt numFmtId="171" formatCode="#,##0.000"/>
    <numFmt numFmtId="172" formatCode="[$$-C09]#,##0;[Red]\-[$$-C09]#,##0"/>
    <numFmt numFmtId="173" formatCode="0.0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indexed="55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04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2"/>
      <name val="Arial"/>
      <family val="2"/>
      <charset val="204"/>
    </font>
    <font>
      <b/>
      <sz val="11"/>
      <name val="Arial CE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name val="Tms Rmn PL"/>
      <family val="1"/>
    </font>
    <font>
      <sz val="10"/>
      <name val="Arial"/>
      <family val="2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8"/>
      <name val="Arial"/>
      <family val="2"/>
    </font>
    <font>
      <sz val="11"/>
      <color indexed="52"/>
      <name val="Calibri"/>
      <family val="2"/>
      <charset val="204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04"/>
    </font>
    <font>
      <sz val="11"/>
      <color indexed="6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MS Serif"/>
      <family val="1"/>
    </font>
    <font>
      <sz val="10"/>
      <name val="Arial"/>
      <family val="2"/>
      <charset val="204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04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04"/>
    </font>
    <font>
      <sz val="11"/>
      <color indexed="20"/>
      <name val="Czcionka tekstu podstawowego"/>
      <family val="2"/>
      <charset val="238"/>
    </font>
    <font>
      <sz val="8"/>
      <name val="Arial CYR"/>
      <charset val="204"/>
    </font>
    <font>
      <sz val="8"/>
      <name val="Verdana"/>
      <family val="2"/>
      <charset val="204"/>
    </font>
    <font>
      <sz val="16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sz val="10"/>
      <color theme="3" tint="0.39997558519241921"/>
      <name val="Trebuchet MS"/>
      <family val="2"/>
      <charset val="204"/>
    </font>
    <font>
      <i/>
      <sz val="10"/>
      <color indexed="62"/>
      <name val="Trebuchet MS"/>
      <family val="2"/>
      <charset val="204"/>
    </font>
    <font>
      <b/>
      <sz val="14"/>
      <color theme="3" tint="0.39997558519241921"/>
      <name val="Trebuchet MS"/>
      <family val="2"/>
      <charset val="204"/>
    </font>
    <font>
      <b/>
      <sz val="8"/>
      <color rgb="FFFF0000"/>
      <name val="Trebuchet MS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  <bgColor rgb="FF00B0F0"/>
      </patternFill>
    </fill>
    <fill>
      <patternFill patternType="solid">
        <fgColor rgb="FF66FFFF"/>
        <bgColor indexed="64"/>
      </patternFill>
    </fill>
    <fill>
      <patternFill patternType="solid">
        <fgColor rgb="FFFF33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3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2" applyNumberFormat="0" applyAlignment="0" applyProtection="0"/>
    <xf numFmtId="0" fontId="18" fillId="23" borderId="3" applyNumberFormat="0" applyAlignment="0" applyProtection="0"/>
    <xf numFmtId="3" fontId="19" fillId="0" borderId="0" applyFont="0" applyFill="0" applyBorder="0" applyAlignment="0" applyProtection="0"/>
    <xf numFmtId="1" fontId="20" fillId="24" borderId="0"/>
    <xf numFmtId="0" fontId="21" fillId="9" borderId="2" applyNumberFormat="0" applyAlignment="0" applyProtection="0"/>
    <xf numFmtId="0" fontId="22" fillId="22" borderId="4" applyNumberFormat="0" applyAlignment="0" applyProtection="0"/>
    <xf numFmtId="49" fontId="23" fillId="0" borderId="5">
      <alignment horizontal="right" wrapText="1"/>
    </xf>
    <xf numFmtId="166" fontId="24" fillId="0" borderId="0" applyFont="0" applyFill="0" applyBorder="0" applyAlignment="0" applyProtection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2" applyNumberFormat="0" applyAlignment="0" applyProtection="0"/>
    <xf numFmtId="0" fontId="32" fillId="0" borderId="9" applyNumberFormat="0" applyFill="0" applyAlignment="0" applyProtection="0"/>
    <xf numFmtId="0" fontId="33" fillId="23" borderId="3" applyNumberFormat="0" applyAlignment="0" applyProtection="0"/>
    <xf numFmtId="167" fontId="34" fillId="0" borderId="0" applyFont="0" applyFill="0" applyBorder="0" applyAlignment="0" applyProtection="0"/>
    <xf numFmtId="0" fontId="35" fillId="0" borderId="9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40" fillId="25" borderId="0" applyNumberFormat="0" applyBorder="0" applyAlignment="0" applyProtection="0"/>
    <xf numFmtId="0" fontId="11" fillId="0" borderId="10"/>
    <xf numFmtId="0" fontId="1" fillId="0" borderId="0"/>
    <xf numFmtId="0" fontId="41" fillId="0" borderId="0"/>
    <xf numFmtId="0" fontId="12" fillId="0" borderId="0"/>
    <xf numFmtId="0" fontId="42" fillId="0" borderId="0"/>
    <xf numFmtId="0" fontId="11" fillId="0" borderId="0"/>
    <xf numFmtId="37" fontId="43" fillId="0" borderId="0"/>
    <xf numFmtId="0" fontId="44" fillId="0" borderId="0"/>
    <xf numFmtId="0" fontId="42" fillId="26" borderId="11" applyNumberFormat="0" applyFont="0" applyAlignment="0" applyProtection="0"/>
    <xf numFmtId="0" fontId="45" fillId="22" borderId="2" applyNumberFormat="0" applyAlignment="0" applyProtection="0"/>
    <xf numFmtId="0" fontId="46" fillId="22" borderId="4" applyNumberFormat="0" applyAlignment="0" applyProtection="0"/>
    <xf numFmtId="0" fontId="4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53" fillId="26" borderId="11" applyNumberFormat="0" applyFont="0" applyAlignment="0" applyProtection="0"/>
    <xf numFmtId="0" fontId="54" fillId="0" borderId="0" applyNumberFormat="0" applyFill="0" applyBorder="0" applyAlignment="0" applyProtection="0"/>
    <xf numFmtId="0" fontId="55" fillId="5" borderId="0" applyNumberFormat="0" applyBorder="0" applyAlignment="0" applyProtection="0"/>
    <xf numFmtId="0" fontId="56" fillId="0" borderId="0"/>
    <xf numFmtId="0" fontId="44" fillId="0" borderId="0"/>
    <xf numFmtId="0" fontId="57" fillId="0" borderId="0"/>
    <xf numFmtId="0" fontId="1" fillId="0" borderId="0"/>
    <xf numFmtId="0" fontId="44" fillId="0" borderId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42" fillId="0" borderId="0"/>
  </cellStyleXfs>
  <cellXfs count="1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/>
    <xf numFmtId="10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0" fillId="0" borderId="0" xfId="2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0" fillId="0" borderId="0" xfId="0" applyNumberFormat="1" applyFont="1"/>
    <xf numFmtId="0" fontId="7" fillId="0" borderId="0" xfId="0" applyFont="1" applyAlignment="1">
      <alignment vertical="center"/>
    </xf>
    <xf numFmtId="3" fontId="2" fillId="0" borderId="0" xfId="0" applyNumberFormat="1" applyFont="1" applyAlignment="1">
      <alignment horizontal="left"/>
    </xf>
    <xf numFmtId="3" fontId="0" fillId="0" borderId="0" xfId="0" applyNumberFormat="1" applyAlignment="1">
      <alignment vertical="center" wrapText="1"/>
    </xf>
    <xf numFmtId="3" fontId="7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9" fontId="0" fillId="0" borderId="0" xfId="2" applyFont="1" applyAlignment="1">
      <alignment vertical="center"/>
    </xf>
    <xf numFmtId="0" fontId="7" fillId="0" borderId="0" xfId="0" applyFont="1" applyAlignment="1">
      <alignment horizontal="left" vertical="center"/>
    </xf>
    <xf numFmtId="164" fontId="0" fillId="0" borderId="0" xfId="2" applyNumberFormat="1" applyFont="1" applyAlignment="1">
      <alignment vertical="center"/>
    </xf>
    <xf numFmtId="10" fontId="0" fillId="0" borderId="0" xfId="2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8" fontId="1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38" fontId="0" fillId="0" borderId="0" xfId="0" applyNumberFormat="1" applyFont="1" applyAlignment="1">
      <alignment vertical="center"/>
    </xf>
    <xf numFmtId="38" fontId="0" fillId="0" borderId="0" xfId="0" applyNumberFormat="1" applyAlignment="1">
      <alignment vertical="center"/>
    </xf>
    <xf numFmtId="0" fontId="9" fillId="0" borderId="0" xfId="0" applyFont="1" applyAlignment="1">
      <alignment vertical="center" wrapText="1"/>
    </xf>
    <xf numFmtId="38" fontId="9" fillId="0" borderId="0" xfId="0" applyNumberFormat="1" applyFont="1" applyAlignment="1">
      <alignment vertical="center"/>
    </xf>
    <xf numFmtId="38" fontId="3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8" fontId="0" fillId="0" borderId="0" xfId="1" applyNumberFormat="1" applyFont="1" applyAlignment="1">
      <alignment vertical="center"/>
    </xf>
    <xf numFmtId="16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Font="1" applyAlignment="1">
      <alignment horizontal="left"/>
    </xf>
    <xf numFmtId="3" fontId="7" fillId="0" borderId="0" xfId="0" applyNumberFormat="1" applyFont="1" applyAlignment="1">
      <alignment vertical="center" wrapText="1"/>
    </xf>
    <xf numFmtId="168" fontId="2" fillId="0" borderId="1" xfId="1" applyNumberFormat="1" applyFont="1" applyBorder="1" applyAlignment="1">
      <alignment vertical="center"/>
    </xf>
    <xf numFmtId="9" fontId="1" fillId="0" borderId="0" xfId="2" applyFont="1" applyBorder="1" applyAlignment="1">
      <alignment vertical="center"/>
    </xf>
    <xf numFmtId="168" fontId="1" fillId="0" borderId="0" xfId="1" applyNumberFormat="1" applyFont="1" applyBorder="1" applyAlignment="1">
      <alignment vertical="center"/>
    </xf>
    <xf numFmtId="170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3" fontId="0" fillId="0" borderId="13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3" fontId="0" fillId="0" borderId="0" xfId="1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8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left" vertical="center"/>
    </xf>
    <xf numFmtId="171" fontId="0" fillId="0" borderId="0" xfId="0" applyNumberFormat="1" applyAlignment="1">
      <alignment vertical="center"/>
    </xf>
    <xf numFmtId="0" fontId="61" fillId="27" borderId="0" xfId="108" applyFont="1" applyFill="1" applyAlignment="1">
      <alignment horizontal="right" vertical="center"/>
    </xf>
    <xf numFmtId="170" fontId="62" fillId="0" borderId="0" xfId="0" applyNumberFormat="1" applyFont="1" applyAlignment="1">
      <alignment horizontal="center" vertical="center"/>
    </xf>
    <xf numFmtId="0" fontId="64" fillId="28" borderId="1" xfId="108" applyFont="1" applyFill="1" applyBorder="1" applyAlignment="1">
      <alignment horizontal="left" vertical="center" wrapText="1" indent="1"/>
    </xf>
    <xf numFmtId="0" fontId="65" fillId="0" borderId="23" xfId="108" applyFont="1" applyBorder="1" applyAlignment="1">
      <alignment horizontal="left" vertical="center" wrapText="1" indent="1"/>
    </xf>
    <xf numFmtId="3" fontId="2" fillId="0" borderId="22" xfId="0" applyNumberFormat="1" applyFont="1" applyBorder="1" applyAlignment="1">
      <alignment vertical="center"/>
    </xf>
    <xf numFmtId="0" fontId="63" fillId="0" borderId="23" xfId="108" applyFont="1" applyFill="1" applyBorder="1" applyAlignment="1">
      <alignment horizontal="left" vertical="center" wrapText="1" indent="2"/>
    </xf>
    <xf numFmtId="3" fontId="0" fillId="0" borderId="23" xfId="0" applyNumberFormat="1" applyBorder="1" applyAlignment="1">
      <alignment vertical="center"/>
    </xf>
    <xf numFmtId="3" fontId="0" fillId="0" borderId="23" xfId="0" applyNumberFormat="1" applyBorder="1"/>
    <xf numFmtId="0" fontId="63" fillId="0" borderId="23" xfId="108" applyFont="1" applyBorder="1" applyAlignment="1">
      <alignment horizontal="left" vertical="center" wrapText="1" indent="2"/>
    </xf>
    <xf numFmtId="0" fontId="65" fillId="0" borderId="23" xfId="108" applyFont="1" applyFill="1" applyBorder="1" applyAlignment="1">
      <alignment horizontal="left" vertical="center" wrapText="1" indent="1"/>
    </xf>
    <xf numFmtId="3" fontId="2" fillId="0" borderId="23" xfId="0" applyNumberFormat="1" applyFont="1" applyBorder="1" applyAlignment="1">
      <alignment vertical="center"/>
    </xf>
    <xf numFmtId="3" fontId="0" fillId="0" borderId="23" xfId="0" applyNumberFormat="1" applyFont="1" applyBorder="1" applyAlignment="1">
      <alignment vertical="center"/>
    </xf>
    <xf numFmtId="3" fontId="0" fillId="0" borderId="1" xfId="0" applyNumberFormat="1" applyBorder="1"/>
    <xf numFmtId="0" fontId="67" fillId="0" borderId="1" xfId="108" applyFont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vertical="center"/>
    </xf>
    <xf numFmtId="38" fontId="63" fillId="0" borderId="23" xfId="108" applyNumberFormat="1" applyFont="1" applyFill="1" applyBorder="1" applyAlignment="1">
      <alignment horizontal="left" vertical="center" wrapText="1" indent="2"/>
    </xf>
    <xf numFmtId="38" fontId="0" fillId="0" borderId="0" xfId="0" applyNumberFormat="1"/>
    <xf numFmtId="0" fontId="63" fillId="0" borderId="23" xfId="108" applyFont="1" applyFill="1" applyBorder="1" applyAlignment="1">
      <alignment horizontal="left" vertical="center" wrapText="1" indent="1"/>
    </xf>
    <xf numFmtId="0" fontId="68" fillId="0" borderId="0" xfId="108" applyFont="1" applyBorder="1" applyAlignment="1">
      <alignment horizontal="left" vertical="center" wrapText="1" indent="1"/>
    </xf>
    <xf numFmtId="3" fontId="69" fillId="0" borderId="0" xfId="0" applyNumberFormat="1" applyFont="1" applyBorder="1" applyAlignment="1">
      <alignment vertical="center"/>
    </xf>
    <xf numFmtId="0" fontId="69" fillId="0" borderId="0" xfId="0" applyFont="1"/>
    <xf numFmtId="38" fontId="0" fillId="0" borderId="0" xfId="0" applyNumberFormat="1" applyBorder="1"/>
    <xf numFmtId="9" fontId="60" fillId="29" borderId="0" xfId="2" applyFont="1" applyFill="1" applyAlignment="1">
      <alignment horizontal="center" vertical="center" wrapText="1"/>
    </xf>
    <xf numFmtId="9" fontId="6" fillId="29" borderId="0" xfId="2" applyFont="1" applyFill="1" applyAlignment="1">
      <alignment horizontal="center" vertical="center"/>
    </xf>
    <xf numFmtId="172" fontId="0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73" fontId="0" fillId="0" borderId="0" xfId="0" applyNumberFormat="1" applyAlignment="1">
      <alignment vertical="center"/>
    </xf>
    <xf numFmtId="3" fontId="0" fillId="0" borderId="0" xfId="0" applyNumberFormat="1" applyFont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3" fontId="70" fillId="0" borderId="0" xfId="0" applyNumberFormat="1" applyFont="1" applyAlignment="1">
      <alignment horizontal="center" vertical="center"/>
    </xf>
    <xf numFmtId="3" fontId="60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9" fillId="29" borderId="0" xfId="0" applyNumberFormat="1" applyFont="1" applyFill="1" applyAlignment="1">
      <alignment vertical="center"/>
    </xf>
    <xf numFmtId="38" fontId="59" fillId="29" borderId="25" xfId="0" applyNumberFormat="1" applyFont="1" applyFill="1" applyBorder="1"/>
    <xf numFmtId="0" fontId="2" fillId="0" borderId="0" xfId="0" applyFont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9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Alignment="1">
      <alignment vertical="center"/>
    </xf>
    <xf numFmtId="3" fontId="3" fillId="30" borderId="1" xfId="0" applyNumberFormat="1" applyFont="1" applyFill="1" applyBorder="1" applyAlignment="1">
      <alignment horizontal="center" vertical="center"/>
    </xf>
    <xf numFmtId="3" fontId="5" fillId="3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38" fontId="7" fillId="0" borderId="1" xfId="0" applyNumberFormat="1" applyFont="1" applyBorder="1" applyAlignment="1">
      <alignment horizontal="center" vertical="center"/>
    </xf>
    <xf numFmtId="10" fontId="71" fillId="0" borderId="0" xfId="2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3" fillId="0" borderId="23" xfId="108" applyFont="1" applyBorder="1" applyAlignment="1">
      <alignment horizontal="left" vertical="center" wrapText="1" inden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3" fillId="27" borderId="22" xfId="108" applyFont="1" applyFill="1" applyBorder="1" applyAlignment="1">
      <alignment horizontal="center" vertical="center" wrapText="1"/>
    </xf>
    <xf numFmtId="0" fontId="63" fillId="27" borderId="23" xfId="108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09">
    <cellStyle name="1Normal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akcent 1" xfId="10"/>
    <cellStyle name="20% - akcent 2" xfId="11"/>
    <cellStyle name="20% - akcent 3" xfId="12"/>
    <cellStyle name="20% - akcent 4" xfId="13"/>
    <cellStyle name="20% - akcent 5" xfId="14"/>
    <cellStyle name="20% - akcent 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akcent 1" xfId="22"/>
    <cellStyle name="40% - akcent 2" xfId="23"/>
    <cellStyle name="40% - akcent 3" xfId="24"/>
    <cellStyle name="40% - akcent 4" xfId="25"/>
    <cellStyle name="40% - akcent 5" xfId="26"/>
    <cellStyle name="40% - akcent 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akcent 1" xfId="34"/>
    <cellStyle name="60% - akcent 2" xfId="35"/>
    <cellStyle name="60% - akcent 3" xfId="36"/>
    <cellStyle name="60% - akcent 4" xfId="37"/>
    <cellStyle name="60% - akcent 5" xfId="38"/>
    <cellStyle name="60% - akcent 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Akcent 1" xfId="46"/>
    <cellStyle name="Akcent 2" xfId="47"/>
    <cellStyle name="Akcent 3" xfId="48"/>
    <cellStyle name="Akcent 4" xfId="49"/>
    <cellStyle name="Akcent 5" xfId="50"/>
    <cellStyle name="Akcent 6" xfId="51"/>
    <cellStyle name="Bad" xfId="52"/>
    <cellStyle name="Calculation" xfId="53"/>
    <cellStyle name="Check Cell" xfId="54"/>
    <cellStyle name="Comma0" xfId="55"/>
    <cellStyle name="D" xfId="56"/>
    <cellStyle name="Dane wejściowe" xfId="57"/>
    <cellStyle name="Dane wyjściowe" xfId="58"/>
    <cellStyle name="Data" xfId="59"/>
    <cellStyle name="Dezimal_2 Pages" xfId="60"/>
    <cellStyle name="Dobre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Input" xfId="68"/>
    <cellStyle name="Komórka połączona" xfId="69"/>
    <cellStyle name="Komórka zaznaczona" xfId="70"/>
    <cellStyle name="KS_Number_Smart[0]" xfId="71"/>
    <cellStyle name="Linked Cell" xfId="72"/>
    <cellStyle name="Nagłówek 1" xfId="73"/>
    <cellStyle name="Nagłówek 2" xfId="74"/>
    <cellStyle name="Nagłówek 3" xfId="75"/>
    <cellStyle name="Nagłówek 4" xfId="76"/>
    <cellStyle name="Neutral" xfId="77"/>
    <cellStyle name="Neutralne" xfId="78"/>
    <cellStyle name="Norma11l" xfId="79"/>
    <cellStyle name="Normal 2" xfId="80"/>
    <cellStyle name="Normal 2 3 2" xfId="81"/>
    <cellStyle name="Normal 2_model_TMT" xfId="82"/>
    <cellStyle name="Normal 4" xfId="83"/>
    <cellStyle name="Normal_MACRO" xfId="84"/>
    <cellStyle name="Normale_Ericsson" xfId="85"/>
    <cellStyle name="Normalny_finansowe2" xfId="86"/>
    <cellStyle name="Note" xfId="87"/>
    <cellStyle name="Obliczenia" xfId="88"/>
    <cellStyle name="Output" xfId="89"/>
    <cellStyle name="Suma" xfId="90"/>
    <cellStyle name="Tekst objaśnienia" xfId="91"/>
    <cellStyle name="Tekst ostrzeżenia" xfId="92"/>
    <cellStyle name="Title" xfId="93"/>
    <cellStyle name="Total" xfId="94"/>
    <cellStyle name="Tytuł" xfId="95"/>
    <cellStyle name="Uwaga" xfId="96"/>
    <cellStyle name="Warning Text" xfId="97"/>
    <cellStyle name="Złe" xfId="98"/>
    <cellStyle name="Обычный" xfId="0" builtinId="0"/>
    <cellStyle name="Обычный 2" xfId="99"/>
    <cellStyle name="Обычный 2 2" xfId="100"/>
    <cellStyle name="Обычный 3" xfId="101"/>
    <cellStyle name="Обычный 3 2" xfId="102"/>
    <cellStyle name="Обычный 4" xfId="103"/>
    <cellStyle name="Обычный_Баланс агрегированный" xfId="108"/>
    <cellStyle name="Процентный" xfId="2" builtinId="5"/>
    <cellStyle name="Процентный 2" xfId="104"/>
    <cellStyle name="Процентный 3" xfId="105"/>
    <cellStyle name="Тысячи [0]_Chart1 (Sales &amp; Costs)" xfId="106"/>
    <cellStyle name="Тысячи_Chart1 (Sales &amp; Costs)" xfId="107"/>
    <cellStyle name="Финансовый" xfId="1" builtinId="3"/>
  </cellStyles>
  <dxfs count="0"/>
  <tableStyles count="0" defaultTableStyle="TableStyleMedium2" defaultPivotStyle="PivotStyleLight16"/>
  <colors>
    <mruColors>
      <color rgb="FFFF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HAI~1/AppData/Local/Temp/7zOFAC5.tmp/Trading%20models/&#1052;&#1086;&#1076;&#1077;&#1083;&#1100;%20&#1090;&#1086;&#1088;&#1075;&#1086;&#1074;&#1083;&#1080;%202012%20&#1075;&#1086;&#1076;&#1072;,%20ver.%203.22%20&#1056;&#1057;&#1061;&#10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HAI~1/AppData/Local/Temp/7zOFAC5.tmp/Trading%20models/Model_transshipment%20ver.%204.01%20&#1056;&#1057;&#1061;&#104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HAI~1/AppData/Local/Temp/7zOFAC5.tmp/Teaching/&#1050;&#1091;&#1088;&#1089;%20&#1060;&#1080;&#1085;&#1072;&#1085;&#1089;&#1080;&#1088;&#1086;&#1074;&#1072;&#1085;&#1080;&#1077;/&#1054;&#1073;&#1097;&#1080;&#1077;%20&#1090;&#1077;&#1084;&#1099;%20&#1082;&#1091;&#1088;&#1089;&#1072;/&#1050;&#1091;&#1088;&#1089;%20&#1060;&#1080;&#1085;&#1072;&#1085;&#1089;&#1080;&#1088;&#1086;&#1074;&#1072;&#1085;&#1080;&#1077;.%20Stage%201.%20Com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KPI"/>
      <sheetName val="Summary Loans"/>
      <sheetName val="Summary FinRes"/>
      <sheetName val="Summary USD_mt"/>
      <sheetName val="Quotas_months"/>
      <sheetName val="Assumptions"/>
      <sheetName val="Компания 1 2011"/>
      <sheetName val="Компания 2 2011"/>
      <sheetName val="International 2011"/>
      <sheetName val="Proceeds Trade"/>
      <sheetName val="Supply Trade"/>
      <sheetName val="FinCosts"/>
      <sheetName val="P&amp;L Trade"/>
      <sheetName val="Cash Flow Glob"/>
      <sheetName val="Cash Flow Quart."/>
      <sheetName val="RepSch_Co1"/>
      <sheetName val="RepSch_Co2"/>
      <sheetName val="RepSch_BNPP"/>
      <sheetName val="BS &amp; NWC draft"/>
      <sheetName val="BS &amp; NWC"/>
      <sheetName val="P&amp;L Tr&amp;Shipm"/>
      <sheetName val="Cash Flow Tr&amp;Shipm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29.3948</v>
          </cell>
        </row>
        <row r="125">
          <cell r="B125">
            <v>0.03</v>
          </cell>
        </row>
      </sheetData>
      <sheetData sheetId="6"/>
      <sheetData sheetId="7"/>
      <sheetData sheetId="8"/>
      <sheetData sheetId="9"/>
      <sheetData sheetId="10"/>
      <sheetData sheetId="11">
        <row r="9">
          <cell r="C9">
            <v>0</v>
          </cell>
        </row>
      </sheetData>
      <sheetData sheetId="12">
        <row r="6">
          <cell r="B6">
            <v>213658251.22275466</v>
          </cell>
        </row>
      </sheetData>
      <sheetData sheetId="13">
        <row r="8">
          <cell r="C8">
            <v>-222730903.81421447</v>
          </cell>
        </row>
      </sheetData>
      <sheetData sheetId="14"/>
      <sheetData sheetId="15"/>
      <sheetData sheetId="16"/>
      <sheetData sheetId="17"/>
      <sheetData sheetId="18">
        <row r="49">
          <cell r="D49">
            <v>0</v>
          </cell>
        </row>
      </sheetData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Долг"/>
      <sheetName val="NWC"/>
      <sheetName val="PL"/>
      <sheetName val="CF"/>
      <sheetName val="CF quartely"/>
      <sheetName val="Repayment_schedule"/>
      <sheetName val="FinSummary"/>
    </sheetNames>
    <sheetDataSet>
      <sheetData sheetId="0"/>
      <sheetData sheetId="1">
        <row r="4">
          <cell r="C4">
            <v>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роение модели"/>
      <sheetName val="Бизнес-процесс"/>
      <sheetName val="Продажи"/>
      <sheetName val="Земля"/>
      <sheetName val="Факторы риска"/>
      <sheetName val="Pr P&amp;L 2012"/>
      <sheetName val="Tr P&amp;L 2012"/>
      <sheetName val="Cons P&amp;L 2012"/>
      <sheetName val="Pr BS 2012"/>
      <sheetName val="Tr BS 2012"/>
      <sheetName val="Cons BS 2012"/>
      <sheetName val="Pr CF 2012"/>
      <sheetName val="Tr CF 2012"/>
      <sheetName val="Cons CF 2012"/>
      <sheetName val="Предположения"/>
      <sheetName val="Pr Sales"/>
      <sheetName val="Pr Costs"/>
      <sheetName val="Лизинг"/>
      <sheetName val="Pr Fin"/>
      <sheetName val="Tr Sales Costs"/>
      <sheetName val="Tr Fin"/>
      <sheetName val="Pr P&amp;L proj"/>
      <sheetName val="Tr P&amp;L proj"/>
      <sheetName val="Cons P&amp;L proj"/>
      <sheetName val="Valuation"/>
      <sheetName val="Pr CF proj"/>
      <sheetName val="Tr CF proj"/>
      <sheetName val="Cons CF proj"/>
      <sheetName val="Pr BS proj"/>
      <sheetName val="Tr BS proj"/>
      <sheetName val="Cons BS proj"/>
      <sheetName val="Summary"/>
      <sheetName val="Pr CF quart"/>
      <sheetName val="Tr CF quart"/>
      <sheetName val="Cons CF quart"/>
      <sheetName val="Com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/>
  </sheetViews>
  <sheetFormatPr defaultRowHeight="14.4"/>
  <cols>
    <col min="1" max="1" width="95.5546875" style="4" customWidth="1"/>
    <col min="2" max="2" width="35.5546875" style="4" customWidth="1"/>
    <col min="3" max="3" width="22.21875" style="4" customWidth="1"/>
    <col min="4" max="16384" width="8.88671875" style="4"/>
  </cols>
  <sheetData>
    <row r="1" spans="1:3" ht="21">
      <c r="A1" s="43" t="s">
        <v>18</v>
      </c>
    </row>
    <row r="2" spans="1:3" ht="18.600000000000001" thickBot="1">
      <c r="A2" s="26"/>
    </row>
    <row r="3" spans="1:3" ht="18.600000000000001" thickBot="1">
      <c r="A3" s="16" t="s">
        <v>19</v>
      </c>
      <c r="B3" s="123">
        <f>Assumptions!B27</f>
        <v>400000</v>
      </c>
    </row>
    <row r="4" spans="1:3">
      <c r="A4" s="4" t="s">
        <v>20</v>
      </c>
      <c r="B4" s="122" t="s">
        <v>21</v>
      </c>
    </row>
    <row r="5" spans="1:3">
      <c r="A5" s="4" t="s">
        <v>23</v>
      </c>
      <c r="B5" s="133" t="s">
        <v>22</v>
      </c>
    </row>
    <row r="6" spans="1:3">
      <c r="A6" s="4" t="s">
        <v>24</v>
      </c>
      <c r="B6" s="39">
        <v>800000</v>
      </c>
    </row>
    <row r="7" spans="1:3">
      <c r="B7" s="122"/>
    </row>
    <row r="8" spans="1:3" ht="18">
      <c r="A8" s="26" t="s">
        <v>25</v>
      </c>
    </row>
    <row r="9" spans="1:3" ht="31.2">
      <c r="A9" s="13" t="s">
        <v>26</v>
      </c>
      <c r="B9" s="19" t="s">
        <v>27</v>
      </c>
      <c r="C9" s="1" t="s">
        <v>28</v>
      </c>
    </row>
    <row r="10" spans="1:3">
      <c r="A10" s="4" t="s">
        <v>29</v>
      </c>
      <c r="B10" s="124">
        <f>Assumptions!C63</f>
        <v>10</v>
      </c>
      <c r="C10" s="127">
        <f>B10/Assumptions!$D$52</f>
        <v>3.7037037037037035E-2</v>
      </c>
    </row>
    <row r="11" spans="1:3">
      <c r="A11" s="4" t="s">
        <v>30</v>
      </c>
      <c r="B11" s="124">
        <f>Assumptions!C66</f>
        <v>3</v>
      </c>
      <c r="C11" s="127">
        <f>B11/Assumptions!$D$52</f>
        <v>1.1111111111111112E-2</v>
      </c>
    </row>
    <row r="12" spans="1:3">
      <c r="A12" s="4" t="s">
        <v>31</v>
      </c>
      <c r="B12" s="124">
        <f>Assumptions!C69</f>
        <v>3</v>
      </c>
      <c r="C12" s="127">
        <f>B12/Assumptions!$D$52</f>
        <v>1.1111111111111112E-2</v>
      </c>
    </row>
    <row r="13" spans="1:3">
      <c r="A13" s="4" t="s">
        <v>32</v>
      </c>
      <c r="B13" s="124">
        <f>Assumptions!C70</f>
        <v>5</v>
      </c>
      <c r="C13" s="127">
        <f>B13/Assumptions!$D$52</f>
        <v>1.8518518518518517E-2</v>
      </c>
    </row>
    <row r="14" spans="1:3">
      <c r="A14" s="13" t="s">
        <v>33</v>
      </c>
      <c r="C14" s="127"/>
    </row>
    <row r="15" spans="1:3">
      <c r="A15" s="4" t="s">
        <v>29</v>
      </c>
      <c r="B15" s="8">
        <f>Assumptions!D63</f>
        <v>12</v>
      </c>
      <c r="C15" s="127">
        <f>B15/Assumptions!$D$52</f>
        <v>4.4444444444444446E-2</v>
      </c>
    </row>
    <row r="16" spans="1:3">
      <c r="A16" s="4" t="s">
        <v>30</v>
      </c>
      <c r="B16" s="8">
        <f>Assumptions!D66</f>
        <v>5</v>
      </c>
      <c r="C16" s="127">
        <f>B16/Assumptions!$D$52</f>
        <v>1.8518518518518517E-2</v>
      </c>
    </row>
    <row r="17" spans="1:3">
      <c r="A17" s="4" t="s">
        <v>31</v>
      </c>
      <c r="B17" s="8">
        <f>Assumptions!D69</f>
        <v>9</v>
      </c>
      <c r="C17" s="127">
        <f>B17/Assumptions!$D$52</f>
        <v>3.3333333333333333E-2</v>
      </c>
    </row>
    <row r="18" spans="1:3">
      <c r="A18" s="4" t="s">
        <v>32</v>
      </c>
      <c r="B18" s="8">
        <f>Assumptions!D70</f>
        <v>12</v>
      </c>
      <c r="C18" s="127">
        <f>B18/Assumptions!$D$52</f>
        <v>4.4444444444444446E-2</v>
      </c>
    </row>
    <row r="19" spans="1:3">
      <c r="A19" s="13" t="s">
        <v>34</v>
      </c>
      <c r="C19" s="127"/>
    </row>
    <row r="20" spans="1:3">
      <c r="A20" s="4" t="s">
        <v>29</v>
      </c>
      <c r="B20" s="8">
        <f>Assumptions!E63</f>
        <v>15</v>
      </c>
      <c r="C20" s="127">
        <f>B20/Assumptions!$D$52</f>
        <v>5.5555555555555552E-2</v>
      </c>
    </row>
    <row r="21" spans="1:3">
      <c r="A21" s="4" t="s">
        <v>30</v>
      </c>
      <c r="B21" s="8">
        <f>Assumptions!E66</f>
        <v>7</v>
      </c>
      <c r="C21" s="127">
        <f>B21/Assumptions!$D$52</f>
        <v>2.5925925925925925E-2</v>
      </c>
    </row>
    <row r="22" spans="1:3">
      <c r="A22" s="4" t="s">
        <v>31</v>
      </c>
      <c r="B22" s="8">
        <f>Assumptions!E69</f>
        <v>15</v>
      </c>
      <c r="C22" s="127">
        <f>B22/Assumptions!$D$52</f>
        <v>5.5555555555555552E-2</v>
      </c>
    </row>
    <row r="23" spans="1:3">
      <c r="A23" s="4" t="s">
        <v>32</v>
      </c>
      <c r="B23" s="8">
        <f>Assumptions!E70</f>
        <v>15</v>
      </c>
      <c r="C23" s="127">
        <f>B23/Assumptions!$D$52</f>
        <v>5.5555555555555552E-2</v>
      </c>
    </row>
    <row r="25" spans="1:3" ht="18">
      <c r="A25" s="26" t="s">
        <v>35</v>
      </c>
    </row>
    <row r="26" spans="1:3" ht="15.6">
      <c r="A26" s="4" t="s">
        <v>36</v>
      </c>
      <c r="B26" s="30">
        <f>B28+B29+B30+B31</f>
        <v>35949036.727721363</v>
      </c>
    </row>
    <row r="27" spans="1:3" ht="15" thickBot="1">
      <c r="A27" s="13" t="s">
        <v>37</v>
      </c>
      <c r="B27" s="125" t="s">
        <v>422</v>
      </c>
      <c r="C27" s="125"/>
    </row>
    <row r="28" spans="1:3" ht="16.2" thickBot="1">
      <c r="A28" s="4" t="s">
        <v>38</v>
      </c>
      <c r="B28" s="131">
        <f>Assumptions!B128/Assumptions!B5</f>
        <v>949036.72772136272</v>
      </c>
    </row>
    <row r="29" spans="1:3" ht="16.2" thickBot="1">
      <c r="A29" s="4" t="s">
        <v>39</v>
      </c>
      <c r="B29" s="131">
        <f>Assumptions!B129</f>
        <v>4000000</v>
      </c>
    </row>
    <row r="30" spans="1:3" ht="16.2" thickBot="1">
      <c r="A30" s="4" t="s">
        <v>40</v>
      </c>
      <c r="B30" s="132">
        <f>Assumptions!B107</f>
        <v>21000000</v>
      </c>
    </row>
    <row r="31" spans="1:3" ht="15.6">
      <c r="A31" s="4" t="s">
        <v>41</v>
      </c>
      <c r="B31" s="126">
        <f>Assumptions!F85</f>
        <v>10000000</v>
      </c>
    </row>
    <row r="32" spans="1:3" ht="15.6">
      <c r="A32" s="4" t="s">
        <v>42</v>
      </c>
      <c r="B32" s="126">
        <f>Assumptions!D85</f>
        <v>5000000</v>
      </c>
    </row>
    <row r="34" spans="1:2" ht="18">
      <c r="A34" s="26" t="s">
        <v>43</v>
      </c>
    </row>
    <row r="35" spans="1:2">
      <c r="A35" s="4" t="s">
        <v>44</v>
      </c>
    </row>
    <row r="36" spans="1:2">
      <c r="A36" s="4" t="s">
        <v>45</v>
      </c>
    </row>
    <row r="37" spans="1:2">
      <c r="A37" s="4" t="s">
        <v>46</v>
      </c>
    </row>
    <row r="38" spans="1:2" ht="28.8">
      <c r="A38" s="2" t="s">
        <v>47</v>
      </c>
    </row>
    <row r="39" spans="1:2">
      <c r="A39" s="4" t="s">
        <v>48</v>
      </c>
    </row>
    <row r="41" spans="1:2" ht="18">
      <c r="A41" s="26" t="s">
        <v>49</v>
      </c>
    </row>
    <row r="42" spans="1:2">
      <c r="A42" s="13" t="s">
        <v>26</v>
      </c>
    </row>
    <row r="43" spans="1:2" ht="14.4" customHeight="1">
      <c r="A43" s="4" t="s">
        <v>50</v>
      </c>
      <c r="B43" s="51">
        <f>'P&amp;L Cons Bad'!B31</f>
        <v>-3221905.4058608366</v>
      </c>
    </row>
    <row r="44" spans="1:2" ht="14.4" customHeight="1" thickBot="1">
      <c r="A44" s="2" t="s">
        <v>51</v>
      </c>
      <c r="B44" s="51">
        <f>-'P&amp;L Cons Bad'!B32-'P&amp;L Cons Bad'!B24</f>
        <v>558886.22222222085</v>
      </c>
    </row>
    <row r="45" spans="1:2" ht="18.600000000000001" thickBot="1">
      <c r="A45" s="2" t="s">
        <v>52</v>
      </c>
      <c r="B45" s="139">
        <f>'P&amp;L Cons Bad'!B35</f>
        <v>-2663019.1836386155</v>
      </c>
    </row>
    <row r="46" spans="1:2" ht="14.4" customHeight="1">
      <c r="A46" s="2" t="s">
        <v>53</v>
      </c>
      <c r="B46" s="140">
        <f>B44/(B29+B28)</f>
        <v>0.11292828341557762</v>
      </c>
    </row>
    <row r="47" spans="1:2">
      <c r="A47" s="13" t="s">
        <v>33</v>
      </c>
    </row>
    <row r="48" spans="1:2" ht="14.4" customHeight="1">
      <c r="A48" s="4" t="s">
        <v>50</v>
      </c>
      <c r="B48" s="51">
        <f>'P&amp;L Cons Mid'!B31</f>
        <v>64280.840805834974</v>
      </c>
    </row>
    <row r="49" spans="1:2" ht="14.4" customHeight="1" thickBot="1">
      <c r="A49" s="2" t="s">
        <v>51</v>
      </c>
      <c r="B49" s="51">
        <f>-('P&amp;L Cons Mid'!B32+'P&amp;L Cons Mid'!B24)</f>
        <v>1601140.4204029175</v>
      </c>
    </row>
    <row r="50" spans="1:2" ht="18.600000000000001" thickBot="1">
      <c r="A50" s="2" t="s">
        <v>52</v>
      </c>
      <c r="B50" s="139">
        <f>B49+B48</f>
        <v>1665421.2612087526</v>
      </c>
    </row>
    <row r="51" spans="1:2" ht="14.4" customHeight="1">
      <c r="A51" s="2" t="s">
        <v>53</v>
      </c>
      <c r="B51" s="140">
        <f>B49/(B29+B28)</f>
        <v>0.3235256694367098</v>
      </c>
    </row>
    <row r="52" spans="1:2">
      <c r="A52" s="13" t="s">
        <v>34</v>
      </c>
    </row>
    <row r="53" spans="1:2" ht="14.4" customHeight="1">
      <c r="A53" s="4" t="s">
        <v>50</v>
      </c>
      <c r="B53" s="51">
        <f>'P&amp;L Cons Good'!B31</f>
        <v>2735771.5508058304</v>
      </c>
    </row>
    <row r="54" spans="1:2" ht="14.4" customHeight="1" thickBot="1">
      <c r="A54" s="2" t="s">
        <v>51</v>
      </c>
      <c r="B54" s="51">
        <f>-('P&amp;L Cons Good'!B32+'P&amp;L Cons Good'!B24)</f>
        <v>2910965.7754029152</v>
      </c>
    </row>
    <row r="55" spans="1:2" ht="18.600000000000001" thickBot="1">
      <c r="A55" s="2" t="s">
        <v>52</v>
      </c>
      <c r="B55" s="139">
        <f>B54+B53</f>
        <v>5646737.3262087461</v>
      </c>
    </row>
    <row r="56" spans="1:2" ht="15.6">
      <c r="A56" s="2" t="s">
        <v>53</v>
      </c>
      <c r="B56" s="140">
        <f>B54/(B28+B29)</f>
        <v>0.58818835574558026</v>
      </c>
    </row>
    <row r="58" spans="1:2" ht="18">
      <c r="A58" s="26" t="s">
        <v>54</v>
      </c>
    </row>
    <row r="59" spans="1:2">
      <c r="A59" s="4" t="s">
        <v>55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</row>
    <row r="3" spans="1:14" ht="21">
      <c r="A3" s="43" t="s">
        <v>331</v>
      </c>
      <c r="B3" s="19" t="s">
        <v>328</v>
      </c>
    </row>
    <row r="4" spans="1:14" ht="21">
      <c r="A4" s="43" t="s">
        <v>357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Sales!B14</f>
        <v>116400000</v>
      </c>
      <c r="C6" s="54">
        <f>Sales!C14</f>
        <v>11640000</v>
      </c>
      <c r="D6" s="54">
        <f>Sales!D14</f>
        <v>16296000.000000002</v>
      </c>
      <c r="E6" s="54">
        <f>Sales!E14</f>
        <v>16296000.000000002</v>
      </c>
      <c r="F6" s="54">
        <f>Sales!F14</f>
        <v>13968000</v>
      </c>
      <c r="G6" s="54">
        <f>Sales!G14</f>
        <v>11640000</v>
      </c>
      <c r="H6" s="54">
        <f>Sales!H14</f>
        <v>11640000</v>
      </c>
      <c r="I6" s="54">
        <f>Sales!I14</f>
        <v>3492000</v>
      </c>
      <c r="J6" s="54">
        <f>Sales!J14</f>
        <v>5820000</v>
      </c>
      <c r="K6" s="54">
        <f>Sales!K14</f>
        <v>8148000.0000000009</v>
      </c>
      <c r="L6" s="54">
        <f>Sales!L14</f>
        <v>8148000.0000000009</v>
      </c>
      <c r="M6" s="54">
        <f>Sales!M14</f>
        <v>5820000</v>
      </c>
      <c r="N6" s="54">
        <f>Sales!N14</f>
        <v>3492000</v>
      </c>
    </row>
    <row r="7" spans="1:14" s="16" customFormat="1">
      <c r="A7" s="26" t="s">
        <v>332</v>
      </c>
      <c r="B7" s="44">
        <f t="shared" ref="B7:N7" si="0">SUM(B8:B15)</f>
        <v>-113327692</v>
      </c>
      <c r="C7" s="54">
        <f t="shared" si="0"/>
        <v>-11294961.333333334</v>
      </c>
      <c r="D7" s="54">
        <f t="shared" si="0"/>
        <v>-15809161.333333336</v>
      </c>
      <c r="E7" s="54">
        <f t="shared" si="0"/>
        <v>-15817161.333333336</v>
      </c>
      <c r="F7" s="54">
        <f t="shared" si="0"/>
        <v>-13582561.333333334</v>
      </c>
      <c r="G7" s="54">
        <f t="shared" si="0"/>
        <v>-11332961.333333334</v>
      </c>
      <c r="H7" s="54">
        <f t="shared" si="0"/>
        <v>-11332961.333333334</v>
      </c>
      <c r="I7" s="54">
        <f t="shared" si="0"/>
        <v>-3448948.5333333337</v>
      </c>
      <c r="J7" s="54">
        <f t="shared" si="0"/>
        <v>-5682749.333333333</v>
      </c>
      <c r="K7" s="54">
        <f t="shared" si="0"/>
        <v>-7943058.1333333347</v>
      </c>
      <c r="L7" s="54">
        <f t="shared" si="0"/>
        <v>-7950042.1333333347</v>
      </c>
      <c r="M7" s="54">
        <f t="shared" si="0"/>
        <v>-5696717.333333333</v>
      </c>
      <c r="N7" s="54">
        <f t="shared" si="0"/>
        <v>-3436408.5333333337</v>
      </c>
    </row>
    <row r="8" spans="1:14" s="32" customFormat="1">
      <c r="A8" s="45" t="s">
        <v>333</v>
      </c>
      <c r="B8" s="46">
        <f>-Sales!B8-Purchases!B23</f>
        <v>-105000000</v>
      </c>
      <c r="C8" s="55">
        <f>-Sales!C8-Purchases!C23</f>
        <v>-10500000</v>
      </c>
      <c r="D8" s="55">
        <f>-Sales!D8-Purchases!D23</f>
        <v>-14700000.000000002</v>
      </c>
      <c r="E8" s="55">
        <f>-Sales!E8-Purchases!E23</f>
        <v>-14700000.000000002</v>
      </c>
      <c r="F8" s="55">
        <f>-Sales!F8-Purchases!F23</f>
        <v>-12600000</v>
      </c>
      <c r="G8" s="55">
        <f>-Sales!G8-Purchases!G23</f>
        <v>-10500000</v>
      </c>
      <c r="H8" s="55">
        <f>-Sales!H8-Purchases!H23</f>
        <v>-10500000</v>
      </c>
      <c r="I8" s="55">
        <f>-Sales!I8-Purchases!I23</f>
        <v>-3150000</v>
      </c>
      <c r="J8" s="55">
        <f>-Sales!J8-Purchases!J23</f>
        <v>-5250000</v>
      </c>
      <c r="K8" s="55">
        <f>-Sales!K8-Purchases!K23</f>
        <v>-7350000.0000000009</v>
      </c>
      <c r="L8" s="55">
        <f>-Sales!L8-Purchases!L23</f>
        <v>-7350000.0000000009</v>
      </c>
      <c r="M8" s="55">
        <f>-Sales!M8-Purchases!M23</f>
        <v>-5250000</v>
      </c>
      <c r="N8" s="55">
        <f>-Sales!N8-Purchases!N23</f>
        <v>-3150000</v>
      </c>
    </row>
    <row r="9" spans="1:14">
      <c r="A9" s="45" t="s">
        <v>334</v>
      </c>
      <c r="B9" s="46">
        <f>-(Logistics!B16+Logistics!B17)</f>
        <v>-7200000</v>
      </c>
      <c r="C9" s="55">
        <f>-(Logistics!C16+Logistics!C17)</f>
        <v>-720000</v>
      </c>
      <c r="D9" s="55">
        <f>-(Logistics!D16+Logistics!D17)</f>
        <v>-1008000.0000000002</v>
      </c>
      <c r="E9" s="55">
        <f>-(Logistics!E16+Logistics!E17)</f>
        <v>-1008000.0000000002</v>
      </c>
      <c r="F9" s="55">
        <f>-(Logistics!F16+Logistics!F17)</f>
        <v>-864000</v>
      </c>
      <c r="G9" s="55">
        <f>-(Logistics!G16+Logistics!G17)</f>
        <v>-720000</v>
      </c>
      <c r="H9" s="55">
        <f>-(Logistics!H16+Logistics!H17)</f>
        <v>-720000</v>
      </c>
      <c r="I9" s="55">
        <f>-(Logistics!I16+Logistics!I17)</f>
        <v>-216000</v>
      </c>
      <c r="J9" s="55">
        <f>-(Logistics!J16+Logistics!J17)</f>
        <v>-360000</v>
      </c>
      <c r="K9" s="55">
        <f>-(Logistics!K16+Logistics!K17)</f>
        <v>-504000.00000000012</v>
      </c>
      <c r="L9" s="55">
        <f>-(Logistics!L16+Logistics!L17)</f>
        <v>-504000.00000000012</v>
      </c>
      <c r="M9" s="55">
        <f>-(Logistics!M16+Logistics!M17)</f>
        <v>-360000</v>
      </c>
      <c r="N9" s="55">
        <f>-(Logistics!N16+Logistics!N17)</f>
        <v>-216000</v>
      </c>
    </row>
    <row r="10" spans="1:14">
      <c r="A10" s="45" t="s">
        <v>335</v>
      </c>
      <c r="B10" s="46">
        <f>-Logistics!B18</f>
        <v>-240000</v>
      </c>
      <c r="C10" s="55">
        <f>-Logistics!C18</f>
        <v>-24000</v>
      </c>
      <c r="D10" s="55">
        <f>-Logistics!D18</f>
        <v>-33600.000000000007</v>
      </c>
      <c r="E10" s="55">
        <f>-Logistics!E18</f>
        <v>-33600.000000000007</v>
      </c>
      <c r="F10" s="55">
        <f>-Logistics!F18</f>
        <v>-28800</v>
      </c>
      <c r="G10" s="55">
        <f>-Logistics!G18</f>
        <v>-24000</v>
      </c>
      <c r="H10" s="55">
        <f>-Logistics!H18</f>
        <v>-24000</v>
      </c>
      <c r="I10" s="55">
        <f>-Logistics!I18</f>
        <v>-7200</v>
      </c>
      <c r="J10" s="55">
        <f>-Logistics!J18</f>
        <v>-12000</v>
      </c>
      <c r="K10" s="55">
        <f>-Logistics!K18</f>
        <v>-16800.000000000004</v>
      </c>
      <c r="L10" s="55">
        <f>-Logistics!L18</f>
        <v>-16800.000000000004</v>
      </c>
      <c r="M10" s="55">
        <f>-Logistics!M18</f>
        <v>-12000</v>
      </c>
      <c r="N10" s="55">
        <f>-Logistics!N18</f>
        <v>-7200</v>
      </c>
    </row>
    <row r="11" spans="1:14">
      <c r="A11" s="45" t="s">
        <v>336</v>
      </c>
      <c r="B11" s="46">
        <f>SUM(C11:N11)</f>
        <v>-384000</v>
      </c>
      <c r="C11" s="55">
        <f>-Administrative!B7</f>
        <v>-32000</v>
      </c>
      <c r="D11" s="55">
        <f>C11</f>
        <v>-32000</v>
      </c>
      <c r="E11" s="55">
        <f t="shared" ref="E11:N12" si="1">D11</f>
        <v>-32000</v>
      </c>
      <c r="F11" s="55">
        <f t="shared" si="1"/>
        <v>-32000</v>
      </c>
      <c r="G11" s="55">
        <f t="shared" si="1"/>
        <v>-32000</v>
      </c>
      <c r="H11" s="55">
        <f t="shared" si="1"/>
        <v>-32000</v>
      </c>
      <c r="I11" s="55">
        <f t="shared" si="1"/>
        <v>-32000</v>
      </c>
      <c r="J11" s="55">
        <f t="shared" si="1"/>
        <v>-32000</v>
      </c>
      <c r="K11" s="55">
        <f t="shared" si="1"/>
        <v>-32000</v>
      </c>
      <c r="L11" s="55">
        <f t="shared" si="1"/>
        <v>-32000</v>
      </c>
      <c r="M11" s="55">
        <f t="shared" si="1"/>
        <v>-32000</v>
      </c>
      <c r="N11" s="55">
        <f t="shared" si="1"/>
        <v>-32000</v>
      </c>
    </row>
    <row r="12" spans="1:14">
      <c r="A12" s="45" t="s">
        <v>337</v>
      </c>
      <c r="B12" s="46">
        <f>SUM(C12:N12)</f>
        <v>-73536</v>
      </c>
      <c r="C12" s="55">
        <f>-Administrative!C7</f>
        <v>-6128</v>
      </c>
      <c r="D12" s="55">
        <f>C12</f>
        <v>-6128</v>
      </c>
      <c r="E12" s="55">
        <f t="shared" si="1"/>
        <v>-6128</v>
      </c>
      <c r="F12" s="55">
        <f t="shared" si="1"/>
        <v>-6128</v>
      </c>
      <c r="G12" s="55">
        <f t="shared" si="1"/>
        <v>-6128</v>
      </c>
      <c r="H12" s="55">
        <f t="shared" si="1"/>
        <v>-6128</v>
      </c>
      <c r="I12" s="55">
        <f t="shared" si="1"/>
        <v>-6128</v>
      </c>
      <c r="J12" s="55">
        <f t="shared" si="1"/>
        <v>-6128</v>
      </c>
      <c r="K12" s="55">
        <f t="shared" si="1"/>
        <v>-6128</v>
      </c>
      <c r="L12" s="55">
        <f t="shared" si="1"/>
        <v>-6128</v>
      </c>
      <c r="M12" s="55">
        <f t="shared" si="1"/>
        <v>-6128</v>
      </c>
      <c r="N12" s="55">
        <f t="shared" si="1"/>
        <v>-6128</v>
      </c>
    </row>
    <row r="13" spans="1:14">
      <c r="A13" s="45" t="s">
        <v>338</v>
      </c>
      <c r="B13" s="46">
        <f>-Financing!B51</f>
        <v>-67936</v>
      </c>
      <c r="C13" s="55">
        <f>-Financing!C51</f>
        <v>-4000</v>
      </c>
      <c r="D13" s="55">
        <f>-Financing!D51</f>
        <v>-4000</v>
      </c>
      <c r="E13" s="55">
        <f>-Financing!E51</f>
        <v>-8000</v>
      </c>
      <c r="F13" s="55">
        <f>-Financing!F51</f>
        <v>-8000</v>
      </c>
      <c r="G13" s="55">
        <f>-Financing!G51</f>
        <v>-8000</v>
      </c>
      <c r="H13" s="55">
        <f>-Financing!H51</f>
        <v>-8000</v>
      </c>
      <c r="I13" s="55">
        <f>-Financing!I51</f>
        <v>-2793.6</v>
      </c>
      <c r="J13" s="55">
        <f>-Financing!J51</f>
        <v>-4656</v>
      </c>
      <c r="K13" s="55">
        <f>-Financing!K51</f>
        <v>-6518.4000000000015</v>
      </c>
      <c r="L13" s="55">
        <f>-Financing!L51</f>
        <v>-6518.4000000000015</v>
      </c>
      <c r="M13" s="55">
        <f>-Financing!M51</f>
        <v>-4656</v>
      </c>
      <c r="N13" s="55">
        <f>-Financing!N51</f>
        <v>-2793.6</v>
      </c>
    </row>
    <row r="14" spans="1:14">
      <c r="A14" s="45" t="s">
        <v>339</v>
      </c>
      <c r="B14" s="46">
        <f>-(Financing!B48+Financing!B51+Financing!B52)</f>
        <v>-352220</v>
      </c>
      <c r="C14" s="55">
        <f>-(Financing!C48+Financing!C51+Financing!C52)</f>
        <v>-8000</v>
      </c>
      <c r="D14" s="55">
        <f>-(Financing!D48+Financing!D51+Financing!D52)</f>
        <v>-24600</v>
      </c>
      <c r="E14" s="55">
        <f>-(Financing!E48+Financing!E51+Financing!E52)</f>
        <v>-28600</v>
      </c>
      <c r="F14" s="55">
        <f>-(Financing!F48+Financing!F51+Financing!F52)</f>
        <v>-42800</v>
      </c>
      <c r="G14" s="55">
        <f>-(Financing!G48+Financing!G51+Financing!G52)</f>
        <v>-42000</v>
      </c>
      <c r="H14" s="55">
        <f>-(Financing!H48+Financing!H51+Financing!H52)</f>
        <v>-42000</v>
      </c>
      <c r="I14" s="55">
        <f>-(Financing!I48+Financing!I51+Financing!I52)</f>
        <v>-33993.600000000006</v>
      </c>
      <c r="J14" s="55">
        <f>-(Financing!J48+Financing!J51+Financing!J52)</f>
        <v>-17132</v>
      </c>
      <c r="K14" s="55">
        <f>-(Financing!K48+Financing!K51+Financing!K52)</f>
        <v>-26778.400000000001</v>
      </c>
      <c r="L14" s="55">
        <f>-(Financing!L48+Financing!L51+Financing!L52)</f>
        <v>-33762.400000000009</v>
      </c>
      <c r="M14" s="55">
        <f>-(Financing!M48+Financing!M51+Financing!M52)</f>
        <v>-31100.000000000004</v>
      </c>
      <c r="N14" s="55">
        <f>-(Financing!N48+Financing!N51+Financing!N52)</f>
        <v>-21453.599999999999</v>
      </c>
    </row>
    <row r="15" spans="1:14">
      <c r="A15" s="45" t="s">
        <v>340</v>
      </c>
      <c r="B15" s="46">
        <f>SUM(C15:N15)</f>
        <v>-10000</v>
      </c>
      <c r="C15" s="55">
        <f>-(Assumptions!$B$136*Assumptions!$B$138)/12</f>
        <v>-833.33333333333337</v>
      </c>
      <c r="D15" s="55">
        <f>-(Assumptions!$B$136*Assumptions!$B$138)/12</f>
        <v>-833.33333333333337</v>
      </c>
      <c r="E15" s="55">
        <f>-(Assumptions!$B$136*Assumptions!$B$138)/12</f>
        <v>-833.33333333333337</v>
      </c>
      <c r="F15" s="55">
        <f>-(Assumptions!$B$136*Assumptions!$B$138)/12</f>
        <v>-833.33333333333337</v>
      </c>
      <c r="G15" s="55">
        <f>-(Assumptions!$B$136*Assumptions!$B$138)/12</f>
        <v>-833.33333333333337</v>
      </c>
      <c r="H15" s="55">
        <f>-(Assumptions!$B$136*Assumptions!$B$138)/12</f>
        <v>-833.33333333333337</v>
      </c>
      <c r="I15" s="55">
        <f>-(Assumptions!$B$136*Assumptions!$B$138)/12</f>
        <v>-833.33333333333337</v>
      </c>
      <c r="J15" s="55">
        <f>-(Assumptions!$B$136*Assumptions!$B$138)/12</f>
        <v>-833.33333333333337</v>
      </c>
      <c r="K15" s="55">
        <f>-(Assumptions!$B$136*Assumptions!$B$138)/12</f>
        <v>-833.33333333333337</v>
      </c>
      <c r="L15" s="55">
        <f>-(Assumptions!$B$136*Assumptions!$B$138)/12</f>
        <v>-833.33333333333337</v>
      </c>
      <c r="M15" s="55">
        <f>-(Assumptions!$B$136*Assumptions!$B$138)/12</f>
        <v>-833.33333333333337</v>
      </c>
      <c r="N15" s="55">
        <f>-(Assumptions!$B$136*Assumptions!$B$138)/12</f>
        <v>-833.33333333333337</v>
      </c>
    </row>
    <row r="16" spans="1:14">
      <c r="A16" s="26" t="s">
        <v>341</v>
      </c>
      <c r="B16" s="44">
        <f t="shared" ref="B16:N16" si="2">B6+B7</f>
        <v>3072308</v>
      </c>
      <c r="C16" s="44">
        <f t="shared" si="2"/>
        <v>345038.66666666605</v>
      </c>
      <c r="D16" s="44">
        <f t="shared" si="2"/>
        <v>486838.66666666605</v>
      </c>
      <c r="E16" s="44">
        <f t="shared" si="2"/>
        <v>478838.66666666605</v>
      </c>
      <c r="F16" s="44">
        <f t="shared" si="2"/>
        <v>385438.66666666605</v>
      </c>
      <c r="G16" s="44">
        <f t="shared" si="2"/>
        <v>307038.66666666605</v>
      </c>
      <c r="H16" s="44">
        <f t="shared" si="2"/>
        <v>307038.66666666605</v>
      </c>
      <c r="I16" s="44">
        <f t="shared" si="2"/>
        <v>43051.466666666325</v>
      </c>
      <c r="J16" s="44">
        <f t="shared" si="2"/>
        <v>137250.66666666698</v>
      </c>
      <c r="K16" s="44">
        <f t="shared" si="2"/>
        <v>204941.86666666623</v>
      </c>
      <c r="L16" s="44">
        <f t="shared" si="2"/>
        <v>197957.86666666623</v>
      </c>
      <c r="M16" s="44">
        <f t="shared" si="2"/>
        <v>123282.66666666698</v>
      </c>
      <c r="N16" s="44">
        <f t="shared" si="2"/>
        <v>55591.466666666325</v>
      </c>
    </row>
    <row r="17" spans="1:14">
      <c r="A17" s="45" t="s">
        <v>342</v>
      </c>
      <c r="B17" s="46">
        <f>SUM(C17:N17)</f>
        <v>-229399.99999999997</v>
      </c>
      <c r="C17" s="55">
        <f>-Administrative!B35</f>
        <v>-19116.666666666668</v>
      </c>
      <c r="D17" s="55">
        <f>C17</f>
        <v>-19116.666666666668</v>
      </c>
      <c r="E17" s="55">
        <f t="shared" ref="E17:N17" si="3">D17</f>
        <v>-19116.666666666668</v>
      </c>
      <c r="F17" s="55">
        <f t="shared" si="3"/>
        <v>-19116.666666666668</v>
      </c>
      <c r="G17" s="55">
        <f t="shared" si="3"/>
        <v>-19116.666666666668</v>
      </c>
      <c r="H17" s="55">
        <f t="shared" si="3"/>
        <v>-19116.666666666668</v>
      </c>
      <c r="I17" s="55">
        <f t="shared" si="3"/>
        <v>-19116.666666666668</v>
      </c>
      <c r="J17" s="55">
        <f t="shared" si="3"/>
        <v>-19116.666666666668</v>
      </c>
      <c r="K17" s="55">
        <f t="shared" si="3"/>
        <v>-19116.666666666668</v>
      </c>
      <c r="L17" s="55">
        <f t="shared" si="3"/>
        <v>-19116.666666666668</v>
      </c>
      <c r="M17" s="55">
        <f t="shared" si="3"/>
        <v>-19116.666666666668</v>
      </c>
      <c r="N17" s="55">
        <f t="shared" si="3"/>
        <v>-19116.666666666668</v>
      </c>
    </row>
    <row r="18" spans="1:14">
      <c r="A18" s="45" t="s">
        <v>343</v>
      </c>
      <c r="B18" s="46">
        <f>-Logistics!B19</f>
        <v>-720000</v>
      </c>
      <c r="C18" s="55">
        <f>-Logistics!C19</f>
        <v>-72000</v>
      </c>
      <c r="D18" s="55">
        <f>-Logistics!D19</f>
        <v>-100800.00000000003</v>
      </c>
      <c r="E18" s="55">
        <f>-Logistics!E19</f>
        <v>-100800.00000000003</v>
      </c>
      <c r="F18" s="55">
        <f>-Logistics!F19</f>
        <v>-86400</v>
      </c>
      <c r="G18" s="55">
        <f>-Logistics!G19</f>
        <v>-72000</v>
      </c>
      <c r="H18" s="55">
        <f>-Logistics!H19</f>
        <v>-72000</v>
      </c>
      <c r="I18" s="55">
        <f>-Logistics!I19</f>
        <v>-21600</v>
      </c>
      <c r="J18" s="55">
        <f>-Logistics!J19</f>
        <v>-36000</v>
      </c>
      <c r="K18" s="55">
        <f>-Logistics!K19</f>
        <v>-50400.000000000015</v>
      </c>
      <c r="L18" s="55">
        <f>-Logistics!L19</f>
        <v>-50400.000000000015</v>
      </c>
      <c r="M18" s="55">
        <f>-Logistics!M19</f>
        <v>-36000</v>
      </c>
      <c r="N18" s="55">
        <f>-Logistics!N19</f>
        <v>-21600</v>
      </c>
    </row>
    <row r="19" spans="1:14">
      <c r="A19" s="45" t="s">
        <v>344</v>
      </c>
      <c r="B19" s="46">
        <f>SUM(C19:N19)</f>
        <v>-192000</v>
      </c>
      <c r="C19" s="55">
        <f>-Administrative!E7</f>
        <v>-16000</v>
      </c>
      <c r="D19" s="55">
        <f>C19</f>
        <v>-16000</v>
      </c>
      <c r="E19" s="55">
        <f t="shared" ref="E19:N19" si="4">D19</f>
        <v>-16000</v>
      </c>
      <c r="F19" s="55">
        <f t="shared" si="4"/>
        <v>-16000</v>
      </c>
      <c r="G19" s="55">
        <f t="shared" si="4"/>
        <v>-16000</v>
      </c>
      <c r="H19" s="55">
        <f t="shared" si="4"/>
        <v>-16000</v>
      </c>
      <c r="I19" s="55">
        <f t="shared" si="4"/>
        <v>-16000</v>
      </c>
      <c r="J19" s="55">
        <f t="shared" si="4"/>
        <v>-16000</v>
      </c>
      <c r="K19" s="55">
        <f t="shared" si="4"/>
        <v>-16000</v>
      </c>
      <c r="L19" s="55">
        <f t="shared" si="4"/>
        <v>-16000</v>
      </c>
      <c r="M19" s="55">
        <f t="shared" si="4"/>
        <v>-16000</v>
      </c>
      <c r="N19" s="55">
        <f t="shared" si="4"/>
        <v>-16000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1930908</v>
      </c>
      <c r="C21" s="44">
        <f t="shared" ref="C21:N21" si="5">C16+C17+C18+C19+C20</f>
        <v>237921.99999999936</v>
      </c>
      <c r="D21" s="44">
        <f t="shared" si="5"/>
        <v>350921.9999999993</v>
      </c>
      <c r="E21" s="44">
        <f t="shared" si="5"/>
        <v>342921.9999999993</v>
      </c>
      <c r="F21" s="44">
        <f t="shared" si="5"/>
        <v>263921.99999999936</v>
      </c>
      <c r="G21" s="44">
        <f t="shared" si="5"/>
        <v>199921.99999999936</v>
      </c>
      <c r="H21" s="44">
        <f t="shared" si="5"/>
        <v>199921.99999999936</v>
      </c>
      <c r="I21" s="44">
        <f t="shared" si="5"/>
        <v>-13665.200000000343</v>
      </c>
      <c r="J21" s="44">
        <f t="shared" si="5"/>
        <v>66134.000000000306</v>
      </c>
      <c r="K21" s="44">
        <f t="shared" si="5"/>
        <v>119425.19999999955</v>
      </c>
      <c r="L21" s="44">
        <f t="shared" si="5"/>
        <v>112441.19999999956</v>
      </c>
      <c r="M21" s="44">
        <f t="shared" si="5"/>
        <v>52166.000000000306</v>
      </c>
      <c r="N21" s="44">
        <f t="shared" si="5"/>
        <v>-1125.2000000003463</v>
      </c>
    </row>
    <row r="22" spans="1:14">
      <c r="A22" s="45" t="s">
        <v>347</v>
      </c>
      <c r="B22" s="46">
        <f>B23+B24+B26+B25</f>
        <v>-480000</v>
      </c>
      <c r="C22" s="46">
        <f>C23+C24+C26+C25</f>
        <v>0</v>
      </c>
      <c r="D22" s="46">
        <f>D23+D24+D26+D25</f>
        <v>0</v>
      </c>
      <c r="E22" s="46">
        <f t="shared" ref="E22:N22" si="6">E23+E24+E26+E25</f>
        <v>0</v>
      </c>
      <c r="F22" s="46">
        <f t="shared" si="6"/>
        <v>-120000</v>
      </c>
      <c r="G22" s="46">
        <f t="shared" si="6"/>
        <v>0</v>
      </c>
      <c r="H22" s="46">
        <f t="shared" si="6"/>
        <v>0</v>
      </c>
      <c r="I22" s="46">
        <f t="shared" si="6"/>
        <v>-120000</v>
      </c>
      <c r="J22" s="46">
        <f t="shared" si="6"/>
        <v>0</v>
      </c>
      <c r="K22" s="46">
        <f t="shared" si="6"/>
        <v>0</v>
      </c>
      <c r="L22" s="46">
        <f t="shared" si="6"/>
        <v>-120000</v>
      </c>
      <c r="M22" s="46">
        <f t="shared" si="6"/>
        <v>0</v>
      </c>
      <c r="N22" s="46">
        <f t="shared" si="6"/>
        <v>-120000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4" hidden="1">
      <c r="A24" s="1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>
      <c r="A26" s="12" t="s">
        <v>349</v>
      </c>
      <c r="B26" s="46">
        <f>SUM(C26:N26)</f>
        <v>-480000</v>
      </c>
      <c r="C26" s="55">
        <f>-Financing!C98</f>
        <v>0</v>
      </c>
      <c r="D26" s="55">
        <f>-Financing!D98</f>
        <v>0</v>
      </c>
      <c r="E26" s="55">
        <f>-Financing!E98</f>
        <v>0</v>
      </c>
      <c r="F26" s="55">
        <f>-Financing!F98</f>
        <v>-120000</v>
      </c>
      <c r="G26" s="55">
        <f>-Financing!G98</f>
        <v>0</v>
      </c>
      <c r="H26" s="55">
        <f>-Financing!H98</f>
        <v>0</v>
      </c>
      <c r="I26" s="55">
        <f>-Financing!I98</f>
        <v>-120000</v>
      </c>
      <c r="J26" s="55">
        <f>-Financing!J98</f>
        <v>0</v>
      </c>
      <c r="K26" s="55">
        <f>-Financing!K98</f>
        <v>0</v>
      </c>
      <c r="L26" s="55">
        <f>-Financing!L98</f>
        <v>-120000</v>
      </c>
      <c r="M26" s="55">
        <f>-Financing!M98</f>
        <v>0</v>
      </c>
      <c r="N26" s="55">
        <f>-Financing!N98</f>
        <v>-120000</v>
      </c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7">B21+B22+B27+B28</f>
        <v>1450908</v>
      </c>
      <c r="C29" s="44">
        <f t="shared" si="7"/>
        <v>237921.99999999936</v>
      </c>
      <c r="D29" s="44">
        <f t="shared" si="7"/>
        <v>350921.9999999993</v>
      </c>
      <c r="E29" s="44">
        <f t="shared" si="7"/>
        <v>342921.9999999993</v>
      </c>
      <c r="F29" s="44">
        <f t="shared" si="7"/>
        <v>143921.99999999936</v>
      </c>
      <c r="G29" s="44">
        <f t="shared" si="7"/>
        <v>199921.99999999936</v>
      </c>
      <c r="H29" s="44">
        <f t="shared" si="7"/>
        <v>199921.99999999936</v>
      </c>
      <c r="I29" s="44">
        <f t="shared" si="7"/>
        <v>-133665.20000000033</v>
      </c>
      <c r="J29" s="44">
        <f t="shared" si="7"/>
        <v>66134.000000000306</v>
      </c>
      <c r="K29" s="44">
        <f t="shared" si="7"/>
        <v>119425.19999999955</v>
      </c>
      <c r="L29" s="44">
        <f t="shared" si="7"/>
        <v>-7558.8000000004395</v>
      </c>
      <c r="M29" s="44">
        <f t="shared" si="7"/>
        <v>52166.000000000306</v>
      </c>
      <c r="N29" s="44">
        <f t="shared" si="7"/>
        <v>-121125.20000000035</v>
      </c>
    </row>
    <row r="30" spans="1:14">
      <c r="A30" s="45" t="s">
        <v>353</v>
      </c>
      <c r="B30" s="46">
        <f>IF(B29&lt;0,0,-B29*Assumptions!B21)-(Assumptions!B13*Assumptions!B128)/Assumptions!B5</f>
        <v>-171599.60363860682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1279308.3963613932</v>
      </c>
      <c r="C31" s="44">
        <f t="shared" ref="C31:N31" si="8">C29+C30</f>
        <v>237921.99999999936</v>
      </c>
      <c r="D31" s="44">
        <f t="shared" si="8"/>
        <v>350921.9999999993</v>
      </c>
      <c r="E31" s="44">
        <f t="shared" si="8"/>
        <v>342921.9999999993</v>
      </c>
      <c r="F31" s="44">
        <f t="shared" si="8"/>
        <v>143921.99999999936</v>
      </c>
      <c r="G31" s="44">
        <f t="shared" si="8"/>
        <v>199921.99999999936</v>
      </c>
      <c r="H31" s="44">
        <f t="shared" si="8"/>
        <v>199921.99999999936</v>
      </c>
      <c r="I31" s="44">
        <f t="shared" si="8"/>
        <v>-133665.20000000033</v>
      </c>
      <c r="J31" s="44">
        <f t="shared" si="8"/>
        <v>66134.000000000306</v>
      </c>
      <c r="K31" s="44">
        <f t="shared" si="8"/>
        <v>119425.19999999955</v>
      </c>
      <c r="L31" s="44">
        <f t="shared" si="8"/>
        <v>-7558.8000000004395</v>
      </c>
      <c r="M31" s="44">
        <f t="shared" si="8"/>
        <v>52166.000000000306</v>
      </c>
      <c r="N31" s="44">
        <f t="shared" si="8"/>
        <v>-121125.20000000035</v>
      </c>
    </row>
    <row r="32" spans="1:14">
      <c r="A32" s="26" t="s">
        <v>355</v>
      </c>
      <c r="B32" s="50">
        <f>IF(B31&lt;0,0,-B31*Assumptions!B123)</f>
        <v>-639654.19818069658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9">B31+B32</f>
        <v>639654.19818069658</v>
      </c>
      <c r="C33" s="53">
        <f t="shared" si="9"/>
        <v>237921.99999999936</v>
      </c>
      <c r="D33" s="53">
        <f t="shared" si="9"/>
        <v>350921.9999999993</v>
      </c>
      <c r="E33" s="53">
        <f t="shared" si="9"/>
        <v>342921.9999999993</v>
      </c>
      <c r="F33" s="53">
        <f t="shared" si="9"/>
        <v>143921.99999999936</v>
      </c>
      <c r="G33" s="53">
        <f t="shared" si="9"/>
        <v>199921.99999999936</v>
      </c>
      <c r="H33" s="53">
        <f t="shared" si="9"/>
        <v>199921.99999999936</v>
      </c>
      <c r="I33" s="53">
        <f t="shared" si="9"/>
        <v>-133665.20000000033</v>
      </c>
      <c r="J33" s="53">
        <f t="shared" si="9"/>
        <v>66134.000000000306</v>
      </c>
      <c r="K33" s="53">
        <f t="shared" si="9"/>
        <v>119425.19999999955</v>
      </c>
      <c r="L33" s="53">
        <f t="shared" si="9"/>
        <v>-7558.8000000004395</v>
      </c>
      <c r="M33" s="53">
        <f t="shared" si="9"/>
        <v>52166.000000000306</v>
      </c>
      <c r="N33" s="53">
        <f t="shared" si="9"/>
        <v>-121125.20000000035</v>
      </c>
    </row>
    <row r="34" spans="1:14">
      <c r="B34" s="51"/>
      <c r="C34" s="51"/>
      <c r="D34" s="51"/>
      <c r="E34" s="5"/>
      <c r="F34" s="5"/>
      <c r="G34" s="5"/>
      <c r="H34" s="5"/>
    </row>
    <row r="35" spans="1:14" ht="15.6">
      <c r="A35" s="47" t="s">
        <v>325</v>
      </c>
      <c r="B35" s="51"/>
      <c r="C35" s="51">
        <f>-(C10+C11+C12+C14+C17+C18+C19)</f>
        <v>177244.66666666669</v>
      </c>
      <c r="D35" s="51">
        <f t="shared" ref="D35:N35" si="10">-(D10+D11+D12+D14+D17+D18+D19)</f>
        <v>232244.66666666669</v>
      </c>
      <c r="E35" s="51">
        <f t="shared" si="10"/>
        <v>236244.66666666669</v>
      </c>
      <c r="F35" s="51">
        <f t="shared" si="10"/>
        <v>231244.66666666669</v>
      </c>
      <c r="G35" s="51">
        <f t="shared" si="10"/>
        <v>211244.66666666669</v>
      </c>
      <c r="H35" s="51">
        <f t="shared" si="10"/>
        <v>211244.66666666669</v>
      </c>
      <c r="I35" s="51">
        <f t="shared" si="10"/>
        <v>136038.26666666666</v>
      </c>
      <c r="J35" s="51">
        <f t="shared" si="10"/>
        <v>138376.66666666669</v>
      </c>
      <c r="K35" s="51">
        <f t="shared" si="10"/>
        <v>167223.06666666668</v>
      </c>
      <c r="L35" s="51">
        <f t="shared" si="10"/>
        <v>174207.06666666671</v>
      </c>
      <c r="M35" s="51">
        <f t="shared" si="10"/>
        <v>152344.66666666669</v>
      </c>
      <c r="N35" s="51">
        <f t="shared" si="10"/>
        <v>123498.26666666668</v>
      </c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</row>
    <row r="3" spans="1:14" ht="21">
      <c r="A3" s="43" t="s">
        <v>331</v>
      </c>
      <c r="B3" s="19" t="s">
        <v>328</v>
      </c>
    </row>
    <row r="4" spans="1:14" ht="21">
      <c r="A4" s="43" t="s">
        <v>358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Sales!B15</f>
        <v>118200000</v>
      </c>
      <c r="C6" s="54">
        <f>Sales!C15</f>
        <v>11820000</v>
      </c>
      <c r="D6" s="54">
        <f>Sales!D15</f>
        <v>16548000.000000004</v>
      </c>
      <c r="E6" s="54">
        <f>Sales!E15</f>
        <v>16548000.000000004</v>
      </c>
      <c r="F6" s="54">
        <f>Sales!F15</f>
        <v>14184000</v>
      </c>
      <c r="G6" s="54">
        <f>Sales!G15</f>
        <v>11820000</v>
      </c>
      <c r="H6" s="54">
        <f>Sales!H15</f>
        <v>11820000</v>
      </c>
      <c r="I6" s="54">
        <f>Sales!I15</f>
        <v>3546000</v>
      </c>
      <c r="J6" s="54">
        <f>Sales!J15</f>
        <v>5910000</v>
      </c>
      <c r="K6" s="54">
        <f>Sales!K15</f>
        <v>8274000.0000000019</v>
      </c>
      <c r="L6" s="54">
        <f>Sales!L15</f>
        <v>8274000.0000000019</v>
      </c>
      <c r="M6" s="54">
        <f>Sales!M15</f>
        <v>5910000</v>
      </c>
      <c r="N6" s="54">
        <f>Sales!N15</f>
        <v>3546000</v>
      </c>
    </row>
    <row r="7" spans="1:14" s="16" customFormat="1">
      <c r="A7" s="26" t="s">
        <v>332</v>
      </c>
      <c r="B7" s="44">
        <f t="shared" ref="B7:N7" si="0">SUM(B8:B15)</f>
        <v>-113328312.66666667</v>
      </c>
      <c r="C7" s="54">
        <f t="shared" si="0"/>
        <v>-11297628</v>
      </c>
      <c r="D7" s="54">
        <f t="shared" si="0"/>
        <v>-15814494.66666667</v>
      </c>
      <c r="E7" s="54">
        <f t="shared" si="0"/>
        <v>-15818494.66666667</v>
      </c>
      <c r="F7" s="54">
        <f t="shared" si="0"/>
        <v>-13582561.333333334</v>
      </c>
      <c r="G7" s="54">
        <f t="shared" si="0"/>
        <v>-11331628</v>
      </c>
      <c r="H7" s="54">
        <f t="shared" si="0"/>
        <v>-11331628</v>
      </c>
      <c r="I7" s="54">
        <f t="shared" si="0"/>
        <v>-3448198.1333333333</v>
      </c>
      <c r="J7" s="54">
        <f t="shared" si="0"/>
        <v>-5681660.666666666</v>
      </c>
      <c r="K7" s="54">
        <f t="shared" si="0"/>
        <v>-7941577.2000000011</v>
      </c>
      <c r="L7" s="54">
        <f t="shared" si="0"/>
        <v>-7948669.2000000011</v>
      </c>
      <c r="M7" s="54">
        <f t="shared" si="0"/>
        <v>-5695844.666666666</v>
      </c>
      <c r="N7" s="54">
        <f t="shared" si="0"/>
        <v>-3435928.1333333333</v>
      </c>
    </row>
    <row r="8" spans="1:14" s="32" customFormat="1">
      <c r="A8" s="45" t="s">
        <v>333</v>
      </c>
      <c r="B8" s="46">
        <f>-Sales!B8-Purchases!B23</f>
        <v>-105000000</v>
      </c>
      <c r="C8" s="55">
        <f>-Sales!C8-Purchases!C23</f>
        <v>-10500000</v>
      </c>
      <c r="D8" s="55">
        <f>-Sales!D8-Purchases!D23</f>
        <v>-14700000.000000002</v>
      </c>
      <c r="E8" s="55">
        <f>-Sales!E8-Purchases!E23</f>
        <v>-14700000.000000002</v>
      </c>
      <c r="F8" s="55">
        <f>-Sales!F8-Purchases!F23</f>
        <v>-12600000</v>
      </c>
      <c r="G8" s="55">
        <f>-Sales!G8-Purchases!G23</f>
        <v>-10500000</v>
      </c>
      <c r="H8" s="55">
        <f>-Sales!H8-Purchases!H23</f>
        <v>-10500000</v>
      </c>
      <c r="I8" s="55">
        <f>-Sales!I8-Purchases!I23</f>
        <v>-3150000</v>
      </c>
      <c r="J8" s="55">
        <f>-Sales!J8-Purchases!J23</f>
        <v>-5250000</v>
      </c>
      <c r="K8" s="55">
        <f>-Sales!K8-Purchases!K23</f>
        <v>-7350000.0000000009</v>
      </c>
      <c r="L8" s="55">
        <f>-Sales!L8-Purchases!L23</f>
        <v>-7350000.0000000009</v>
      </c>
      <c r="M8" s="55">
        <f>-Sales!M8-Purchases!M23</f>
        <v>-5250000</v>
      </c>
      <c r="N8" s="55">
        <f>-Sales!N8-Purchases!N23</f>
        <v>-3150000</v>
      </c>
    </row>
    <row r="9" spans="1:14">
      <c r="A9" s="45" t="s">
        <v>334</v>
      </c>
      <c r="B9" s="46">
        <f>-(Logistics!B16+Logistics!B17)</f>
        <v>-7200000</v>
      </c>
      <c r="C9" s="55">
        <f>-(Logistics!C16+Logistics!C17)</f>
        <v>-720000</v>
      </c>
      <c r="D9" s="55">
        <f>-(Logistics!D16+Logistics!D17)</f>
        <v>-1008000.0000000002</v>
      </c>
      <c r="E9" s="55">
        <f>-(Logistics!E16+Logistics!E17)</f>
        <v>-1008000.0000000002</v>
      </c>
      <c r="F9" s="55">
        <f>-(Logistics!F16+Logistics!F17)</f>
        <v>-864000</v>
      </c>
      <c r="G9" s="55">
        <f>-(Logistics!G16+Logistics!G17)</f>
        <v>-720000</v>
      </c>
      <c r="H9" s="55">
        <f>-(Logistics!H16+Logistics!H17)</f>
        <v>-720000</v>
      </c>
      <c r="I9" s="55">
        <f>-(Logistics!I16+Logistics!I17)</f>
        <v>-216000</v>
      </c>
      <c r="J9" s="55">
        <f>-(Logistics!J16+Logistics!J17)</f>
        <v>-360000</v>
      </c>
      <c r="K9" s="55">
        <f>-(Logistics!K16+Logistics!K17)</f>
        <v>-504000.00000000012</v>
      </c>
      <c r="L9" s="55">
        <f>-(Logistics!L16+Logistics!L17)</f>
        <v>-504000.00000000012</v>
      </c>
      <c r="M9" s="55">
        <f>-(Logistics!M16+Logistics!M17)</f>
        <v>-360000</v>
      </c>
      <c r="N9" s="55">
        <f>-(Logistics!N16+Logistics!N17)</f>
        <v>-216000</v>
      </c>
    </row>
    <row r="10" spans="1:14">
      <c r="A10" s="45" t="s">
        <v>335</v>
      </c>
      <c r="B10" s="46">
        <f>-Logistics!B18</f>
        <v>-240000</v>
      </c>
      <c r="C10" s="55">
        <f>-Logistics!C18</f>
        <v>-24000</v>
      </c>
      <c r="D10" s="55">
        <f>-Logistics!D18</f>
        <v>-33600.000000000007</v>
      </c>
      <c r="E10" s="55">
        <f>-Logistics!E18</f>
        <v>-33600.000000000007</v>
      </c>
      <c r="F10" s="55">
        <f>-Logistics!F18</f>
        <v>-28800</v>
      </c>
      <c r="G10" s="55">
        <f>-Logistics!G18</f>
        <v>-24000</v>
      </c>
      <c r="H10" s="55">
        <f>-Logistics!H18</f>
        <v>-24000</v>
      </c>
      <c r="I10" s="55">
        <f>-Logistics!I18</f>
        <v>-7200</v>
      </c>
      <c r="J10" s="55">
        <f>-Logistics!J18</f>
        <v>-12000</v>
      </c>
      <c r="K10" s="55">
        <f>-Logistics!K18</f>
        <v>-16800.000000000004</v>
      </c>
      <c r="L10" s="55">
        <f>-Logistics!L18</f>
        <v>-16800.000000000004</v>
      </c>
      <c r="M10" s="55">
        <f>-Logistics!M18</f>
        <v>-12000</v>
      </c>
      <c r="N10" s="55">
        <f>-Logistics!N18</f>
        <v>-7200</v>
      </c>
    </row>
    <row r="11" spans="1:14">
      <c r="A11" s="45" t="s">
        <v>336</v>
      </c>
      <c r="B11" s="46">
        <f>SUM(C11:N11)</f>
        <v>-384000</v>
      </c>
      <c r="C11" s="55">
        <f>-Administrative!B7</f>
        <v>-32000</v>
      </c>
      <c r="D11" s="55">
        <f>C11</f>
        <v>-32000</v>
      </c>
      <c r="E11" s="55">
        <f t="shared" ref="E11:N12" si="1">D11</f>
        <v>-32000</v>
      </c>
      <c r="F11" s="55">
        <f t="shared" si="1"/>
        <v>-32000</v>
      </c>
      <c r="G11" s="55">
        <f t="shared" si="1"/>
        <v>-32000</v>
      </c>
      <c r="H11" s="55">
        <f t="shared" si="1"/>
        <v>-32000</v>
      </c>
      <c r="I11" s="55">
        <f t="shared" si="1"/>
        <v>-32000</v>
      </c>
      <c r="J11" s="55">
        <f t="shared" si="1"/>
        <v>-32000</v>
      </c>
      <c r="K11" s="55">
        <f t="shared" si="1"/>
        <v>-32000</v>
      </c>
      <c r="L11" s="55">
        <f t="shared" si="1"/>
        <v>-32000</v>
      </c>
      <c r="M11" s="55">
        <f t="shared" si="1"/>
        <v>-32000</v>
      </c>
      <c r="N11" s="55">
        <f t="shared" si="1"/>
        <v>-32000</v>
      </c>
    </row>
    <row r="12" spans="1:14">
      <c r="A12" s="45" t="s">
        <v>337</v>
      </c>
      <c r="B12" s="46">
        <f>SUM(C12:N12)</f>
        <v>-73536</v>
      </c>
      <c r="C12" s="55">
        <f>-Administrative!C7</f>
        <v>-6128</v>
      </c>
      <c r="D12" s="55">
        <f>C12</f>
        <v>-6128</v>
      </c>
      <c r="E12" s="55">
        <f t="shared" si="1"/>
        <v>-6128</v>
      </c>
      <c r="F12" s="55">
        <f t="shared" si="1"/>
        <v>-6128</v>
      </c>
      <c r="G12" s="55">
        <f t="shared" si="1"/>
        <v>-6128</v>
      </c>
      <c r="H12" s="55">
        <f t="shared" si="1"/>
        <v>-6128</v>
      </c>
      <c r="I12" s="55">
        <f t="shared" si="1"/>
        <v>-6128</v>
      </c>
      <c r="J12" s="55">
        <f t="shared" si="1"/>
        <v>-6128</v>
      </c>
      <c r="K12" s="55">
        <f t="shared" si="1"/>
        <v>-6128</v>
      </c>
      <c r="L12" s="55">
        <f t="shared" si="1"/>
        <v>-6128</v>
      </c>
      <c r="M12" s="55">
        <f t="shared" si="1"/>
        <v>-6128</v>
      </c>
      <c r="N12" s="55">
        <f t="shared" si="1"/>
        <v>-6128</v>
      </c>
    </row>
    <row r="13" spans="1:14">
      <c r="A13" s="45" t="s">
        <v>338</v>
      </c>
      <c r="B13" s="46">
        <f>-Financing!B66</f>
        <v>-68368.000000000015</v>
      </c>
      <c r="C13" s="55">
        <f>-Financing!C66</f>
        <v>-4000</v>
      </c>
      <c r="D13" s="55">
        <f>-Financing!D66</f>
        <v>-4000</v>
      </c>
      <c r="E13" s="55">
        <f>-Financing!E66</f>
        <v>-8000</v>
      </c>
      <c r="F13" s="55">
        <f>-Financing!F66</f>
        <v>-8000</v>
      </c>
      <c r="G13" s="55">
        <f>-Financing!G66</f>
        <v>-8000</v>
      </c>
      <c r="H13" s="55">
        <f>-Financing!H66</f>
        <v>-8000</v>
      </c>
      <c r="I13" s="55">
        <f>-Financing!I66</f>
        <v>-2836.8</v>
      </c>
      <c r="J13" s="55">
        <f>-Financing!J66</f>
        <v>-4728</v>
      </c>
      <c r="K13" s="55">
        <f>-Financing!K66</f>
        <v>-6619.2000000000016</v>
      </c>
      <c r="L13" s="55">
        <f>-Financing!L66</f>
        <v>-6619.2000000000016</v>
      </c>
      <c r="M13" s="55">
        <f>-Financing!M66</f>
        <v>-4728</v>
      </c>
      <c r="N13" s="55">
        <f>-Financing!N66</f>
        <v>-2836.8</v>
      </c>
    </row>
    <row r="14" spans="1:14">
      <c r="A14" s="45" t="s">
        <v>339</v>
      </c>
      <c r="B14" s="46">
        <f>-(Financing!B63+Financing!B67+Financing!B68)</f>
        <v>-352408.66666666663</v>
      </c>
      <c r="C14" s="55">
        <f>-(Financing!C63+Financing!C67+Financing!C68)</f>
        <v>-10666.666666666668</v>
      </c>
      <c r="D14" s="55">
        <f>-(Financing!D63+Financing!D67+Financing!D68)</f>
        <v>-29933.333333333336</v>
      </c>
      <c r="E14" s="55">
        <f>-(Financing!E63+Financing!E67+Financing!E68)</f>
        <v>-29933.333333333336</v>
      </c>
      <c r="F14" s="55">
        <f>-(Financing!F63+Financing!F67+Financing!F68)</f>
        <v>-42800</v>
      </c>
      <c r="G14" s="55">
        <f>-(Financing!G63+Financing!G67+Financing!G68)</f>
        <v>-40666.666666666664</v>
      </c>
      <c r="H14" s="55">
        <f>-(Financing!H63+Financing!H67+Financing!H68)</f>
        <v>-40666.666666666664</v>
      </c>
      <c r="I14" s="55">
        <f>-(Financing!I63+Financing!I67+Financing!I68)</f>
        <v>-33200</v>
      </c>
      <c r="J14" s="55">
        <f>-(Financing!J63+Financing!J67+Financing!J68)</f>
        <v>-15971.333333333334</v>
      </c>
      <c r="K14" s="55">
        <f>-(Financing!K63+Financing!K67+Financing!K68)</f>
        <v>-25196.666666666668</v>
      </c>
      <c r="L14" s="55">
        <f>-(Financing!L63+Financing!L67+Financing!L68)</f>
        <v>-32288.666666666675</v>
      </c>
      <c r="M14" s="55">
        <f>-(Financing!M63+Financing!M67+Financing!M68)</f>
        <v>-30155.333333333339</v>
      </c>
      <c r="N14" s="55">
        <f>-(Financing!N63+Financing!N67+Financing!N68)</f>
        <v>-20930</v>
      </c>
    </row>
    <row r="15" spans="1:14">
      <c r="A15" s="45" t="s">
        <v>340</v>
      </c>
      <c r="B15" s="46">
        <f>SUM(C15:N15)</f>
        <v>-10000</v>
      </c>
      <c r="C15" s="55">
        <f>-(Assumptions!$B$136*Assumptions!$B$138)/12</f>
        <v>-833.33333333333337</v>
      </c>
      <c r="D15" s="55">
        <f>-(Assumptions!$B$136*Assumptions!$B$138)/12</f>
        <v>-833.33333333333337</v>
      </c>
      <c r="E15" s="55">
        <f>-(Assumptions!$B$136*Assumptions!$B$138)/12</f>
        <v>-833.33333333333337</v>
      </c>
      <c r="F15" s="55">
        <f>-(Assumptions!$B$136*Assumptions!$B$138)/12</f>
        <v>-833.33333333333337</v>
      </c>
      <c r="G15" s="55">
        <f>-(Assumptions!$B$136*Assumptions!$B$138)/12</f>
        <v>-833.33333333333337</v>
      </c>
      <c r="H15" s="55">
        <f>-(Assumptions!$B$136*Assumptions!$B$138)/12</f>
        <v>-833.33333333333337</v>
      </c>
      <c r="I15" s="55">
        <f>-(Assumptions!$B$136*Assumptions!$B$138)/12</f>
        <v>-833.33333333333337</v>
      </c>
      <c r="J15" s="55">
        <f>-(Assumptions!$B$136*Assumptions!$B$138)/12</f>
        <v>-833.33333333333337</v>
      </c>
      <c r="K15" s="55">
        <f>-(Assumptions!$B$136*Assumptions!$B$138)/12</f>
        <v>-833.33333333333337</v>
      </c>
      <c r="L15" s="55">
        <f>-(Assumptions!$B$136*Assumptions!$B$138)/12</f>
        <v>-833.33333333333337</v>
      </c>
      <c r="M15" s="55">
        <f>-(Assumptions!$B$136*Assumptions!$B$138)/12</f>
        <v>-833.33333333333337</v>
      </c>
      <c r="N15" s="55">
        <f>-(Assumptions!$B$136*Assumptions!$B$138)/12</f>
        <v>-833.33333333333337</v>
      </c>
    </row>
    <row r="16" spans="1:14">
      <c r="A16" s="26" t="s">
        <v>341</v>
      </c>
      <c r="B16" s="44">
        <f t="shared" ref="B16:N16" si="2">B6+B7</f>
        <v>4871687.3333333284</v>
      </c>
      <c r="C16" s="44">
        <f t="shared" si="2"/>
        <v>522372</v>
      </c>
      <c r="D16" s="44">
        <f t="shared" si="2"/>
        <v>733505.33333333395</v>
      </c>
      <c r="E16" s="44">
        <f t="shared" si="2"/>
        <v>729505.33333333395</v>
      </c>
      <c r="F16" s="44">
        <f t="shared" si="2"/>
        <v>601438.66666666605</v>
      </c>
      <c r="G16" s="44">
        <f t="shared" si="2"/>
        <v>488372</v>
      </c>
      <c r="H16" s="44">
        <f t="shared" si="2"/>
        <v>488372</v>
      </c>
      <c r="I16" s="44">
        <f t="shared" si="2"/>
        <v>97801.866666666698</v>
      </c>
      <c r="J16" s="44">
        <f t="shared" si="2"/>
        <v>228339.33333333395</v>
      </c>
      <c r="K16" s="44">
        <f t="shared" si="2"/>
        <v>332422.80000000075</v>
      </c>
      <c r="L16" s="44">
        <f t="shared" si="2"/>
        <v>325330.80000000075</v>
      </c>
      <c r="M16" s="44">
        <f t="shared" si="2"/>
        <v>214155.33333333395</v>
      </c>
      <c r="N16" s="44">
        <f t="shared" si="2"/>
        <v>110071.8666666667</v>
      </c>
    </row>
    <row r="17" spans="1:14">
      <c r="A17" s="45" t="s">
        <v>342</v>
      </c>
      <c r="B17" s="46">
        <f>SUM(C17:N17)</f>
        <v>-229399.99999999997</v>
      </c>
      <c r="C17" s="55">
        <f>-Administrative!B35</f>
        <v>-19116.666666666668</v>
      </c>
      <c r="D17" s="55">
        <f>C17</f>
        <v>-19116.666666666668</v>
      </c>
      <c r="E17" s="55">
        <f t="shared" ref="E17:N17" si="3">D17</f>
        <v>-19116.666666666668</v>
      </c>
      <c r="F17" s="55">
        <f t="shared" si="3"/>
        <v>-19116.666666666668</v>
      </c>
      <c r="G17" s="55">
        <f t="shared" si="3"/>
        <v>-19116.666666666668</v>
      </c>
      <c r="H17" s="55">
        <f t="shared" si="3"/>
        <v>-19116.666666666668</v>
      </c>
      <c r="I17" s="55">
        <f t="shared" si="3"/>
        <v>-19116.666666666668</v>
      </c>
      <c r="J17" s="55">
        <f t="shared" si="3"/>
        <v>-19116.666666666668</v>
      </c>
      <c r="K17" s="55">
        <f t="shared" si="3"/>
        <v>-19116.666666666668</v>
      </c>
      <c r="L17" s="55">
        <f t="shared" si="3"/>
        <v>-19116.666666666668</v>
      </c>
      <c r="M17" s="55">
        <f t="shared" si="3"/>
        <v>-19116.666666666668</v>
      </c>
      <c r="N17" s="55">
        <f t="shared" si="3"/>
        <v>-19116.666666666668</v>
      </c>
    </row>
    <row r="18" spans="1:14">
      <c r="A18" s="45" t="s">
        <v>343</v>
      </c>
      <c r="B18" s="46">
        <f>-Logistics!B19</f>
        <v>-720000</v>
      </c>
      <c r="C18" s="55">
        <f>-Logistics!C19</f>
        <v>-72000</v>
      </c>
      <c r="D18" s="55">
        <f>-Logistics!D19</f>
        <v>-100800.00000000003</v>
      </c>
      <c r="E18" s="55">
        <f>-Logistics!E19</f>
        <v>-100800.00000000003</v>
      </c>
      <c r="F18" s="55">
        <f>-Logistics!F19</f>
        <v>-86400</v>
      </c>
      <c r="G18" s="55">
        <f>-Logistics!G19</f>
        <v>-72000</v>
      </c>
      <c r="H18" s="55">
        <f>-Logistics!H19</f>
        <v>-72000</v>
      </c>
      <c r="I18" s="55">
        <f>-Logistics!I19</f>
        <v>-21600</v>
      </c>
      <c r="J18" s="55">
        <f>-Logistics!J19</f>
        <v>-36000</v>
      </c>
      <c r="K18" s="55">
        <f>-Logistics!K19</f>
        <v>-50400.000000000015</v>
      </c>
      <c r="L18" s="55">
        <f>-Logistics!L19</f>
        <v>-50400.000000000015</v>
      </c>
      <c r="M18" s="55">
        <f>-Logistics!M19</f>
        <v>-36000</v>
      </c>
      <c r="N18" s="55">
        <f>-Logistics!N19</f>
        <v>-21600</v>
      </c>
    </row>
    <row r="19" spans="1:14">
      <c r="A19" s="45" t="s">
        <v>344</v>
      </c>
      <c r="B19" s="46">
        <f>SUM(C19:N19)</f>
        <v>-192000</v>
      </c>
      <c r="C19" s="55">
        <f>-Administrative!E7</f>
        <v>-16000</v>
      </c>
      <c r="D19" s="55">
        <f>C19</f>
        <v>-16000</v>
      </c>
      <c r="E19" s="55">
        <f t="shared" ref="E19:N19" si="4">D19</f>
        <v>-16000</v>
      </c>
      <c r="F19" s="55">
        <f t="shared" si="4"/>
        <v>-16000</v>
      </c>
      <c r="G19" s="55">
        <f t="shared" si="4"/>
        <v>-16000</v>
      </c>
      <c r="H19" s="55">
        <f t="shared" si="4"/>
        <v>-16000</v>
      </c>
      <c r="I19" s="55">
        <f t="shared" si="4"/>
        <v>-16000</v>
      </c>
      <c r="J19" s="55">
        <f t="shared" si="4"/>
        <v>-16000</v>
      </c>
      <c r="K19" s="55">
        <f t="shared" si="4"/>
        <v>-16000</v>
      </c>
      <c r="L19" s="55">
        <f t="shared" si="4"/>
        <v>-16000</v>
      </c>
      <c r="M19" s="55">
        <f t="shared" si="4"/>
        <v>-16000</v>
      </c>
      <c r="N19" s="55">
        <f t="shared" si="4"/>
        <v>-16000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3730287.3333333284</v>
      </c>
      <c r="C21" s="44">
        <f t="shared" ref="C21:N21" si="5">C16+C17+C18+C19+C20</f>
        <v>415255.33333333331</v>
      </c>
      <c r="D21" s="44">
        <f t="shared" si="5"/>
        <v>597588.66666666733</v>
      </c>
      <c r="E21" s="44">
        <f t="shared" si="5"/>
        <v>593588.66666666733</v>
      </c>
      <c r="F21" s="44">
        <f t="shared" si="5"/>
        <v>479921.99999999942</v>
      </c>
      <c r="G21" s="44">
        <f t="shared" si="5"/>
        <v>381255.33333333331</v>
      </c>
      <c r="H21" s="44">
        <f t="shared" si="5"/>
        <v>381255.33333333331</v>
      </c>
      <c r="I21" s="44">
        <f t="shared" si="5"/>
        <v>41085.200000000026</v>
      </c>
      <c r="J21" s="44">
        <f t="shared" si="5"/>
        <v>157222.6666666673</v>
      </c>
      <c r="K21" s="44">
        <f t="shared" si="5"/>
        <v>246906.13333333406</v>
      </c>
      <c r="L21" s="44">
        <f t="shared" si="5"/>
        <v>239814.13333333406</v>
      </c>
      <c r="M21" s="44">
        <f t="shared" si="5"/>
        <v>143038.6666666673</v>
      </c>
      <c r="N21" s="44">
        <f t="shared" si="5"/>
        <v>53355.200000000026</v>
      </c>
    </row>
    <row r="22" spans="1:14">
      <c r="A22" s="45" t="s">
        <v>347</v>
      </c>
      <c r="B22" s="46">
        <f t="shared" ref="B22:N22" si="6">B23+B24+B26+B25</f>
        <v>-480000</v>
      </c>
      <c r="C22" s="46">
        <f t="shared" si="6"/>
        <v>0</v>
      </c>
      <c r="D22" s="46">
        <f t="shared" si="6"/>
        <v>0</v>
      </c>
      <c r="E22" s="46">
        <f t="shared" si="6"/>
        <v>0</v>
      </c>
      <c r="F22" s="46">
        <f t="shared" si="6"/>
        <v>-120000</v>
      </c>
      <c r="G22" s="46">
        <f t="shared" si="6"/>
        <v>0</v>
      </c>
      <c r="H22" s="46">
        <f t="shared" si="6"/>
        <v>0</v>
      </c>
      <c r="I22" s="46">
        <f t="shared" si="6"/>
        <v>-120000</v>
      </c>
      <c r="J22" s="46">
        <f t="shared" si="6"/>
        <v>0</v>
      </c>
      <c r="K22" s="46">
        <f t="shared" si="6"/>
        <v>0</v>
      </c>
      <c r="L22" s="46">
        <f t="shared" si="6"/>
        <v>-120000</v>
      </c>
      <c r="M22" s="46">
        <f t="shared" si="6"/>
        <v>0</v>
      </c>
      <c r="N22" s="46">
        <f t="shared" si="6"/>
        <v>-120000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4" hidden="1">
      <c r="A24" s="1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>
      <c r="A26" s="12" t="s">
        <v>349</v>
      </c>
      <c r="B26" s="46">
        <f>SUM(C26:N26)</f>
        <v>-480000</v>
      </c>
      <c r="C26" s="55">
        <f>-Financing!C98</f>
        <v>0</v>
      </c>
      <c r="D26" s="55">
        <f>-Financing!D98</f>
        <v>0</v>
      </c>
      <c r="E26" s="55">
        <f>-Financing!E98</f>
        <v>0</v>
      </c>
      <c r="F26" s="55">
        <f>-Financing!F98</f>
        <v>-120000</v>
      </c>
      <c r="G26" s="55">
        <f>-Financing!G98</f>
        <v>0</v>
      </c>
      <c r="H26" s="55">
        <f>-Financing!H98</f>
        <v>0</v>
      </c>
      <c r="I26" s="55">
        <f>-Financing!I98</f>
        <v>-120000</v>
      </c>
      <c r="J26" s="55">
        <f>-Financing!J98</f>
        <v>0</v>
      </c>
      <c r="K26" s="55">
        <f>-Financing!K98</f>
        <v>0</v>
      </c>
      <c r="L26" s="55">
        <f>-Financing!L98</f>
        <v>-120000</v>
      </c>
      <c r="M26" s="55">
        <f>-Financing!M98</f>
        <v>0</v>
      </c>
      <c r="N26" s="55">
        <f>-Financing!N98</f>
        <v>-120000</v>
      </c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7">B21+B22+B27+B28</f>
        <v>3250287.3333333284</v>
      </c>
      <c r="C29" s="44">
        <f t="shared" si="7"/>
        <v>415255.33333333331</v>
      </c>
      <c r="D29" s="44">
        <f t="shared" si="7"/>
        <v>597588.66666666733</v>
      </c>
      <c r="E29" s="44">
        <f t="shared" si="7"/>
        <v>593588.66666666733</v>
      </c>
      <c r="F29" s="44">
        <f t="shared" si="7"/>
        <v>359921.99999999942</v>
      </c>
      <c r="G29" s="44">
        <f t="shared" si="7"/>
        <v>381255.33333333331</v>
      </c>
      <c r="H29" s="44">
        <f t="shared" si="7"/>
        <v>381255.33333333331</v>
      </c>
      <c r="I29" s="44">
        <f t="shared" si="7"/>
        <v>-78914.799999999974</v>
      </c>
      <c r="J29" s="44">
        <f t="shared" si="7"/>
        <v>157222.6666666673</v>
      </c>
      <c r="K29" s="44">
        <f t="shared" si="7"/>
        <v>246906.13333333406</v>
      </c>
      <c r="L29" s="44">
        <f t="shared" si="7"/>
        <v>119814.13333333406</v>
      </c>
      <c r="M29" s="44">
        <f t="shared" si="7"/>
        <v>143038.6666666673</v>
      </c>
      <c r="N29" s="44">
        <f t="shared" si="7"/>
        <v>-66644.799999999974</v>
      </c>
    </row>
    <row r="30" spans="1:14">
      <c r="A30" s="45" t="s">
        <v>353</v>
      </c>
      <c r="B30" s="46">
        <f>IF(B29&lt;0,0,-B29*Assumptions!B21)-(Assumptions!B13*Assumptions!B128)/Assumptions!B5</f>
        <v>-378528.22697193956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2871759.1063613887</v>
      </c>
      <c r="C31" s="44">
        <f t="shared" ref="C31:N31" si="8">C29+C30</f>
        <v>415255.33333333331</v>
      </c>
      <c r="D31" s="44">
        <f t="shared" si="8"/>
        <v>597588.66666666733</v>
      </c>
      <c r="E31" s="44">
        <f t="shared" si="8"/>
        <v>593588.66666666733</v>
      </c>
      <c r="F31" s="44">
        <f t="shared" si="8"/>
        <v>359921.99999999942</v>
      </c>
      <c r="G31" s="44">
        <f t="shared" si="8"/>
        <v>381255.33333333331</v>
      </c>
      <c r="H31" s="44">
        <f t="shared" si="8"/>
        <v>381255.33333333331</v>
      </c>
      <c r="I31" s="44">
        <f t="shared" si="8"/>
        <v>-78914.799999999974</v>
      </c>
      <c r="J31" s="44">
        <f t="shared" si="8"/>
        <v>157222.6666666673</v>
      </c>
      <c r="K31" s="44">
        <f t="shared" si="8"/>
        <v>246906.13333333406</v>
      </c>
      <c r="L31" s="44">
        <f t="shared" si="8"/>
        <v>119814.13333333406</v>
      </c>
      <c r="M31" s="44">
        <f t="shared" si="8"/>
        <v>143038.6666666673</v>
      </c>
      <c r="N31" s="44">
        <f t="shared" si="8"/>
        <v>-66644.799999999974</v>
      </c>
    </row>
    <row r="32" spans="1:14">
      <c r="A32" s="26" t="s">
        <v>355</v>
      </c>
      <c r="B32" s="50">
        <f>IF(B31&lt;0,0,-B31*Assumptions!B123)</f>
        <v>-1435879.5531806943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9">B31+B32</f>
        <v>1435879.5531806943</v>
      </c>
      <c r="C33" s="53">
        <f t="shared" si="9"/>
        <v>415255.33333333331</v>
      </c>
      <c r="D33" s="53">
        <f t="shared" si="9"/>
        <v>597588.66666666733</v>
      </c>
      <c r="E33" s="53">
        <f t="shared" si="9"/>
        <v>593588.66666666733</v>
      </c>
      <c r="F33" s="53">
        <f t="shared" si="9"/>
        <v>359921.99999999942</v>
      </c>
      <c r="G33" s="53">
        <f t="shared" si="9"/>
        <v>381255.33333333331</v>
      </c>
      <c r="H33" s="53">
        <f t="shared" si="9"/>
        <v>381255.33333333331</v>
      </c>
      <c r="I33" s="53">
        <f t="shared" si="9"/>
        <v>-78914.799999999974</v>
      </c>
      <c r="J33" s="53">
        <f t="shared" si="9"/>
        <v>157222.6666666673</v>
      </c>
      <c r="K33" s="53">
        <f t="shared" si="9"/>
        <v>246906.13333333406</v>
      </c>
      <c r="L33" s="53">
        <f t="shared" si="9"/>
        <v>119814.13333333406</v>
      </c>
      <c r="M33" s="53">
        <f t="shared" si="9"/>
        <v>143038.6666666673</v>
      </c>
      <c r="N33" s="53">
        <f t="shared" si="9"/>
        <v>-66644.799999999974</v>
      </c>
    </row>
    <row r="34" spans="1:14">
      <c r="B34" s="51"/>
      <c r="C34" s="51"/>
      <c r="D34" s="51"/>
      <c r="E34" s="5"/>
      <c r="F34" s="5"/>
      <c r="G34" s="5"/>
      <c r="H34" s="5"/>
    </row>
    <row r="35" spans="1:14" ht="15.6">
      <c r="A35" s="47" t="s">
        <v>325</v>
      </c>
      <c r="B35" s="51"/>
      <c r="C35" s="51">
        <f>-(C10+C11+C12+C14+C17+C18+C19)</f>
        <v>179911.33333333334</v>
      </c>
      <c r="D35" s="51">
        <f t="shared" ref="D35:N35" si="10">-(D10+D11+D12+D14+D17+D18+D19)</f>
        <v>237578.00000000006</v>
      </c>
      <c r="E35" s="51">
        <f t="shared" si="10"/>
        <v>237578.00000000006</v>
      </c>
      <c r="F35" s="51">
        <f t="shared" si="10"/>
        <v>231244.66666666669</v>
      </c>
      <c r="G35" s="51">
        <f t="shared" si="10"/>
        <v>209911.33333333331</v>
      </c>
      <c r="H35" s="51">
        <f t="shared" si="10"/>
        <v>209911.33333333331</v>
      </c>
      <c r="I35" s="51">
        <f t="shared" si="10"/>
        <v>135244.66666666669</v>
      </c>
      <c r="J35" s="51">
        <f t="shared" si="10"/>
        <v>137216</v>
      </c>
      <c r="K35" s="51">
        <f t="shared" si="10"/>
        <v>165641.33333333337</v>
      </c>
      <c r="L35" s="51">
        <f t="shared" si="10"/>
        <v>172733.33333333337</v>
      </c>
      <c r="M35" s="51">
        <f t="shared" si="10"/>
        <v>151400</v>
      </c>
      <c r="N35" s="51">
        <f t="shared" si="10"/>
        <v>122974.66666666667</v>
      </c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  <c r="D2" s="5"/>
      <c r="E2" s="75"/>
    </row>
    <row r="3" spans="1:14" ht="21">
      <c r="A3" s="43" t="s">
        <v>81</v>
      </c>
      <c r="B3" s="19" t="s">
        <v>328</v>
      </c>
    </row>
    <row r="4" spans="1:14" ht="21">
      <c r="A4" s="43" t="s">
        <v>329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Sales!B8</f>
        <v>84000000</v>
      </c>
      <c r="C6" s="54">
        <f>Sales!C8</f>
        <v>8400000</v>
      </c>
      <c r="D6" s="54">
        <f>Sales!D8</f>
        <v>11760000.000000002</v>
      </c>
      <c r="E6" s="54">
        <f>Sales!E8</f>
        <v>11760000.000000002</v>
      </c>
      <c r="F6" s="54">
        <f>Sales!F8</f>
        <v>10080000</v>
      </c>
      <c r="G6" s="54">
        <f>Sales!G8</f>
        <v>8400000</v>
      </c>
      <c r="H6" s="54">
        <f>Sales!H8</f>
        <v>8400000</v>
      </c>
      <c r="I6" s="54">
        <f>Sales!I8</f>
        <v>2520000</v>
      </c>
      <c r="J6" s="54">
        <f>Sales!J8</f>
        <v>4200000</v>
      </c>
      <c r="K6" s="54">
        <f>Sales!K8</f>
        <v>5880000.0000000009</v>
      </c>
      <c r="L6" s="54">
        <f>Sales!L8</f>
        <v>5880000.0000000009</v>
      </c>
      <c r="M6" s="54">
        <f>Sales!M8</f>
        <v>4200000</v>
      </c>
      <c r="N6" s="54">
        <f>Sales!N8</f>
        <v>2520000</v>
      </c>
    </row>
    <row r="7" spans="1:14" s="16" customFormat="1">
      <c r="A7" s="26" t="s">
        <v>332</v>
      </c>
      <c r="B7" s="44">
        <f t="shared" ref="B7:N7" si="0">SUM(B8:B15)</f>
        <v>-83904000</v>
      </c>
      <c r="C7" s="54">
        <f t="shared" si="0"/>
        <v>-8390400</v>
      </c>
      <c r="D7" s="54">
        <f t="shared" si="0"/>
        <v>-11746560.000000002</v>
      </c>
      <c r="E7" s="54">
        <f t="shared" si="0"/>
        <v>-11746560.000000002</v>
      </c>
      <c r="F7" s="54">
        <f t="shared" si="0"/>
        <v>-10068480</v>
      </c>
      <c r="G7" s="54">
        <f t="shared" si="0"/>
        <v>-8390400</v>
      </c>
      <c r="H7" s="54">
        <f t="shared" si="0"/>
        <v>-8390400</v>
      </c>
      <c r="I7" s="54">
        <f t="shared" si="0"/>
        <v>-2517120</v>
      </c>
      <c r="J7" s="54">
        <f t="shared" si="0"/>
        <v>-4195200</v>
      </c>
      <c r="K7" s="54">
        <f t="shared" si="0"/>
        <v>-5873280.0000000009</v>
      </c>
      <c r="L7" s="54">
        <f t="shared" si="0"/>
        <v>-5873280.0000000009</v>
      </c>
      <c r="M7" s="54">
        <f t="shared" si="0"/>
        <v>-4195200</v>
      </c>
      <c r="N7" s="54">
        <f t="shared" si="0"/>
        <v>-2517120</v>
      </c>
    </row>
    <row r="8" spans="1:14" s="32" customFormat="1">
      <c r="A8" s="45" t="s">
        <v>333</v>
      </c>
      <c r="B8" s="46">
        <f>-Sales!B4-Purchases!B19</f>
        <v>-76704000</v>
      </c>
      <c r="C8" s="55">
        <f>-Sales!C4-Purchases!C19</f>
        <v>-7670400</v>
      </c>
      <c r="D8" s="55">
        <f>-Sales!D4-Purchases!D19</f>
        <v>-10738560.000000002</v>
      </c>
      <c r="E8" s="55">
        <f>-Sales!E4-Purchases!E19</f>
        <v>-10738560.000000002</v>
      </c>
      <c r="F8" s="55">
        <f>-Sales!F4-Purchases!F19</f>
        <v>-9204480</v>
      </c>
      <c r="G8" s="55">
        <f>-Sales!G4-Purchases!G19</f>
        <v>-7670400</v>
      </c>
      <c r="H8" s="55">
        <f>-Sales!H4-Purchases!H19</f>
        <v>-7670400</v>
      </c>
      <c r="I8" s="55">
        <f>-Sales!I4-Purchases!I19</f>
        <v>-2301120</v>
      </c>
      <c r="J8" s="55">
        <f>-Sales!J4-Purchases!J19</f>
        <v>-3835200</v>
      </c>
      <c r="K8" s="55">
        <f>-Sales!K4-Purchases!K19</f>
        <v>-5369280.0000000009</v>
      </c>
      <c r="L8" s="55">
        <f>-Sales!L4-Purchases!L19</f>
        <v>-5369280.0000000009</v>
      </c>
      <c r="M8" s="55">
        <f>-Sales!M4-Purchases!M19</f>
        <v>-3835200</v>
      </c>
      <c r="N8" s="55">
        <f>-Sales!N4-Purchases!N19</f>
        <v>-2301120</v>
      </c>
    </row>
    <row r="9" spans="1:14">
      <c r="A9" s="45" t="s">
        <v>334</v>
      </c>
      <c r="B9" s="46">
        <f>-Logistics!B12</f>
        <v>-7200000</v>
      </c>
      <c r="C9" s="55">
        <f>-Logistics!C12</f>
        <v>-720000</v>
      </c>
      <c r="D9" s="55">
        <f>-(Logistics!D16+Logistics!D17)</f>
        <v>-1008000.0000000002</v>
      </c>
      <c r="E9" s="55">
        <f>-(Logistics!E16+Logistics!E17)</f>
        <v>-1008000.0000000002</v>
      </c>
      <c r="F9" s="55">
        <f>-(Logistics!F16+Logistics!F17)</f>
        <v>-864000</v>
      </c>
      <c r="G9" s="55">
        <f>-(Logistics!G16+Logistics!G17)</f>
        <v>-720000</v>
      </c>
      <c r="H9" s="55">
        <f>-(Logistics!H16+Logistics!H17)</f>
        <v>-720000</v>
      </c>
      <c r="I9" s="55">
        <f>-(Logistics!I16+Logistics!I17)</f>
        <v>-216000</v>
      </c>
      <c r="J9" s="55">
        <f>-(Logistics!J16+Logistics!J17)</f>
        <v>-360000</v>
      </c>
      <c r="K9" s="55">
        <f>-(Logistics!K16+Logistics!K17)</f>
        <v>-504000.00000000012</v>
      </c>
      <c r="L9" s="55">
        <f>-(Logistics!L16+Logistics!L17)</f>
        <v>-504000.00000000012</v>
      </c>
      <c r="M9" s="55">
        <f>-(Logistics!M16+Logistics!M17)</f>
        <v>-360000</v>
      </c>
      <c r="N9" s="55">
        <f>-(Logistics!N16+Logistics!N17)</f>
        <v>-216000</v>
      </c>
    </row>
    <row r="10" spans="1:14">
      <c r="A10" s="45" t="s">
        <v>335</v>
      </c>
      <c r="B10" s="46">
        <v>0</v>
      </c>
      <c r="C10" s="55">
        <f>B10</f>
        <v>0</v>
      </c>
      <c r="D10" s="55">
        <f t="shared" ref="D10:N10" si="1">C10</f>
        <v>0</v>
      </c>
      <c r="E10" s="55">
        <f t="shared" si="1"/>
        <v>0</v>
      </c>
      <c r="F10" s="55">
        <f t="shared" si="1"/>
        <v>0</v>
      </c>
      <c r="G10" s="55">
        <f t="shared" si="1"/>
        <v>0</v>
      </c>
      <c r="H10" s="55">
        <f t="shared" si="1"/>
        <v>0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</row>
    <row r="11" spans="1:14">
      <c r="A11" s="45" t="s">
        <v>336</v>
      </c>
      <c r="B11" s="46">
        <v>0</v>
      </c>
      <c r="C11" s="55">
        <f t="shared" ref="C11:N14" si="2">B11</f>
        <v>0</v>
      </c>
      <c r="D11" s="55">
        <f t="shared" si="2"/>
        <v>0</v>
      </c>
      <c r="E11" s="55">
        <f t="shared" si="2"/>
        <v>0</v>
      </c>
      <c r="F11" s="55">
        <f t="shared" si="2"/>
        <v>0</v>
      </c>
      <c r="G11" s="55">
        <f t="shared" si="2"/>
        <v>0</v>
      </c>
      <c r="H11" s="55">
        <f t="shared" si="2"/>
        <v>0</v>
      </c>
      <c r="I11" s="55">
        <f t="shared" si="2"/>
        <v>0</v>
      </c>
      <c r="J11" s="55">
        <f t="shared" si="2"/>
        <v>0</v>
      </c>
      <c r="K11" s="55">
        <f t="shared" si="2"/>
        <v>0</v>
      </c>
      <c r="L11" s="55">
        <f t="shared" si="2"/>
        <v>0</v>
      </c>
      <c r="M11" s="55">
        <f t="shared" si="2"/>
        <v>0</v>
      </c>
      <c r="N11" s="55">
        <f t="shared" si="2"/>
        <v>0</v>
      </c>
    </row>
    <row r="12" spans="1:14">
      <c r="A12" s="45" t="s">
        <v>337</v>
      </c>
      <c r="B12" s="46">
        <v>0</v>
      </c>
      <c r="C12" s="55">
        <f t="shared" si="2"/>
        <v>0</v>
      </c>
      <c r="D12" s="55">
        <f t="shared" si="2"/>
        <v>0</v>
      </c>
      <c r="E12" s="55">
        <f t="shared" si="2"/>
        <v>0</v>
      </c>
      <c r="F12" s="55">
        <f t="shared" si="2"/>
        <v>0</v>
      </c>
      <c r="G12" s="55">
        <f t="shared" si="2"/>
        <v>0</v>
      </c>
      <c r="H12" s="55">
        <f t="shared" si="2"/>
        <v>0</v>
      </c>
      <c r="I12" s="55">
        <f t="shared" si="2"/>
        <v>0</v>
      </c>
      <c r="J12" s="55">
        <f t="shared" si="2"/>
        <v>0</v>
      </c>
      <c r="K12" s="55">
        <f t="shared" si="2"/>
        <v>0</v>
      </c>
      <c r="L12" s="55">
        <f t="shared" si="2"/>
        <v>0</v>
      </c>
      <c r="M12" s="55">
        <f t="shared" si="2"/>
        <v>0</v>
      </c>
      <c r="N12" s="55">
        <f t="shared" si="2"/>
        <v>0</v>
      </c>
    </row>
    <row r="13" spans="1:14">
      <c r="A13" s="45" t="s">
        <v>338</v>
      </c>
      <c r="B13" s="46">
        <v>0</v>
      </c>
      <c r="C13" s="55">
        <f t="shared" si="2"/>
        <v>0</v>
      </c>
      <c r="D13" s="55">
        <f t="shared" si="2"/>
        <v>0</v>
      </c>
      <c r="E13" s="55">
        <f t="shared" si="2"/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</row>
    <row r="14" spans="1:14">
      <c r="A14" s="45" t="s">
        <v>339</v>
      </c>
      <c r="B14" s="46">
        <v>0</v>
      </c>
      <c r="C14" s="55">
        <f t="shared" si="2"/>
        <v>0</v>
      </c>
      <c r="D14" s="55">
        <f t="shared" si="2"/>
        <v>0</v>
      </c>
      <c r="E14" s="55">
        <f t="shared" si="2"/>
        <v>0</v>
      </c>
      <c r="F14" s="55">
        <f t="shared" si="2"/>
        <v>0</v>
      </c>
      <c r="G14" s="55">
        <f t="shared" si="2"/>
        <v>0</v>
      </c>
      <c r="H14" s="55">
        <f t="shared" si="2"/>
        <v>0</v>
      </c>
      <c r="I14" s="55">
        <f t="shared" si="2"/>
        <v>0</v>
      </c>
      <c r="J14" s="55">
        <f t="shared" si="2"/>
        <v>0</v>
      </c>
      <c r="K14" s="55">
        <f t="shared" si="2"/>
        <v>0</v>
      </c>
      <c r="L14" s="55">
        <f t="shared" si="2"/>
        <v>0</v>
      </c>
      <c r="M14" s="55">
        <f t="shared" si="2"/>
        <v>0</v>
      </c>
      <c r="N14" s="55">
        <f t="shared" si="2"/>
        <v>0</v>
      </c>
    </row>
    <row r="15" spans="1:14">
      <c r="A15" s="45" t="s">
        <v>340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>
      <c r="A16" s="26" t="s">
        <v>341</v>
      </c>
      <c r="B16" s="44">
        <f t="shared" ref="B16:N16" si="3">B6+B7</f>
        <v>96000</v>
      </c>
      <c r="C16" s="44">
        <f t="shared" si="3"/>
        <v>9600</v>
      </c>
      <c r="D16" s="44">
        <f t="shared" si="3"/>
        <v>13440</v>
      </c>
      <c r="E16" s="44">
        <f t="shared" si="3"/>
        <v>13440</v>
      </c>
      <c r="F16" s="44">
        <f t="shared" si="3"/>
        <v>11520</v>
      </c>
      <c r="G16" s="44">
        <f t="shared" si="3"/>
        <v>9600</v>
      </c>
      <c r="H16" s="44">
        <f t="shared" si="3"/>
        <v>9600</v>
      </c>
      <c r="I16" s="44">
        <f t="shared" si="3"/>
        <v>2880</v>
      </c>
      <c r="J16" s="44">
        <f t="shared" si="3"/>
        <v>4800</v>
      </c>
      <c r="K16" s="44">
        <f t="shared" si="3"/>
        <v>6720</v>
      </c>
      <c r="L16" s="44">
        <f t="shared" si="3"/>
        <v>6720</v>
      </c>
      <c r="M16" s="44">
        <f t="shared" si="3"/>
        <v>4800</v>
      </c>
      <c r="N16" s="44">
        <f t="shared" si="3"/>
        <v>2880</v>
      </c>
    </row>
    <row r="17" spans="1:14">
      <c r="A17" s="45" t="s">
        <v>342</v>
      </c>
      <c r="B17" s="46">
        <v>0</v>
      </c>
      <c r="C17" s="55">
        <f>B17</f>
        <v>0</v>
      </c>
      <c r="D17" s="55">
        <f t="shared" ref="D17:N17" si="4">C17</f>
        <v>0</v>
      </c>
      <c r="E17" s="55">
        <f t="shared" si="4"/>
        <v>0</v>
      </c>
      <c r="F17" s="55">
        <f t="shared" si="4"/>
        <v>0</v>
      </c>
      <c r="G17" s="55">
        <f t="shared" si="4"/>
        <v>0</v>
      </c>
      <c r="H17" s="55">
        <f t="shared" si="4"/>
        <v>0</v>
      </c>
      <c r="I17" s="55">
        <f t="shared" si="4"/>
        <v>0</v>
      </c>
      <c r="J17" s="55">
        <f t="shared" si="4"/>
        <v>0</v>
      </c>
      <c r="K17" s="55">
        <f t="shared" si="4"/>
        <v>0</v>
      </c>
      <c r="L17" s="55">
        <f t="shared" si="4"/>
        <v>0</v>
      </c>
      <c r="M17" s="55">
        <f t="shared" si="4"/>
        <v>0</v>
      </c>
      <c r="N17" s="55">
        <f t="shared" si="4"/>
        <v>0</v>
      </c>
    </row>
    <row r="18" spans="1:14">
      <c r="A18" s="45" t="s">
        <v>343</v>
      </c>
      <c r="B18" s="46">
        <f>Financing!B82</f>
        <v>-896640</v>
      </c>
      <c r="C18" s="55">
        <f>B18/12</f>
        <v>-74720</v>
      </c>
      <c r="D18" s="55">
        <f t="shared" ref="D18:N18" si="5">C18</f>
        <v>-74720</v>
      </c>
      <c r="E18" s="55">
        <f t="shared" si="5"/>
        <v>-74720</v>
      </c>
      <c r="F18" s="55">
        <f t="shared" si="5"/>
        <v>-74720</v>
      </c>
      <c r="G18" s="55">
        <f t="shared" si="5"/>
        <v>-74720</v>
      </c>
      <c r="H18" s="55">
        <f t="shared" si="5"/>
        <v>-74720</v>
      </c>
      <c r="I18" s="55">
        <f t="shared" si="5"/>
        <v>-74720</v>
      </c>
      <c r="J18" s="55">
        <f t="shared" si="5"/>
        <v>-74720</v>
      </c>
      <c r="K18" s="55">
        <f t="shared" si="5"/>
        <v>-74720</v>
      </c>
      <c r="L18" s="55">
        <f t="shared" si="5"/>
        <v>-74720</v>
      </c>
      <c r="M18" s="55">
        <f t="shared" si="5"/>
        <v>-74720</v>
      </c>
      <c r="N18" s="55">
        <f t="shared" si="5"/>
        <v>-74720</v>
      </c>
    </row>
    <row r="19" spans="1:14">
      <c r="A19" s="45" t="s">
        <v>344</v>
      </c>
      <c r="B19" s="46">
        <v>0</v>
      </c>
      <c r="C19" s="55">
        <f t="shared" ref="C19:N19" si="6">B19</f>
        <v>0</v>
      </c>
      <c r="D19" s="55">
        <f t="shared" si="6"/>
        <v>0</v>
      </c>
      <c r="E19" s="55">
        <f t="shared" si="6"/>
        <v>0</v>
      </c>
      <c r="F19" s="55">
        <f t="shared" si="6"/>
        <v>0</v>
      </c>
      <c r="G19" s="55">
        <f t="shared" si="6"/>
        <v>0</v>
      </c>
      <c r="H19" s="55">
        <f t="shared" si="6"/>
        <v>0</v>
      </c>
      <c r="I19" s="55">
        <f t="shared" si="6"/>
        <v>0</v>
      </c>
      <c r="J19" s="55">
        <f t="shared" si="6"/>
        <v>0</v>
      </c>
      <c r="K19" s="55">
        <f t="shared" si="6"/>
        <v>0</v>
      </c>
      <c r="L19" s="55">
        <f t="shared" si="6"/>
        <v>0</v>
      </c>
      <c r="M19" s="55">
        <f t="shared" si="6"/>
        <v>0</v>
      </c>
      <c r="N19" s="55">
        <f t="shared" si="6"/>
        <v>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-800640</v>
      </c>
      <c r="C21" s="44">
        <f t="shared" ref="C21:N21" si="7">C16+C17+C18+C19+C20</f>
        <v>-65120</v>
      </c>
      <c r="D21" s="44">
        <f t="shared" si="7"/>
        <v>-61280</v>
      </c>
      <c r="E21" s="44">
        <f t="shared" si="7"/>
        <v>-61280</v>
      </c>
      <c r="F21" s="44">
        <f t="shared" si="7"/>
        <v>-63200</v>
      </c>
      <c r="G21" s="44">
        <f t="shared" si="7"/>
        <v>-65120</v>
      </c>
      <c r="H21" s="44">
        <f t="shared" si="7"/>
        <v>-65120</v>
      </c>
      <c r="I21" s="44">
        <f t="shared" si="7"/>
        <v>-71840</v>
      </c>
      <c r="J21" s="44">
        <f t="shared" si="7"/>
        <v>-69920</v>
      </c>
      <c r="K21" s="44">
        <f t="shared" si="7"/>
        <v>-68000</v>
      </c>
      <c r="L21" s="44">
        <f t="shared" si="7"/>
        <v>-68000</v>
      </c>
      <c r="M21" s="44">
        <f t="shared" si="7"/>
        <v>-69920</v>
      </c>
      <c r="N21" s="44">
        <f t="shared" si="7"/>
        <v>-71840</v>
      </c>
    </row>
    <row r="22" spans="1:14">
      <c r="A22" s="45" t="s">
        <v>347</v>
      </c>
      <c r="B22" s="46">
        <f t="shared" ref="B22:N22" si="8">B23+B24+B26+B25</f>
        <v>0</v>
      </c>
      <c r="C22" s="46">
        <f t="shared" si="8"/>
        <v>0</v>
      </c>
      <c r="D22" s="46">
        <f t="shared" si="8"/>
        <v>0</v>
      </c>
      <c r="E22" s="46">
        <f t="shared" si="8"/>
        <v>0</v>
      </c>
      <c r="F22" s="46">
        <f t="shared" si="8"/>
        <v>0</v>
      </c>
      <c r="G22" s="46">
        <f t="shared" si="8"/>
        <v>0</v>
      </c>
      <c r="H22" s="46">
        <f t="shared" si="8"/>
        <v>0</v>
      </c>
      <c r="I22" s="46">
        <f t="shared" si="8"/>
        <v>0</v>
      </c>
      <c r="J22" s="46">
        <f t="shared" si="8"/>
        <v>0</v>
      </c>
      <c r="K22" s="46">
        <f t="shared" si="8"/>
        <v>0</v>
      </c>
      <c r="L22" s="46">
        <f t="shared" si="8"/>
        <v>0</v>
      </c>
      <c r="M22" s="46">
        <f t="shared" si="8"/>
        <v>0</v>
      </c>
      <c r="N22" s="46">
        <f t="shared" si="8"/>
        <v>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4" hidden="1">
      <c r="A24" s="1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ht="14.4">
      <c r="A26" s="12" t="s">
        <v>349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9">B21+B22+B27+B28</f>
        <v>-800640</v>
      </c>
      <c r="C29" s="44">
        <f t="shared" si="9"/>
        <v>-65120</v>
      </c>
      <c r="D29" s="44">
        <f t="shared" si="9"/>
        <v>-61280</v>
      </c>
      <c r="E29" s="44">
        <f t="shared" si="9"/>
        <v>-61280</v>
      </c>
      <c r="F29" s="44">
        <f t="shared" si="9"/>
        <v>-63200</v>
      </c>
      <c r="G29" s="44">
        <f t="shared" si="9"/>
        <v>-65120</v>
      </c>
      <c r="H29" s="44">
        <f t="shared" si="9"/>
        <v>-65120</v>
      </c>
      <c r="I29" s="44">
        <f t="shared" si="9"/>
        <v>-71840</v>
      </c>
      <c r="J29" s="44">
        <f t="shared" si="9"/>
        <v>-69920</v>
      </c>
      <c r="K29" s="44">
        <f t="shared" si="9"/>
        <v>-68000</v>
      </c>
      <c r="L29" s="44">
        <f t="shared" si="9"/>
        <v>-68000</v>
      </c>
      <c r="M29" s="44">
        <f t="shared" si="9"/>
        <v>-69920</v>
      </c>
      <c r="N29" s="44">
        <f t="shared" si="9"/>
        <v>-71840</v>
      </c>
    </row>
    <row r="30" spans="1:14">
      <c r="A30" s="45" t="s">
        <v>359</v>
      </c>
      <c r="B30" s="46">
        <f>IF(B16&lt;0,0,-B16*Assumptions!B20)</f>
        <v>-19200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-819840</v>
      </c>
      <c r="C31" s="44">
        <f t="shared" ref="C31:N31" si="10">C29+C30</f>
        <v>-65120</v>
      </c>
      <c r="D31" s="44">
        <f t="shared" si="10"/>
        <v>-61280</v>
      </c>
      <c r="E31" s="44">
        <f t="shared" si="10"/>
        <v>-61280</v>
      </c>
      <c r="F31" s="44">
        <f t="shared" si="10"/>
        <v>-63200</v>
      </c>
      <c r="G31" s="44">
        <f t="shared" si="10"/>
        <v>-65120</v>
      </c>
      <c r="H31" s="44">
        <f t="shared" si="10"/>
        <v>-65120</v>
      </c>
      <c r="I31" s="44">
        <f t="shared" si="10"/>
        <v>-71840</v>
      </c>
      <c r="J31" s="44">
        <f t="shared" si="10"/>
        <v>-69920</v>
      </c>
      <c r="K31" s="44">
        <f t="shared" si="10"/>
        <v>-68000</v>
      </c>
      <c r="L31" s="44">
        <f t="shared" si="10"/>
        <v>-68000</v>
      </c>
      <c r="M31" s="44">
        <f t="shared" si="10"/>
        <v>-69920</v>
      </c>
      <c r="N31" s="44">
        <f t="shared" si="10"/>
        <v>-71840</v>
      </c>
    </row>
    <row r="32" spans="1:14">
      <c r="A32" s="26" t="s">
        <v>355</v>
      </c>
      <c r="B32" s="50">
        <f>IF(B31&lt;0,0,-B31*Assumptions!B123)</f>
        <v>0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11">B31+B32</f>
        <v>-819840</v>
      </c>
      <c r="C33" s="53">
        <f t="shared" si="11"/>
        <v>-65120</v>
      </c>
      <c r="D33" s="53">
        <f t="shared" si="11"/>
        <v>-61280</v>
      </c>
      <c r="E33" s="53">
        <f t="shared" si="11"/>
        <v>-61280</v>
      </c>
      <c r="F33" s="53">
        <f t="shared" si="11"/>
        <v>-63200</v>
      </c>
      <c r="G33" s="53">
        <f t="shared" si="11"/>
        <v>-65120</v>
      </c>
      <c r="H33" s="53">
        <f t="shared" si="11"/>
        <v>-65120</v>
      </c>
      <c r="I33" s="53">
        <f t="shared" si="11"/>
        <v>-71840</v>
      </c>
      <c r="J33" s="53">
        <f t="shared" si="11"/>
        <v>-69920</v>
      </c>
      <c r="K33" s="53">
        <f t="shared" si="11"/>
        <v>-68000</v>
      </c>
      <c r="L33" s="53">
        <f t="shared" si="11"/>
        <v>-68000</v>
      </c>
      <c r="M33" s="53">
        <f t="shared" si="11"/>
        <v>-69920</v>
      </c>
      <c r="N33" s="53">
        <f t="shared" si="11"/>
        <v>-71840</v>
      </c>
    </row>
    <row r="34" spans="1:14">
      <c r="B34" s="51"/>
      <c r="C34" s="51"/>
      <c r="D34" s="51"/>
      <c r="E34" s="5"/>
      <c r="F34" s="5"/>
      <c r="G34" s="5"/>
      <c r="H34" s="5"/>
    </row>
    <row r="35" spans="1:14" ht="15.6">
      <c r="A35" s="47"/>
      <c r="B35" s="51"/>
      <c r="C35" s="51"/>
      <c r="D35" s="51"/>
      <c r="E35" s="5"/>
      <c r="F35" s="5"/>
      <c r="G35" s="5"/>
      <c r="H35" s="5"/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  <c r="D2" s="5"/>
      <c r="E2" s="75"/>
    </row>
    <row r="3" spans="1:14" ht="21">
      <c r="A3" s="43" t="s">
        <v>81</v>
      </c>
      <c r="B3" s="19" t="s">
        <v>328</v>
      </c>
    </row>
    <row r="4" spans="1:14" ht="21">
      <c r="A4" s="43" t="s">
        <v>357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Sales!B8</f>
        <v>84000000</v>
      </c>
      <c r="C6" s="54">
        <f>Sales!C8</f>
        <v>8400000</v>
      </c>
      <c r="D6" s="54">
        <f>Sales!D8</f>
        <v>11760000.000000002</v>
      </c>
      <c r="E6" s="54">
        <f>Sales!E8</f>
        <v>11760000.000000002</v>
      </c>
      <c r="F6" s="54">
        <f>Sales!F8</f>
        <v>10080000</v>
      </c>
      <c r="G6" s="54">
        <f>Sales!G8</f>
        <v>8400000</v>
      </c>
      <c r="H6" s="54">
        <f>Sales!H8</f>
        <v>8400000</v>
      </c>
      <c r="I6" s="54">
        <f>Sales!I8</f>
        <v>2520000</v>
      </c>
      <c r="J6" s="54">
        <f>Sales!J8</f>
        <v>4200000</v>
      </c>
      <c r="K6" s="54">
        <f>Sales!K8</f>
        <v>5880000.0000000009</v>
      </c>
      <c r="L6" s="54">
        <f>Sales!L8</f>
        <v>5880000.0000000009</v>
      </c>
      <c r="M6" s="54">
        <f>Sales!M8</f>
        <v>4200000</v>
      </c>
      <c r="N6" s="54">
        <f>Sales!N8</f>
        <v>2520000</v>
      </c>
    </row>
    <row r="7" spans="1:14" s="16" customFormat="1">
      <c r="A7" s="26" t="s">
        <v>332</v>
      </c>
      <c r="B7" s="44">
        <f t="shared" ref="B7:N7" si="0">SUM(B8:B15)</f>
        <v>-83840000</v>
      </c>
      <c r="C7" s="54">
        <f t="shared" si="0"/>
        <v>-8384000</v>
      </c>
      <c r="D7" s="54">
        <f t="shared" si="0"/>
        <v>-11737600.000000002</v>
      </c>
      <c r="E7" s="54">
        <f t="shared" si="0"/>
        <v>-11737600.000000002</v>
      </c>
      <c r="F7" s="54">
        <f t="shared" si="0"/>
        <v>-10060800</v>
      </c>
      <c r="G7" s="54">
        <f t="shared" si="0"/>
        <v>-8384000</v>
      </c>
      <c r="H7" s="54">
        <f t="shared" si="0"/>
        <v>-8384000</v>
      </c>
      <c r="I7" s="54">
        <f t="shared" si="0"/>
        <v>-2515200</v>
      </c>
      <c r="J7" s="54">
        <f t="shared" si="0"/>
        <v>-4192000</v>
      </c>
      <c r="K7" s="54">
        <f t="shared" si="0"/>
        <v>-5868800.0000000009</v>
      </c>
      <c r="L7" s="54">
        <f t="shared" si="0"/>
        <v>-5868800.0000000009</v>
      </c>
      <c r="M7" s="54">
        <f t="shared" si="0"/>
        <v>-4192000</v>
      </c>
      <c r="N7" s="54">
        <f t="shared" si="0"/>
        <v>-2515200</v>
      </c>
    </row>
    <row r="8" spans="1:14" s="32" customFormat="1">
      <c r="A8" s="45" t="s">
        <v>333</v>
      </c>
      <c r="B8" s="46">
        <f>-Sales!B4-Purchases!B20</f>
        <v>-76640000</v>
      </c>
      <c r="C8" s="55">
        <f>-Sales!C4-Purchases!C20</f>
        <v>-7664000</v>
      </c>
      <c r="D8" s="55">
        <f>-Sales!D4-Purchases!D20</f>
        <v>-10729600.000000002</v>
      </c>
      <c r="E8" s="55">
        <f>-Sales!E4-Purchases!E20</f>
        <v>-10729600.000000002</v>
      </c>
      <c r="F8" s="55">
        <f>-Sales!F4-Purchases!F20</f>
        <v>-9196800</v>
      </c>
      <c r="G8" s="55">
        <f>-Sales!G4-Purchases!G20</f>
        <v>-7664000</v>
      </c>
      <c r="H8" s="55">
        <f>-Sales!H4-Purchases!H20</f>
        <v>-7664000</v>
      </c>
      <c r="I8" s="55">
        <f>-Sales!I4-Purchases!I20</f>
        <v>-2299200</v>
      </c>
      <c r="J8" s="55">
        <f>-Sales!J4-Purchases!J20</f>
        <v>-3832000</v>
      </c>
      <c r="K8" s="55">
        <f>-Sales!K4-Purchases!K20</f>
        <v>-5364800.0000000009</v>
      </c>
      <c r="L8" s="55">
        <f>-Sales!L4-Purchases!L20</f>
        <v>-5364800.0000000009</v>
      </c>
      <c r="M8" s="55">
        <f>-Sales!M4-Purchases!M20</f>
        <v>-3832000</v>
      </c>
      <c r="N8" s="55">
        <f>-Sales!N4-Purchases!N20</f>
        <v>-2299200</v>
      </c>
    </row>
    <row r="9" spans="1:14">
      <c r="A9" s="45" t="s">
        <v>334</v>
      </c>
      <c r="B9" s="46">
        <f>-Logistics!B12</f>
        <v>-7200000</v>
      </c>
      <c r="C9" s="55">
        <f>-Logistics!C12</f>
        <v>-720000</v>
      </c>
      <c r="D9" s="55">
        <f>-(Logistics!D16+Logistics!D17)</f>
        <v>-1008000.0000000002</v>
      </c>
      <c r="E9" s="55">
        <f>-(Logistics!E16+Logistics!E17)</f>
        <v>-1008000.0000000002</v>
      </c>
      <c r="F9" s="55">
        <f>-(Logistics!F16+Logistics!F17)</f>
        <v>-864000</v>
      </c>
      <c r="G9" s="55">
        <f>-(Logistics!G16+Logistics!G17)</f>
        <v>-720000</v>
      </c>
      <c r="H9" s="55">
        <f>-(Logistics!H16+Logistics!H17)</f>
        <v>-720000</v>
      </c>
      <c r="I9" s="55">
        <f>-(Logistics!I16+Logistics!I17)</f>
        <v>-216000</v>
      </c>
      <c r="J9" s="55">
        <f>-(Logistics!J16+Logistics!J17)</f>
        <v>-360000</v>
      </c>
      <c r="K9" s="55">
        <f>-(Logistics!K16+Logistics!K17)</f>
        <v>-504000.00000000012</v>
      </c>
      <c r="L9" s="55">
        <f>-(Logistics!L16+Logistics!L17)</f>
        <v>-504000.00000000012</v>
      </c>
      <c r="M9" s="55">
        <f>-(Logistics!M16+Logistics!M17)</f>
        <v>-360000</v>
      </c>
      <c r="N9" s="55">
        <f>-(Logistics!N16+Logistics!N17)</f>
        <v>-216000</v>
      </c>
    </row>
    <row r="10" spans="1:14">
      <c r="A10" s="45" t="s">
        <v>335</v>
      </c>
      <c r="B10" s="46">
        <v>0</v>
      </c>
      <c r="C10" s="55">
        <f>B10</f>
        <v>0</v>
      </c>
      <c r="D10" s="55">
        <f t="shared" ref="D10:N10" si="1">C10</f>
        <v>0</v>
      </c>
      <c r="E10" s="55">
        <f t="shared" si="1"/>
        <v>0</v>
      </c>
      <c r="F10" s="55">
        <f t="shared" si="1"/>
        <v>0</v>
      </c>
      <c r="G10" s="55">
        <f t="shared" si="1"/>
        <v>0</v>
      </c>
      <c r="H10" s="55">
        <f t="shared" si="1"/>
        <v>0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</row>
    <row r="11" spans="1:14">
      <c r="A11" s="45" t="s">
        <v>336</v>
      </c>
      <c r="B11" s="46">
        <v>0</v>
      </c>
      <c r="C11" s="55">
        <f t="shared" ref="C11:N14" si="2">B11</f>
        <v>0</v>
      </c>
      <c r="D11" s="55">
        <f t="shared" si="2"/>
        <v>0</v>
      </c>
      <c r="E11" s="55">
        <f t="shared" si="2"/>
        <v>0</v>
      </c>
      <c r="F11" s="55">
        <f t="shared" si="2"/>
        <v>0</v>
      </c>
      <c r="G11" s="55">
        <f t="shared" si="2"/>
        <v>0</v>
      </c>
      <c r="H11" s="55">
        <f t="shared" si="2"/>
        <v>0</v>
      </c>
      <c r="I11" s="55">
        <f t="shared" si="2"/>
        <v>0</v>
      </c>
      <c r="J11" s="55">
        <f t="shared" si="2"/>
        <v>0</v>
      </c>
      <c r="K11" s="55">
        <f t="shared" si="2"/>
        <v>0</v>
      </c>
      <c r="L11" s="55">
        <f t="shared" si="2"/>
        <v>0</v>
      </c>
      <c r="M11" s="55">
        <f t="shared" si="2"/>
        <v>0</v>
      </c>
      <c r="N11" s="55">
        <f t="shared" si="2"/>
        <v>0</v>
      </c>
    </row>
    <row r="12" spans="1:14">
      <c r="A12" s="45" t="s">
        <v>337</v>
      </c>
      <c r="B12" s="46">
        <v>0</v>
      </c>
      <c r="C12" s="55">
        <f t="shared" si="2"/>
        <v>0</v>
      </c>
      <c r="D12" s="55">
        <f t="shared" si="2"/>
        <v>0</v>
      </c>
      <c r="E12" s="55">
        <f t="shared" si="2"/>
        <v>0</v>
      </c>
      <c r="F12" s="55">
        <f t="shared" si="2"/>
        <v>0</v>
      </c>
      <c r="G12" s="55">
        <f t="shared" si="2"/>
        <v>0</v>
      </c>
      <c r="H12" s="55">
        <f t="shared" si="2"/>
        <v>0</v>
      </c>
      <c r="I12" s="55">
        <f t="shared" si="2"/>
        <v>0</v>
      </c>
      <c r="J12" s="55">
        <f t="shared" si="2"/>
        <v>0</v>
      </c>
      <c r="K12" s="55">
        <f t="shared" si="2"/>
        <v>0</v>
      </c>
      <c r="L12" s="55">
        <f t="shared" si="2"/>
        <v>0</v>
      </c>
      <c r="M12" s="55">
        <f t="shared" si="2"/>
        <v>0</v>
      </c>
      <c r="N12" s="55">
        <f t="shared" si="2"/>
        <v>0</v>
      </c>
    </row>
    <row r="13" spans="1:14">
      <c r="A13" s="45" t="s">
        <v>338</v>
      </c>
      <c r="B13" s="46">
        <v>0</v>
      </c>
      <c r="C13" s="55">
        <f t="shared" si="2"/>
        <v>0</v>
      </c>
      <c r="D13" s="55">
        <f t="shared" si="2"/>
        <v>0</v>
      </c>
      <c r="E13" s="55">
        <f t="shared" si="2"/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</row>
    <row r="14" spans="1:14">
      <c r="A14" s="45" t="s">
        <v>339</v>
      </c>
      <c r="B14" s="46">
        <v>0</v>
      </c>
      <c r="C14" s="55">
        <f t="shared" si="2"/>
        <v>0</v>
      </c>
      <c r="D14" s="55">
        <f t="shared" si="2"/>
        <v>0</v>
      </c>
      <c r="E14" s="55">
        <f t="shared" si="2"/>
        <v>0</v>
      </c>
      <c r="F14" s="55">
        <f t="shared" si="2"/>
        <v>0</v>
      </c>
      <c r="G14" s="55">
        <f t="shared" si="2"/>
        <v>0</v>
      </c>
      <c r="H14" s="55">
        <f t="shared" si="2"/>
        <v>0</v>
      </c>
      <c r="I14" s="55">
        <f t="shared" si="2"/>
        <v>0</v>
      </c>
      <c r="J14" s="55">
        <f t="shared" si="2"/>
        <v>0</v>
      </c>
      <c r="K14" s="55">
        <f t="shared" si="2"/>
        <v>0</v>
      </c>
      <c r="L14" s="55">
        <f t="shared" si="2"/>
        <v>0</v>
      </c>
      <c r="M14" s="55">
        <f t="shared" si="2"/>
        <v>0</v>
      </c>
      <c r="N14" s="55">
        <f t="shared" si="2"/>
        <v>0</v>
      </c>
    </row>
    <row r="15" spans="1:14">
      <c r="A15" s="45" t="s">
        <v>340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>
      <c r="A16" s="26" t="s">
        <v>341</v>
      </c>
      <c r="B16" s="44">
        <f t="shared" ref="B16:N16" si="3">B6+B7</f>
        <v>160000</v>
      </c>
      <c r="C16" s="44">
        <f t="shared" si="3"/>
        <v>16000</v>
      </c>
      <c r="D16" s="44">
        <f t="shared" si="3"/>
        <v>22400</v>
      </c>
      <c r="E16" s="44">
        <f t="shared" si="3"/>
        <v>22400</v>
      </c>
      <c r="F16" s="44">
        <f t="shared" si="3"/>
        <v>19200</v>
      </c>
      <c r="G16" s="44">
        <f t="shared" si="3"/>
        <v>16000</v>
      </c>
      <c r="H16" s="44">
        <f t="shared" si="3"/>
        <v>16000</v>
      </c>
      <c r="I16" s="44">
        <f t="shared" si="3"/>
        <v>4800</v>
      </c>
      <c r="J16" s="44">
        <f t="shared" si="3"/>
        <v>8000</v>
      </c>
      <c r="K16" s="44">
        <f t="shared" si="3"/>
        <v>11200</v>
      </c>
      <c r="L16" s="44">
        <f t="shared" si="3"/>
        <v>11200</v>
      </c>
      <c r="M16" s="44">
        <f t="shared" si="3"/>
        <v>8000</v>
      </c>
      <c r="N16" s="44">
        <f t="shared" si="3"/>
        <v>4800</v>
      </c>
    </row>
    <row r="17" spans="1:14">
      <c r="A17" s="45" t="s">
        <v>342</v>
      </c>
      <c r="B17" s="46">
        <v>0</v>
      </c>
      <c r="C17" s="55">
        <f>B17</f>
        <v>0</v>
      </c>
      <c r="D17" s="55">
        <f t="shared" ref="D17:N18" si="4">C17</f>
        <v>0</v>
      </c>
      <c r="E17" s="55">
        <f t="shared" si="4"/>
        <v>0</v>
      </c>
      <c r="F17" s="55">
        <f t="shared" si="4"/>
        <v>0</v>
      </c>
      <c r="G17" s="55">
        <f t="shared" si="4"/>
        <v>0</v>
      </c>
      <c r="H17" s="55">
        <f t="shared" si="4"/>
        <v>0</v>
      </c>
      <c r="I17" s="55">
        <f t="shared" si="4"/>
        <v>0</v>
      </c>
      <c r="J17" s="55">
        <f t="shared" si="4"/>
        <v>0</v>
      </c>
      <c r="K17" s="55">
        <f t="shared" si="4"/>
        <v>0</v>
      </c>
      <c r="L17" s="55">
        <f t="shared" si="4"/>
        <v>0</v>
      </c>
      <c r="M17" s="55">
        <f t="shared" si="4"/>
        <v>0</v>
      </c>
      <c r="N17" s="55">
        <f t="shared" si="4"/>
        <v>0</v>
      </c>
    </row>
    <row r="18" spans="1:14">
      <c r="A18" s="45" t="s">
        <v>343</v>
      </c>
      <c r="B18" s="46">
        <f>Financing!B83</f>
        <v>-896000</v>
      </c>
      <c r="C18" s="55">
        <f>B18/12</f>
        <v>-74666.666666666672</v>
      </c>
      <c r="D18" s="55">
        <f t="shared" si="4"/>
        <v>-74666.666666666672</v>
      </c>
      <c r="E18" s="55">
        <f t="shared" si="4"/>
        <v>-74666.666666666672</v>
      </c>
      <c r="F18" s="55">
        <f t="shared" si="4"/>
        <v>-74666.666666666672</v>
      </c>
      <c r="G18" s="55">
        <f t="shared" si="4"/>
        <v>-74666.666666666672</v>
      </c>
      <c r="H18" s="55">
        <f t="shared" si="4"/>
        <v>-74666.666666666672</v>
      </c>
      <c r="I18" s="55">
        <f t="shared" si="4"/>
        <v>-74666.666666666672</v>
      </c>
      <c r="J18" s="55">
        <f t="shared" si="4"/>
        <v>-74666.666666666672</v>
      </c>
      <c r="K18" s="55">
        <f t="shared" si="4"/>
        <v>-74666.666666666672</v>
      </c>
      <c r="L18" s="55">
        <f t="shared" si="4"/>
        <v>-74666.666666666672</v>
      </c>
      <c r="M18" s="55">
        <f t="shared" si="4"/>
        <v>-74666.666666666672</v>
      </c>
      <c r="N18" s="55">
        <f t="shared" si="4"/>
        <v>-74666.666666666672</v>
      </c>
    </row>
    <row r="19" spans="1:14">
      <c r="A19" s="45" t="s">
        <v>344</v>
      </c>
      <c r="B19" s="46">
        <v>0</v>
      </c>
      <c r="C19" s="55">
        <f t="shared" ref="C19:N19" si="5">B19</f>
        <v>0</v>
      </c>
      <c r="D19" s="55">
        <f t="shared" si="5"/>
        <v>0</v>
      </c>
      <c r="E19" s="55">
        <f t="shared" si="5"/>
        <v>0</v>
      </c>
      <c r="F19" s="55">
        <f t="shared" si="5"/>
        <v>0</v>
      </c>
      <c r="G19" s="55">
        <f t="shared" si="5"/>
        <v>0</v>
      </c>
      <c r="H19" s="55">
        <f t="shared" si="5"/>
        <v>0</v>
      </c>
      <c r="I19" s="55">
        <f t="shared" si="5"/>
        <v>0</v>
      </c>
      <c r="J19" s="55">
        <f t="shared" si="5"/>
        <v>0</v>
      </c>
      <c r="K19" s="55">
        <f t="shared" si="5"/>
        <v>0</v>
      </c>
      <c r="L19" s="55">
        <f t="shared" si="5"/>
        <v>0</v>
      </c>
      <c r="M19" s="55">
        <f t="shared" si="5"/>
        <v>0</v>
      </c>
      <c r="N19" s="55">
        <f t="shared" si="5"/>
        <v>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-736000</v>
      </c>
      <c r="C21" s="44">
        <f t="shared" ref="C21:N21" si="6">C16+C17+C18+C19+C20</f>
        <v>-58666.666666666672</v>
      </c>
      <c r="D21" s="44">
        <f t="shared" si="6"/>
        <v>-52266.666666666672</v>
      </c>
      <c r="E21" s="44">
        <f t="shared" si="6"/>
        <v>-52266.666666666672</v>
      </c>
      <c r="F21" s="44">
        <f t="shared" si="6"/>
        <v>-55466.666666666672</v>
      </c>
      <c r="G21" s="44">
        <f t="shared" si="6"/>
        <v>-58666.666666666672</v>
      </c>
      <c r="H21" s="44">
        <f t="shared" si="6"/>
        <v>-58666.666666666672</v>
      </c>
      <c r="I21" s="44">
        <f t="shared" si="6"/>
        <v>-69866.666666666672</v>
      </c>
      <c r="J21" s="44">
        <f t="shared" si="6"/>
        <v>-66666.666666666672</v>
      </c>
      <c r="K21" s="44">
        <f t="shared" si="6"/>
        <v>-63466.666666666672</v>
      </c>
      <c r="L21" s="44">
        <f t="shared" si="6"/>
        <v>-63466.666666666672</v>
      </c>
      <c r="M21" s="44">
        <f t="shared" si="6"/>
        <v>-66666.666666666672</v>
      </c>
      <c r="N21" s="44">
        <f t="shared" si="6"/>
        <v>-69866.666666666672</v>
      </c>
    </row>
    <row r="22" spans="1:14">
      <c r="A22" s="45" t="s">
        <v>347</v>
      </c>
      <c r="B22" s="46">
        <f t="shared" ref="B22:N22" si="7">B23+B24+B26+B25</f>
        <v>0</v>
      </c>
      <c r="C22" s="46">
        <f t="shared" si="7"/>
        <v>0</v>
      </c>
      <c r="D22" s="46">
        <f t="shared" si="7"/>
        <v>0</v>
      </c>
      <c r="E22" s="46">
        <f t="shared" si="7"/>
        <v>0</v>
      </c>
      <c r="F22" s="46">
        <f t="shared" si="7"/>
        <v>0</v>
      </c>
      <c r="G22" s="46">
        <f t="shared" si="7"/>
        <v>0</v>
      </c>
      <c r="H22" s="46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4" hidden="1">
      <c r="A24" s="1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ht="14.4">
      <c r="A26" s="12" t="s">
        <v>349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8">B21+B22+B27+B28</f>
        <v>-736000</v>
      </c>
      <c r="C29" s="44">
        <f t="shared" si="8"/>
        <v>-58666.666666666672</v>
      </c>
      <c r="D29" s="44">
        <f t="shared" si="8"/>
        <v>-52266.666666666672</v>
      </c>
      <c r="E29" s="44">
        <f t="shared" si="8"/>
        <v>-52266.666666666672</v>
      </c>
      <c r="F29" s="44">
        <f t="shared" si="8"/>
        <v>-55466.666666666672</v>
      </c>
      <c r="G29" s="44">
        <f t="shared" si="8"/>
        <v>-58666.666666666672</v>
      </c>
      <c r="H29" s="44">
        <f t="shared" si="8"/>
        <v>-58666.666666666672</v>
      </c>
      <c r="I29" s="44">
        <f t="shared" si="8"/>
        <v>-69866.666666666672</v>
      </c>
      <c r="J29" s="44">
        <f t="shared" si="8"/>
        <v>-66666.666666666672</v>
      </c>
      <c r="K29" s="44">
        <f t="shared" si="8"/>
        <v>-63466.666666666672</v>
      </c>
      <c r="L29" s="44">
        <f t="shared" si="8"/>
        <v>-63466.666666666672</v>
      </c>
      <c r="M29" s="44">
        <f t="shared" si="8"/>
        <v>-66666.666666666672</v>
      </c>
      <c r="N29" s="44">
        <f t="shared" si="8"/>
        <v>-69866.666666666672</v>
      </c>
    </row>
    <row r="30" spans="1:14">
      <c r="A30" s="45" t="s">
        <v>359</v>
      </c>
      <c r="B30" s="46">
        <f>IF(B16&lt;0,0,-B16*Assumptions!B20)</f>
        <v>-32000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-768000</v>
      </c>
      <c r="C31" s="44">
        <f t="shared" ref="C31:N31" si="9">C29+C30</f>
        <v>-58666.666666666672</v>
      </c>
      <c r="D31" s="44">
        <f t="shared" si="9"/>
        <v>-52266.666666666672</v>
      </c>
      <c r="E31" s="44">
        <f t="shared" si="9"/>
        <v>-52266.666666666672</v>
      </c>
      <c r="F31" s="44">
        <f t="shared" si="9"/>
        <v>-55466.666666666672</v>
      </c>
      <c r="G31" s="44">
        <f t="shared" si="9"/>
        <v>-58666.666666666672</v>
      </c>
      <c r="H31" s="44">
        <f t="shared" si="9"/>
        <v>-58666.666666666672</v>
      </c>
      <c r="I31" s="44">
        <f t="shared" si="9"/>
        <v>-69866.666666666672</v>
      </c>
      <c r="J31" s="44">
        <f t="shared" si="9"/>
        <v>-66666.666666666672</v>
      </c>
      <c r="K31" s="44">
        <f t="shared" si="9"/>
        <v>-63466.666666666672</v>
      </c>
      <c r="L31" s="44">
        <f t="shared" si="9"/>
        <v>-63466.666666666672</v>
      </c>
      <c r="M31" s="44">
        <f t="shared" si="9"/>
        <v>-66666.666666666672</v>
      </c>
      <c r="N31" s="44">
        <f t="shared" si="9"/>
        <v>-69866.666666666672</v>
      </c>
    </row>
    <row r="32" spans="1:14">
      <c r="A32" s="26" t="s">
        <v>355</v>
      </c>
      <c r="B32" s="50">
        <f>IF(B31&lt;0,0,-B31*Assumptions!B123)</f>
        <v>0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10">B31+B32</f>
        <v>-768000</v>
      </c>
      <c r="C33" s="53">
        <f t="shared" si="10"/>
        <v>-58666.666666666672</v>
      </c>
      <c r="D33" s="53">
        <f t="shared" si="10"/>
        <v>-52266.666666666672</v>
      </c>
      <c r="E33" s="53">
        <f t="shared" si="10"/>
        <v>-52266.666666666672</v>
      </c>
      <c r="F33" s="53">
        <f t="shared" si="10"/>
        <v>-55466.666666666672</v>
      </c>
      <c r="G33" s="53">
        <f t="shared" si="10"/>
        <v>-58666.666666666672</v>
      </c>
      <c r="H33" s="53">
        <f t="shared" si="10"/>
        <v>-58666.666666666672</v>
      </c>
      <c r="I33" s="53">
        <f t="shared" si="10"/>
        <v>-69866.666666666672</v>
      </c>
      <c r="J33" s="53">
        <f t="shared" si="10"/>
        <v>-66666.666666666672</v>
      </c>
      <c r="K33" s="53">
        <f t="shared" si="10"/>
        <v>-63466.666666666672</v>
      </c>
      <c r="L33" s="53">
        <f t="shared" si="10"/>
        <v>-63466.666666666672</v>
      </c>
      <c r="M33" s="53">
        <f t="shared" si="10"/>
        <v>-66666.666666666672</v>
      </c>
      <c r="N33" s="53">
        <f t="shared" si="10"/>
        <v>-69866.666666666672</v>
      </c>
    </row>
    <row r="34" spans="1:14">
      <c r="B34" s="51"/>
      <c r="C34" s="51"/>
      <c r="D34" s="51"/>
      <c r="E34" s="5"/>
      <c r="F34" s="5"/>
      <c r="G34" s="5"/>
      <c r="H34" s="5"/>
    </row>
    <row r="35" spans="1:14">
      <c r="B35" s="51"/>
      <c r="C35" s="51"/>
      <c r="D35" s="51"/>
      <c r="E35" s="5"/>
      <c r="F35" s="5"/>
      <c r="G35" s="5"/>
      <c r="H35" s="5"/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  <c r="D2" s="5"/>
      <c r="E2" s="75"/>
    </row>
    <row r="3" spans="1:14" ht="21">
      <c r="A3" s="43" t="s">
        <v>81</v>
      </c>
      <c r="B3" s="19" t="s">
        <v>328</v>
      </c>
    </row>
    <row r="4" spans="1:14" ht="21">
      <c r="A4" s="43" t="s">
        <v>358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Sales!B8</f>
        <v>84000000</v>
      </c>
      <c r="C6" s="54">
        <f>Sales!C8</f>
        <v>8400000</v>
      </c>
      <c r="D6" s="54">
        <f>Sales!D8</f>
        <v>11760000.000000002</v>
      </c>
      <c r="E6" s="54">
        <f>Sales!E8</f>
        <v>11760000.000000002</v>
      </c>
      <c r="F6" s="54">
        <f>Sales!F8</f>
        <v>10080000</v>
      </c>
      <c r="G6" s="54">
        <f>Sales!G8</f>
        <v>8400000</v>
      </c>
      <c r="H6" s="54">
        <f>Sales!H8</f>
        <v>8400000</v>
      </c>
      <c r="I6" s="54">
        <f>Sales!I8</f>
        <v>2520000</v>
      </c>
      <c r="J6" s="54">
        <f>Sales!J8</f>
        <v>4200000</v>
      </c>
      <c r="K6" s="54">
        <f>Sales!K8</f>
        <v>5880000.0000000009</v>
      </c>
      <c r="L6" s="54">
        <f>Sales!L8</f>
        <v>5880000.0000000009</v>
      </c>
      <c r="M6" s="54">
        <f>Sales!M8</f>
        <v>4200000</v>
      </c>
      <c r="N6" s="54">
        <f>Sales!N8</f>
        <v>2520000</v>
      </c>
    </row>
    <row r="7" spans="1:14" s="16" customFormat="1">
      <c r="A7" s="26" t="s">
        <v>332</v>
      </c>
      <c r="B7" s="44">
        <f t="shared" ref="B7:N7" si="0">SUM(B8:B15)</f>
        <v>-83776000</v>
      </c>
      <c r="C7" s="54">
        <f t="shared" si="0"/>
        <v>-8377600</v>
      </c>
      <c r="D7" s="54">
        <f t="shared" si="0"/>
        <v>-11728640.000000002</v>
      </c>
      <c r="E7" s="54">
        <f t="shared" si="0"/>
        <v>-11728640.000000002</v>
      </c>
      <c r="F7" s="54">
        <f t="shared" si="0"/>
        <v>-10053120</v>
      </c>
      <c r="G7" s="54">
        <f t="shared" si="0"/>
        <v>-8377600</v>
      </c>
      <c r="H7" s="54">
        <f t="shared" si="0"/>
        <v>-8377600</v>
      </c>
      <c r="I7" s="54">
        <f t="shared" si="0"/>
        <v>-2513280</v>
      </c>
      <c r="J7" s="54">
        <f t="shared" si="0"/>
        <v>-4188800</v>
      </c>
      <c r="K7" s="54">
        <f t="shared" si="0"/>
        <v>-5864320.0000000009</v>
      </c>
      <c r="L7" s="54">
        <f t="shared" si="0"/>
        <v>-5864320.0000000009</v>
      </c>
      <c r="M7" s="54">
        <f t="shared" si="0"/>
        <v>-4188800</v>
      </c>
      <c r="N7" s="54">
        <f t="shared" si="0"/>
        <v>-2513280</v>
      </c>
    </row>
    <row r="8" spans="1:14" s="32" customFormat="1">
      <c r="A8" s="45" t="s">
        <v>333</v>
      </c>
      <c r="B8" s="46">
        <f>-Sales!B4-Purchases!B21</f>
        <v>-76576000</v>
      </c>
      <c r="C8" s="55">
        <f>-Sales!C4-Purchases!C21</f>
        <v>-7657600</v>
      </c>
      <c r="D8" s="55">
        <f>-Sales!D4-Purchases!D21</f>
        <v>-10720640.000000002</v>
      </c>
      <c r="E8" s="55">
        <f>-Sales!E4-Purchases!E21</f>
        <v>-10720640.000000002</v>
      </c>
      <c r="F8" s="55">
        <f>-Sales!F4-Purchases!F21</f>
        <v>-9189120</v>
      </c>
      <c r="G8" s="55">
        <f>-Sales!G4-Purchases!G21</f>
        <v>-7657600</v>
      </c>
      <c r="H8" s="55">
        <f>-Sales!H4-Purchases!H21</f>
        <v>-7657600</v>
      </c>
      <c r="I8" s="55">
        <f>-Sales!I4-Purchases!I21</f>
        <v>-2297280</v>
      </c>
      <c r="J8" s="55">
        <f>-Sales!J4-Purchases!J21</f>
        <v>-3828800</v>
      </c>
      <c r="K8" s="55">
        <f>-Sales!K4-Purchases!K21</f>
        <v>-5360320.0000000009</v>
      </c>
      <c r="L8" s="55">
        <f>-Sales!L4-Purchases!L21</f>
        <v>-5360320.0000000009</v>
      </c>
      <c r="M8" s="55">
        <f>-Sales!M4-Purchases!M21</f>
        <v>-3828800</v>
      </c>
      <c r="N8" s="55">
        <f>-Sales!N4-Purchases!N21</f>
        <v>-2297280</v>
      </c>
    </row>
    <row r="9" spans="1:14">
      <c r="A9" s="45" t="s">
        <v>334</v>
      </c>
      <c r="B9" s="46">
        <f>-Logistics!B12</f>
        <v>-7200000</v>
      </c>
      <c r="C9" s="55">
        <f>-Logistics!C12</f>
        <v>-720000</v>
      </c>
      <c r="D9" s="55">
        <f>-(Logistics!D16+Logistics!D17)</f>
        <v>-1008000.0000000002</v>
      </c>
      <c r="E9" s="55">
        <f>-(Logistics!E16+Logistics!E17)</f>
        <v>-1008000.0000000002</v>
      </c>
      <c r="F9" s="55">
        <f>-(Logistics!F16+Logistics!F17)</f>
        <v>-864000</v>
      </c>
      <c r="G9" s="55">
        <f>-(Logistics!G16+Logistics!G17)</f>
        <v>-720000</v>
      </c>
      <c r="H9" s="55">
        <f>-(Logistics!H16+Logistics!H17)</f>
        <v>-720000</v>
      </c>
      <c r="I9" s="55">
        <f>-(Logistics!I16+Logistics!I17)</f>
        <v>-216000</v>
      </c>
      <c r="J9" s="55">
        <f>-(Logistics!J16+Logistics!J17)</f>
        <v>-360000</v>
      </c>
      <c r="K9" s="55">
        <f>-(Logistics!K16+Logistics!K17)</f>
        <v>-504000.00000000012</v>
      </c>
      <c r="L9" s="55">
        <f>-(Logistics!L16+Logistics!L17)</f>
        <v>-504000.00000000012</v>
      </c>
      <c r="M9" s="55">
        <f>-(Logistics!M16+Logistics!M17)</f>
        <v>-360000</v>
      </c>
      <c r="N9" s="55">
        <f>-(Logistics!N16+Logistics!N17)</f>
        <v>-216000</v>
      </c>
    </row>
    <row r="10" spans="1:14">
      <c r="A10" s="45" t="s">
        <v>335</v>
      </c>
      <c r="B10" s="46">
        <v>0</v>
      </c>
      <c r="C10" s="55">
        <f>B10</f>
        <v>0</v>
      </c>
      <c r="D10" s="55">
        <f t="shared" ref="D10:N10" si="1">C10</f>
        <v>0</v>
      </c>
      <c r="E10" s="55">
        <f t="shared" si="1"/>
        <v>0</v>
      </c>
      <c r="F10" s="55">
        <f t="shared" si="1"/>
        <v>0</v>
      </c>
      <c r="G10" s="55">
        <f t="shared" si="1"/>
        <v>0</v>
      </c>
      <c r="H10" s="55">
        <f t="shared" si="1"/>
        <v>0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</row>
    <row r="11" spans="1:14">
      <c r="A11" s="45" t="s">
        <v>336</v>
      </c>
      <c r="B11" s="46">
        <v>0</v>
      </c>
      <c r="C11" s="55">
        <f t="shared" ref="C11:N14" si="2">B11</f>
        <v>0</v>
      </c>
      <c r="D11" s="55">
        <f t="shared" si="2"/>
        <v>0</v>
      </c>
      <c r="E11" s="55">
        <f t="shared" si="2"/>
        <v>0</v>
      </c>
      <c r="F11" s="55">
        <f t="shared" si="2"/>
        <v>0</v>
      </c>
      <c r="G11" s="55">
        <f t="shared" si="2"/>
        <v>0</v>
      </c>
      <c r="H11" s="55">
        <f t="shared" si="2"/>
        <v>0</v>
      </c>
      <c r="I11" s="55">
        <f t="shared" si="2"/>
        <v>0</v>
      </c>
      <c r="J11" s="55">
        <f t="shared" si="2"/>
        <v>0</v>
      </c>
      <c r="K11" s="55">
        <f t="shared" si="2"/>
        <v>0</v>
      </c>
      <c r="L11" s="55">
        <f t="shared" si="2"/>
        <v>0</v>
      </c>
      <c r="M11" s="55">
        <f t="shared" si="2"/>
        <v>0</v>
      </c>
      <c r="N11" s="55">
        <f t="shared" si="2"/>
        <v>0</v>
      </c>
    </row>
    <row r="12" spans="1:14">
      <c r="A12" s="45" t="s">
        <v>337</v>
      </c>
      <c r="B12" s="46">
        <v>0</v>
      </c>
      <c r="C12" s="55">
        <f t="shared" si="2"/>
        <v>0</v>
      </c>
      <c r="D12" s="55">
        <f t="shared" si="2"/>
        <v>0</v>
      </c>
      <c r="E12" s="55">
        <f t="shared" si="2"/>
        <v>0</v>
      </c>
      <c r="F12" s="55">
        <f t="shared" si="2"/>
        <v>0</v>
      </c>
      <c r="G12" s="55">
        <f t="shared" si="2"/>
        <v>0</v>
      </c>
      <c r="H12" s="55">
        <f t="shared" si="2"/>
        <v>0</v>
      </c>
      <c r="I12" s="55">
        <f t="shared" si="2"/>
        <v>0</v>
      </c>
      <c r="J12" s="55">
        <f t="shared" si="2"/>
        <v>0</v>
      </c>
      <c r="K12" s="55">
        <f t="shared" si="2"/>
        <v>0</v>
      </c>
      <c r="L12" s="55">
        <f t="shared" si="2"/>
        <v>0</v>
      </c>
      <c r="M12" s="55">
        <f t="shared" si="2"/>
        <v>0</v>
      </c>
      <c r="N12" s="55">
        <f t="shared" si="2"/>
        <v>0</v>
      </c>
    </row>
    <row r="13" spans="1:14">
      <c r="A13" s="45" t="s">
        <v>338</v>
      </c>
      <c r="B13" s="46">
        <v>0</v>
      </c>
      <c r="C13" s="55">
        <f t="shared" si="2"/>
        <v>0</v>
      </c>
      <c r="D13" s="55">
        <f t="shared" si="2"/>
        <v>0</v>
      </c>
      <c r="E13" s="55">
        <f t="shared" si="2"/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</row>
    <row r="14" spans="1:14">
      <c r="A14" s="45" t="s">
        <v>339</v>
      </c>
      <c r="B14" s="46">
        <v>0</v>
      </c>
      <c r="C14" s="55">
        <f t="shared" si="2"/>
        <v>0</v>
      </c>
      <c r="D14" s="55">
        <f t="shared" si="2"/>
        <v>0</v>
      </c>
      <c r="E14" s="55">
        <f t="shared" si="2"/>
        <v>0</v>
      </c>
      <c r="F14" s="55">
        <f t="shared" si="2"/>
        <v>0</v>
      </c>
      <c r="G14" s="55">
        <f t="shared" si="2"/>
        <v>0</v>
      </c>
      <c r="H14" s="55">
        <f t="shared" si="2"/>
        <v>0</v>
      </c>
      <c r="I14" s="55">
        <f t="shared" si="2"/>
        <v>0</v>
      </c>
      <c r="J14" s="55">
        <f t="shared" si="2"/>
        <v>0</v>
      </c>
      <c r="K14" s="55">
        <f t="shared" si="2"/>
        <v>0</v>
      </c>
      <c r="L14" s="55">
        <f t="shared" si="2"/>
        <v>0</v>
      </c>
      <c r="M14" s="55">
        <f t="shared" si="2"/>
        <v>0</v>
      </c>
      <c r="N14" s="55">
        <f t="shared" si="2"/>
        <v>0</v>
      </c>
    </row>
    <row r="15" spans="1:14">
      <c r="A15" s="45" t="s">
        <v>340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>
      <c r="A16" s="26" t="s">
        <v>341</v>
      </c>
      <c r="B16" s="44">
        <f t="shared" ref="B16:N16" si="3">B6+B7</f>
        <v>224000</v>
      </c>
      <c r="C16" s="44">
        <f t="shared" si="3"/>
        <v>22400</v>
      </c>
      <c r="D16" s="44">
        <f t="shared" si="3"/>
        <v>31360</v>
      </c>
      <c r="E16" s="44">
        <f t="shared" si="3"/>
        <v>31360</v>
      </c>
      <c r="F16" s="44">
        <f t="shared" si="3"/>
        <v>26880</v>
      </c>
      <c r="G16" s="44">
        <f t="shared" si="3"/>
        <v>22400</v>
      </c>
      <c r="H16" s="44">
        <f t="shared" si="3"/>
        <v>22400</v>
      </c>
      <c r="I16" s="44">
        <f t="shared" si="3"/>
        <v>6720</v>
      </c>
      <c r="J16" s="44">
        <f t="shared" si="3"/>
        <v>11200</v>
      </c>
      <c r="K16" s="44">
        <f t="shared" si="3"/>
        <v>15680</v>
      </c>
      <c r="L16" s="44">
        <f t="shared" si="3"/>
        <v>15680</v>
      </c>
      <c r="M16" s="44">
        <f t="shared" si="3"/>
        <v>11200</v>
      </c>
      <c r="N16" s="44">
        <f t="shared" si="3"/>
        <v>6720</v>
      </c>
    </row>
    <row r="17" spans="1:14">
      <c r="A17" s="45" t="s">
        <v>342</v>
      </c>
      <c r="B17" s="46">
        <v>0</v>
      </c>
      <c r="C17" s="55">
        <f>B17</f>
        <v>0</v>
      </c>
      <c r="D17" s="55">
        <f t="shared" ref="D17:N18" si="4">C17</f>
        <v>0</v>
      </c>
      <c r="E17" s="55">
        <f t="shared" si="4"/>
        <v>0</v>
      </c>
      <c r="F17" s="55">
        <f t="shared" si="4"/>
        <v>0</v>
      </c>
      <c r="G17" s="55">
        <f t="shared" si="4"/>
        <v>0</v>
      </c>
      <c r="H17" s="55">
        <f t="shared" si="4"/>
        <v>0</v>
      </c>
      <c r="I17" s="55">
        <f t="shared" si="4"/>
        <v>0</v>
      </c>
      <c r="J17" s="55">
        <f t="shared" si="4"/>
        <v>0</v>
      </c>
      <c r="K17" s="55">
        <f t="shared" si="4"/>
        <v>0</v>
      </c>
      <c r="L17" s="55">
        <f t="shared" si="4"/>
        <v>0</v>
      </c>
      <c r="M17" s="55">
        <f t="shared" si="4"/>
        <v>0</v>
      </c>
      <c r="N17" s="55">
        <f t="shared" si="4"/>
        <v>0</v>
      </c>
    </row>
    <row r="18" spans="1:14">
      <c r="A18" s="45" t="s">
        <v>343</v>
      </c>
      <c r="B18" s="46">
        <f>Financing!B84</f>
        <v>-895360</v>
      </c>
      <c r="C18" s="55">
        <f>B18/12</f>
        <v>-74613.333333333328</v>
      </c>
      <c r="D18" s="55">
        <f t="shared" si="4"/>
        <v>-74613.333333333328</v>
      </c>
      <c r="E18" s="55">
        <f t="shared" si="4"/>
        <v>-74613.333333333328</v>
      </c>
      <c r="F18" s="55">
        <f t="shared" si="4"/>
        <v>-74613.333333333328</v>
      </c>
      <c r="G18" s="55">
        <f t="shared" si="4"/>
        <v>-74613.333333333328</v>
      </c>
      <c r="H18" s="55">
        <f t="shared" si="4"/>
        <v>-74613.333333333328</v>
      </c>
      <c r="I18" s="55">
        <f t="shared" si="4"/>
        <v>-74613.333333333328</v>
      </c>
      <c r="J18" s="55">
        <f t="shared" si="4"/>
        <v>-74613.333333333328</v>
      </c>
      <c r="K18" s="55">
        <f t="shared" si="4"/>
        <v>-74613.333333333328</v>
      </c>
      <c r="L18" s="55">
        <f t="shared" si="4"/>
        <v>-74613.333333333328</v>
      </c>
      <c r="M18" s="55">
        <f t="shared" si="4"/>
        <v>-74613.333333333328</v>
      </c>
      <c r="N18" s="55">
        <f t="shared" si="4"/>
        <v>-74613.333333333328</v>
      </c>
    </row>
    <row r="19" spans="1:14">
      <c r="A19" s="45" t="s">
        <v>344</v>
      </c>
      <c r="B19" s="46">
        <v>0</v>
      </c>
      <c r="C19" s="55">
        <f t="shared" ref="C19:N19" si="5">B19</f>
        <v>0</v>
      </c>
      <c r="D19" s="55">
        <f t="shared" si="5"/>
        <v>0</v>
      </c>
      <c r="E19" s="55">
        <f t="shared" si="5"/>
        <v>0</v>
      </c>
      <c r="F19" s="55">
        <f t="shared" si="5"/>
        <v>0</v>
      </c>
      <c r="G19" s="55">
        <f t="shared" si="5"/>
        <v>0</v>
      </c>
      <c r="H19" s="55">
        <f t="shared" si="5"/>
        <v>0</v>
      </c>
      <c r="I19" s="55">
        <f t="shared" si="5"/>
        <v>0</v>
      </c>
      <c r="J19" s="55">
        <f t="shared" si="5"/>
        <v>0</v>
      </c>
      <c r="K19" s="55">
        <f t="shared" si="5"/>
        <v>0</v>
      </c>
      <c r="L19" s="55">
        <f t="shared" si="5"/>
        <v>0</v>
      </c>
      <c r="M19" s="55">
        <f t="shared" si="5"/>
        <v>0</v>
      </c>
      <c r="N19" s="55">
        <f t="shared" si="5"/>
        <v>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-671360</v>
      </c>
      <c r="C21" s="44">
        <f t="shared" ref="C21:N21" si="6">C16+C17+C18+C19+C20</f>
        <v>-52213.333333333328</v>
      </c>
      <c r="D21" s="44">
        <f t="shared" si="6"/>
        <v>-43253.333333333328</v>
      </c>
      <c r="E21" s="44">
        <f t="shared" si="6"/>
        <v>-43253.333333333328</v>
      </c>
      <c r="F21" s="44">
        <f t="shared" si="6"/>
        <v>-47733.333333333328</v>
      </c>
      <c r="G21" s="44">
        <f t="shared" si="6"/>
        <v>-52213.333333333328</v>
      </c>
      <c r="H21" s="44">
        <f t="shared" si="6"/>
        <v>-52213.333333333328</v>
      </c>
      <c r="I21" s="44">
        <f t="shared" si="6"/>
        <v>-67893.333333333328</v>
      </c>
      <c r="J21" s="44">
        <f t="shared" si="6"/>
        <v>-63413.333333333328</v>
      </c>
      <c r="K21" s="44">
        <f t="shared" si="6"/>
        <v>-58933.333333333328</v>
      </c>
      <c r="L21" s="44">
        <f t="shared" si="6"/>
        <v>-58933.333333333328</v>
      </c>
      <c r="M21" s="44">
        <f t="shared" si="6"/>
        <v>-63413.333333333328</v>
      </c>
      <c r="N21" s="44">
        <f t="shared" si="6"/>
        <v>-67893.333333333328</v>
      </c>
    </row>
    <row r="22" spans="1:14">
      <c r="A22" s="45" t="s">
        <v>347</v>
      </c>
      <c r="B22" s="46">
        <f t="shared" ref="B22:N22" si="7">B23+B24+B26+B25</f>
        <v>0</v>
      </c>
      <c r="C22" s="46">
        <f t="shared" si="7"/>
        <v>0</v>
      </c>
      <c r="D22" s="46">
        <f t="shared" si="7"/>
        <v>0</v>
      </c>
      <c r="E22" s="46">
        <f t="shared" si="7"/>
        <v>0</v>
      </c>
      <c r="F22" s="46">
        <f t="shared" si="7"/>
        <v>0</v>
      </c>
      <c r="G22" s="46">
        <f t="shared" si="7"/>
        <v>0</v>
      </c>
      <c r="H22" s="46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4" hidden="1">
      <c r="A24" s="1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ht="14.4">
      <c r="A26" s="12" t="s">
        <v>349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8">B21+B22+B27+B28</f>
        <v>-671360</v>
      </c>
      <c r="C29" s="44">
        <f t="shared" si="8"/>
        <v>-52213.333333333328</v>
      </c>
      <c r="D29" s="44">
        <f t="shared" si="8"/>
        <v>-43253.333333333328</v>
      </c>
      <c r="E29" s="44">
        <f t="shared" si="8"/>
        <v>-43253.333333333328</v>
      </c>
      <c r="F29" s="44">
        <f t="shared" si="8"/>
        <v>-47733.333333333328</v>
      </c>
      <c r="G29" s="44">
        <f t="shared" si="8"/>
        <v>-52213.333333333328</v>
      </c>
      <c r="H29" s="44">
        <f t="shared" si="8"/>
        <v>-52213.333333333328</v>
      </c>
      <c r="I29" s="44">
        <f t="shared" si="8"/>
        <v>-67893.333333333328</v>
      </c>
      <c r="J29" s="44">
        <f t="shared" si="8"/>
        <v>-63413.333333333328</v>
      </c>
      <c r="K29" s="44">
        <f t="shared" si="8"/>
        <v>-58933.333333333328</v>
      </c>
      <c r="L29" s="44">
        <f t="shared" si="8"/>
        <v>-58933.333333333328</v>
      </c>
      <c r="M29" s="44">
        <f t="shared" si="8"/>
        <v>-63413.333333333328</v>
      </c>
      <c r="N29" s="44">
        <f t="shared" si="8"/>
        <v>-67893.333333333328</v>
      </c>
    </row>
    <row r="30" spans="1:14">
      <c r="A30" s="45" t="s">
        <v>359</v>
      </c>
      <c r="B30" s="46">
        <f>IF(B16&lt;0,0,-B16*Assumptions!B20)</f>
        <v>-44800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-716160</v>
      </c>
      <c r="C31" s="44">
        <f t="shared" ref="C31:N31" si="9">C29+C30</f>
        <v>-52213.333333333328</v>
      </c>
      <c r="D31" s="44">
        <f t="shared" si="9"/>
        <v>-43253.333333333328</v>
      </c>
      <c r="E31" s="44">
        <f t="shared" si="9"/>
        <v>-43253.333333333328</v>
      </c>
      <c r="F31" s="44">
        <f t="shared" si="9"/>
        <v>-47733.333333333328</v>
      </c>
      <c r="G31" s="44">
        <f t="shared" si="9"/>
        <v>-52213.333333333328</v>
      </c>
      <c r="H31" s="44">
        <f t="shared" si="9"/>
        <v>-52213.333333333328</v>
      </c>
      <c r="I31" s="44">
        <f t="shared" si="9"/>
        <v>-67893.333333333328</v>
      </c>
      <c r="J31" s="44">
        <f t="shared" si="9"/>
        <v>-63413.333333333328</v>
      </c>
      <c r="K31" s="44">
        <f t="shared" si="9"/>
        <v>-58933.333333333328</v>
      </c>
      <c r="L31" s="44">
        <f t="shared" si="9"/>
        <v>-58933.333333333328</v>
      </c>
      <c r="M31" s="44">
        <f t="shared" si="9"/>
        <v>-63413.333333333328</v>
      </c>
      <c r="N31" s="44">
        <f t="shared" si="9"/>
        <v>-67893.333333333328</v>
      </c>
    </row>
    <row r="32" spans="1:14">
      <c r="A32" s="26" t="s">
        <v>355</v>
      </c>
      <c r="B32" s="50">
        <f>IF(B31&lt;0,0,-B31*Assumptions!B123)</f>
        <v>0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10">B31+B32</f>
        <v>-716160</v>
      </c>
      <c r="C33" s="53">
        <f t="shared" si="10"/>
        <v>-52213.333333333328</v>
      </c>
      <c r="D33" s="53">
        <f t="shared" si="10"/>
        <v>-43253.333333333328</v>
      </c>
      <c r="E33" s="53">
        <f t="shared" si="10"/>
        <v>-43253.333333333328</v>
      </c>
      <c r="F33" s="53">
        <f t="shared" si="10"/>
        <v>-47733.333333333328</v>
      </c>
      <c r="G33" s="53">
        <f t="shared" si="10"/>
        <v>-52213.333333333328</v>
      </c>
      <c r="H33" s="53">
        <f t="shared" si="10"/>
        <v>-52213.333333333328</v>
      </c>
      <c r="I33" s="53">
        <f t="shared" si="10"/>
        <v>-67893.333333333328</v>
      </c>
      <c r="J33" s="53">
        <f t="shared" si="10"/>
        <v>-63413.333333333328</v>
      </c>
      <c r="K33" s="53">
        <f t="shared" si="10"/>
        <v>-58933.333333333328</v>
      </c>
      <c r="L33" s="53">
        <f t="shared" si="10"/>
        <v>-58933.333333333328</v>
      </c>
      <c r="M33" s="53">
        <f t="shared" si="10"/>
        <v>-63413.333333333328</v>
      </c>
      <c r="N33" s="53">
        <f t="shared" si="10"/>
        <v>-67893.333333333328</v>
      </c>
    </row>
    <row r="34" spans="1:14">
      <c r="B34" s="51"/>
      <c r="C34" s="51"/>
      <c r="D34" s="51"/>
      <c r="E34" s="5"/>
      <c r="F34" s="5"/>
      <c r="G34" s="5"/>
      <c r="H34" s="5"/>
    </row>
    <row r="35" spans="1:14">
      <c r="B35" s="51"/>
      <c r="C35" s="51"/>
      <c r="D35" s="51"/>
      <c r="E35" s="5"/>
      <c r="F35" s="5"/>
      <c r="G35" s="5"/>
      <c r="H35" s="5"/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  <c r="D2" s="5"/>
      <c r="E2" s="75"/>
    </row>
    <row r="3" spans="1:14" ht="21">
      <c r="A3" s="43" t="s">
        <v>84</v>
      </c>
      <c r="B3" s="19" t="s">
        <v>328</v>
      </c>
    </row>
    <row r="4" spans="1:14" ht="21">
      <c r="A4" s="43" t="s">
        <v>329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Sales!B4</f>
        <v>69120000</v>
      </c>
      <c r="C6" s="54">
        <f>Sales!C4</f>
        <v>6912000</v>
      </c>
      <c r="D6" s="54">
        <f>Sales!D4</f>
        <v>9676800.0000000019</v>
      </c>
      <c r="E6" s="54">
        <f>Sales!E4</f>
        <v>9676800.0000000019</v>
      </c>
      <c r="F6" s="54">
        <f>Sales!F4</f>
        <v>8294400</v>
      </c>
      <c r="G6" s="54">
        <f>Sales!G4</f>
        <v>6912000</v>
      </c>
      <c r="H6" s="54">
        <f>Sales!H4</f>
        <v>6912000</v>
      </c>
      <c r="I6" s="54">
        <f>Sales!I4</f>
        <v>2073600</v>
      </c>
      <c r="J6" s="54">
        <f>Sales!J4</f>
        <v>3456000</v>
      </c>
      <c r="K6" s="54">
        <f>Sales!K4</f>
        <v>4838400.0000000009</v>
      </c>
      <c r="L6" s="54">
        <f>Sales!L4</f>
        <v>4838400.0000000009</v>
      </c>
      <c r="M6" s="54">
        <f>Sales!M4</f>
        <v>3456000</v>
      </c>
      <c r="N6" s="54">
        <f>Sales!N4</f>
        <v>2073600</v>
      </c>
    </row>
    <row r="7" spans="1:14" s="16" customFormat="1">
      <c r="A7" s="26" t="s">
        <v>332</v>
      </c>
      <c r="B7" s="44">
        <f t="shared" ref="B7:N7" si="0">SUM(B8:B15)</f>
        <v>-66902284.444444448</v>
      </c>
      <c r="C7" s="54">
        <f t="shared" si="0"/>
        <v>-6674967.3015873022</v>
      </c>
      <c r="D7" s="54">
        <f t="shared" si="0"/>
        <v>-9286606.6666666679</v>
      </c>
      <c r="E7" s="54">
        <f t="shared" si="0"/>
        <v>-9286606.6666666679</v>
      </c>
      <c r="F7" s="54">
        <f t="shared" si="0"/>
        <v>-7973326.666666667</v>
      </c>
      <c r="G7" s="54">
        <f t="shared" si="0"/>
        <v>-6660046.666666667</v>
      </c>
      <c r="H7" s="54">
        <f t="shared" si="0"/>
        <v>-6660046.666666667</v>
      </c>
      <c r="I7" s="54">
        <f t="shared" si="0"/>
        <v>-2063566.6666666667</v>
      </c>
      <c r="J7" s="54">
        <f t="shared" si="0"/>
        <v>-3376846.6666666665</v>
      </c>
      <c r="K7" s="54">
        <f t="shared" si="0"/>
        <v>-4690126.6666666679</v>
      </c>
      <c r="L7" s="54">
        <f t="shared" si="0"/>
        <v>-4690126.6666666679</v>
      </c>
      <c r="M7" s="54">
        <f t="shared" si="0"/>
        <v>-3376846.6666666665</v>
      </c>
      <c r="N7" s="54">
        <f t="shared" si="0"/>
        <v>-2063566.6666666667</v>
      </c>
    </row>
    <row r="8" spans="1:14" s="32" customFormat="1">
      <c r="A8" s="45" t="s">
        <v>333</v>
      </c>
      <c r="B8" s="46">
        <f>-Purchases!B8</f>
        <v>-59184000</v>
      </c>
      <c r="C8" s="55">
        <f>-Purchases!C8</f>
        <v>-5918400</v>
      </c>
      <c r="D8" s="55">
        <f>-Purchases!D8</f>
        <v>-8285760.0000000019</v>
      </c>
      <c r="E8" s="55">
        <f>-Purchases!E8</f>
        <v>-8285760.0000000019</v>
      </c>
      <c r="F8" s="55">
        <f>-Purchases!F8</f>
        <v>-7102080</v>
      </c>
      <c r="G8" s="55">
        <f>-Purchases!G8</f>
        <v>-5918400</v>
      </c>
      <c r="H8" s="55">
        <f>-Purchases!H8</f>
        <v>-5918400</v>
      </c>
      <c r="I8" s="55">
        <f>-Purchases!I8</f>
        <v>-1775520</v>
      </c>
      <c r="J8" s="55">
        <f>-Purchases!J8</f>
        <v>-2959200</v>
      </c>
      <c r="K8" s="55">
        <f>-Purchases!K8</f>
        <v>-4142880.0000000009</v>
      </c>
      <c r="L8" s="55">
        <f>-Purchases!L8</f>
        <v>-4142880.0000000009</v>
      </c>
      <c r="M8" s="55">
        <f>-Purchases!M8</f>
        <v>-2959200</v>
      </c>
      <c r="N8" s="55">
        <f>-Purchases!N8</f>
        <v>-1775520</v>
      </c>
    </row>
    <row r="9" spans="1:14">
      <c r="A9" s="45" t="s">
        <v>334</v>
      </c>
      <c r="B9" s="46">
        <f>-Logistics!B7</f>
        <v>-6594524.444444444</v>
      </c>
      <c r="C9" s="55">
        <f>-Logistics!C7</f>
        <v>-662920.63492063491</v>
      </c>
      <c r="D9" s="55">
        <f>-Logistics!D7</f>
        <v>-907200.00000000012</v>
      </c>
      <c r="E9" s="55">
        <f>-Logistics!E7</f>
        <v>-907200.00000000012</v>
      </c>
      <c r="F9" s="55">
        <f>-Logistics!F7</f>
        <v>-777600</v>
      </c>
      <c r="G9" s="55">
        <f>-Logistics!G7</f>
        <v>-648000</v>
      </c>
      <c r="H9" s="55">
        <f>-Logistics!H7</f>
        <v>-648000</v>
      </c>
      <c r="I9" s="55">
        <f>-Logistics!I7</f>
        <v>-194400</v>
      </c>
      <c r="J9" s="55">
        <f>-Logistics!J7</f>
        <v>-324000</v>
      </c>
      <c r="K9" s="55">
        <f>-Logistics!K7</f>
        <v>-453600.00000000006</v>
      </c>
      <c r="L9" s="55">
        <f>-Logistics!L7</f>
        <v>-453600.00000000006</v>
      </c>
      <c r="M9" s="55">
        <f>-Logistics!M7</f>
        <v>-324000</v>
      </c>
      <c r="N9" s="55">
        <f>-Logistics!N7</f>
        <v>-194400</v>
      </c>
    </row>
    <row r="10" spans="1:14">
      <c r="A10" s="45" t="s">
        <v>335</v>
      </c>
      <c r="B10" s="46">
        <v>0</v>
      </c>
      <c r="C10" s="55">
        <f>B10</f>
        <v>0</v>
      </c>
      <c r="D10" s="55">
        <f t="shared" ref="D10:N10" si="1">C10</f>
        <v>0</v>
      </c>
      <c r="E10" s="55">
        <f t="shared" si="1"/>
        <v>0</v>
      </c>
      <c r="F10" s="55">
        <f t="shared" si="1"/>
        <v>0</v>
      </c>
      <c r="G10" s="55">
        <f t="shared" si="1"/>
        <v>0</v>
      </c>
      <c r="H10" s="55">
        <f t="shared" si="1"/>
        <v>0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</row>
    <row r="11" spans="1:14">
      <c r="A11" s="45" t="s">
        <v>336</v>
      </c>
      <c r="B11" s="46">
        <f>SUM(C11:N11)</f>
        <v>-876000</v>
      </c>
      <c r="C11" s="55">
        <f>-Administrative!B19</f>
        <v>-73000</v>
      </c>
      <c r="D11" s="55">
        <f t="shared" ref="C11:N14" si="2">C11</f>
        <v>-73000</v>
      </c>
      <c r="E11" s="55">
        <f t="shared" si="2"/>
        <v>-73000</v>
      </c>
      <c r="F11" s="55">
        <f t="shared" si="2"/>
        <v>-73000</v>
      </c>
      <c r="G11" s="55">
        <f t="shared" si="2"/>
        <v>-73000</v>
      </c>
      <c r="H11" s="55">
        <f t="shared" si="2"/>
        <v>-73000</v>
      </c>
      <c r="I11" s="55">
        <f t="shared" si="2"/>
        <v>-73000</v>
      </c>
      <c r="J11" s="55">
        <f t="shared" si="2"/>
        <v>-73000</v>
      </c>
      <c r="K11" s="55">
        <f t="shared" si="2"/>
        <v>-73000</v>
      </c>
      <c r="L11" s="55">
        <f t="shared" si="2"/>
        <v>-73000</v>
      </c>
      <c r="M11" s="55">
        <f t="shared" si="2"/>
        <v>-73000</v>
      </c>
      <c r="N11" s="55">
        <f t="shared" si="2"/>
        <v>-73000</v>
      </c>
    </row>
    <row r="12" spans="1:14">
      <c r="A12" s="45" t="s">
        <v>337</v>
      </c>
      <c r="B12" s="46">
        <f>SUM(C12:N12)</f>
        <v>-227760</v>
      </c>
      <c r="C12" s="55">
        <f>-Administrative!C19</f>
        <v>-18980</v>
      </c>
      <c r="D12" s="55">
        <f t="shared" si="2"/>
        <v>-18980</v>
      </c>
      <c r="E12" s="55">
        <f t="shared" si="2"/>
        <v>-18980</v>
      </c>
      <c r="F12" s="55">
        <f t="shared" si="2"/>
        <v>-18980</v>
      </c>
      <c r="G12" s="55">
        <f t="shared" si="2"/>
        <v>-18980</v>
      </c>
      <c r="H12" s="55">
        <f t="shared" si="2"/>
        <v>-18980</v>
      </c>
      <c r="I12" s="55">
        <f t="shared" si="2"/>
        <v>-18980</v>
      </c>
      <c r="J12" s="55">
        <f t="shared" si="2"/>
        <v>-18980</v>
      </c>
      <c r="K12" s="55">
        <f t="shared" si="2"/>
        <v>-18980</v>
      </c>
      <c r="L12" s="55">
        <f t="shared" si="2"/>
        <v>-18980</v>
      </c>
      <c r="M12" s="55">
        <f t="shared" si="2"/>
        <v>-18980</v>
      </c>
      <c r="N12" s="55">
        <f t="shared" si="2"/>
        <v>-18980</v>
      </c>
    </row>
    <row r="13" spans="1:14">
      <c r="A13" s="45" t="s">
        <v>338</v>
      </c>
      <c r="B13" s="46">
        <v>0</v>
      </c>
      <c r="C13" s="55">
        <f t="shared" si="2"/>
        <v>0</v>
      </c>
      <c r="D13" s="55">
        <f t="shared" si="2"/>
        <v>0</v>
      </c>
      <c r="E13" s="55">
        <f t="shared" si="2"/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</row>
    <row r="14" spans="1:14">
      <c r="A14" s="45" t="s">
        <v>339</v>
      </c>
      <c r="B14" s="46">
        <v>0</v>
      </c>
      <c r="C14" s="55">
        <f t="shared" si="2"/>
        <v>0</v>
      </c>
      <c r="D14" s="55">
        <f t="shared" si="2"/>
        <v>0</v>
      </c>
      <c r="E14" s="55">
        <f t="shared" si="2"/>
        <v>0</v>
      </c>
      <c r="F14" s="55">
        <f t="shared" si="2"/>
        <v>0</v>
      </c>
      <c r="G14" s="55">
        <f t="shared" si="2"/>
        <v>0</v>
      </c>
      <c r="H14" s="55">
        <f t="shared" si="2"/>
        <v>0</v>
      </c>
      <c r="I14" s="55">
        <f t="shared" si="2"/>
        <v>0</v>
      </c>
      <c r="J14" s="55">
        <f t="shared" si="2"/>
        <v>0</v>
      </c>
      <c r="K14" s="55">
        <f t="shared" si="2"/>
        <v>0</v>
      </c>
      <c r="L14" s="55">
        <f t="shared" si="2"/>
        <v>0</v>
      </c>
      <c r="M14" s="55">
        <f t="shared" si="2"/>
        <v>0</v>
      </c>
      <c r="N14" s="55">
        <f t="shared" si="2"/>
        <v>0</v>
      </c>
    </row>
    <row r="15" spans="1:14">
      <c r="A15" s="45" t="s">
        <v>340</v>
      </c>
      <c r="B15" s="46">
        <f>SUM(C15:N15)</f>
        <v>-20000</v>
      </c>
      <c r="C15" s="55">
        <f>-(Assumptions!$B$137*Assumptions!$B$138)/12</f>
        <v>-1666.6666666666667</v>
      </c>
      <c r="D15" s="55">
        <f>-(Assumptions!$B$137*Assumptions!$B$138)/12</f>
        <v>-1666.6666666666667</v>
      </c>
      <c r="E15" s="55">
        <f>-(Assumptions!$B$137*Assumptions!$B$138)/12</f>
        <v>-1666.6666666666667</v>
      </c>
      <c r="F15" s="55">
        <f>-(Assumptions!$B$137*Assumptions!$B$138)/12</f>
        <v>-1666.6666666666667</v>
      </c>
      <c r="G15" s="55">
        <f>-(Assumptions!$B$137*Assumptions!$B$138)/12</f>
        <v>-1666.6666666666667</v>
      </c>
      <c r="H15" s="55">
        <f>-(Assumptions!$B$137*Assumptions!$B$138)/12</f>
        <v>-1666.6666666666667</v>
      </c>
      <c r="I15" s="55">
        <f>-(Assumptions!$B$137*Assumptions!$B$138)/12</f>
        <v>-1666.6666666666667</v>
      </c>
      <c r="J15" s="55">
        <f>-(Assumptions!$B$137*Assumptions!$B$138)/12</f>
        <v>-1666.6666666666667</v>
      </c>
      <c r="K15" s="55">
        <f>-(Assumptions!$B$137*Assumptions!$B$138)/12</f>
        <v>-1666.6666666666667</v>
      </c>
      <c r="L15" s="55">
        <f>-(Assumptions!$B$137*Assumptions!$B$138)/12</f>
        <v>-1666.6666666666667</v>
      </c>
      <c r="M15" s="55">
        <f>-(Assumptions!$B$137*Assumptions!$B$138)/12</f>
        <v>-1666.6666666666667</v>
      </c>
      <c r="N15" s="55">
        <f>-(Assumptions!$B$137*Assumptions!$B$138)/12</f>
        <v>-1666.6666666666667</v>
      </c>
    </row>
    <row r="16" spans="1:14">
      <c r="A16" s="26" t="s">
        <v>341</v>
      </c>
      <c r="B16" s="44">
        <f t="shared" ref="B16:N16" si="3">B6+B7</f>
        <v>2217715.5555555522</v>
      </c>
      <c r="C16" s="44">
        <f t="shared" si="3"/>
        <v>237032.69841269776</v>
      </c>
      <c r="D16" s="44">
        <f t="shared" si="3"/>
        <v>390193.33333333395</v>
      </c>
      <c r="E16" s="44">
        <f t="shared" si="3"/>
        <v>390193.33333333395</v>
      </c>
      <c r="F16" s="44">
        <f t="shared" si="3"/>
        <v>321073.33333333302</v>
      </c>
      <c r="G16" s="44">
        <f t="shared" si="3"/>
        <v>251953.33333333302</v>
      </c>
      <c r="H16" s="44">
        <f t="shared" si="3"/>
        <v>251953.33333333302</v>
      </c>
      <c r="I16" s="44">
        <f t="shared" si="3"/>
        <v>10033.333333333256</v>
      </c>
      <c r="J16" s="44">
        <f t="shared" si="3"/>
        <v>79153.333333333489</v>
      </c>
      <c r="K16" s="44">
        <f t="shared" si="3"/>
        <v>148273.33333333302</v>
      </c>
      <c r="L16" s="44">
        <f t="shared" si="3"/>
        <v>148273.33333333302</v>
      </c>
      <c r="M16" s="44">
        <f t="shared" si="3"/>
        <v>79153.333333333489</v>
      </c>
      <c r="N16" s="44">
        <f t="shared" si="3"/>
        <v>10033.333333333256</v>
      </c>
    </row>
    <row r="17" spans="1:14">
      <c r="A17" s="45" t="s">
        <v>342</v>
      </c>
      <c r="B17" s="46">
        <f>SUM(C17:N17)</f>
        <v>-90000</v>
      </c>
      <c r="C17" s="55">
        <f>-Administrative!C35</f>
        <v>-7500</v>
      </c>
      <c r="D17" s="55">
        <f t="shared" ref="D17:N18" si="4">C17</f>
        <v>-7500</v>
      </c>
      <c r="E17" s="55">
        <f t="shared" si="4"/>
        <v>-7500</v>
      </c>
      <c r="F17" s="55">
        <f t="shared" si="4"/>
        <v>-7500</v>
      </c>
      <c r="G17" s="55">
        <f t="shared" si="4"/>
        <v>-7500</v>
      </c>
      <c r="H17" s="55">
        <f t="shared" si="4"/>
        <v>-7500</v>
      </c>
      <c r="I17" s="55">
        <f t="shared" si="4"/>
        <v>-7500</v>
      </c>
      <c r="J17" s="55">
        <f t="shared" si="4"/>
        <v>-7500</v>
      </c>
      <c r="K17" s="55">
        <f t="shared" si="4"/>
        <v>-7500</v>
      </c>
      <c r="L17" s="55">
        <f t="shared" si="4"/>
        <v>-7500</v>
      </c>
      <c r="M17" s="55">
        <f t="shared" si="4"/>
        <v>-7500</v>
      </c>
      <c r="N17" s="55">
        <f t="shared" si="4"/>
        <v>-7500</v>
      </c>
    </row>
    <row r="18" spans="1:14">
      <c r="A18" s="45" t="s">
        <v>343</v>
      </c>
      <c r="B18" s="46">
        <v>0</v>
      </c>
      <c r="C18" s="55">
        <f>B18/12</f>
        <v>0</v>
      </c>
      <c r="D18" s="55">
        <f t="shared" si="4"/>
        <v>0</v>
      </c>
      <c r="E18" s="55">
        <f t="shared" si="4"/>
        <v>0</v>
      </c>
      <c r="F18" s="55">
        <f t="shared" si="4"/>
        <v>0</v>
      </c>
      <c r="G18" s="55">
        <f t="shared" si="4"/>
        <v>0</v>
      </c>
      <c r="H18" s="55">
        <f t="shared" si="4"/>
        <v>0</v>
      </c>
      <c r="I18" s="55">
        <f t="shared" si="4"/>
        <v>0</v>
      </c>
      <c r="J18" s="55">
        <f t="shared" si="4"/>
        <v>0</v>
      </c>
      <c r="K18" s="55">
        <f t="shared" si="4"/>
        <v>0</v>
      </c>
      <c r="L18" s="55">
        <f t="shared" si="4"/>
        <v>0</v>
      </c>
      <c r="M18" s="55">
        <f t="shared" si="4"/>
        <v>0</v>
      </c>
      <c r="N18" s="55">
        <f t="shared" si="4"/>
        <v>0</v>
      </c>
    </row>
    <row r="19" spans="1:14">
      <c r="A19" s="45" t="s">
        <v>344</v>
      </c>
      <c r="B19" s="46">
        <f>SUM(C19:N19)</f>
        <v>-240000</v>
      </c>
      <c r="C19" s="55">
        <f>-Administrative!E19</f>
        <v>-20000</v>
      </c>
      <c r="D19" s="55">
        <f t="shared" ref="D19:N19" si="5">C19</f>
        <v>-20000</v>
      </c>
      <c r="E19" s="55">
        <f t="shared" si="5"/>
        <v>-20000</v>
      </c>
      <c r="F19" s="55">
        <f t="shared" si="5"/>
        <v>-20000</v>
      </c>
      <c r="G19" s="55">
        <f t="shared" si="5"/>
        <v>-20000</v>
      </c>
      <c r="H19" s="55">
        <f t="shared" si="5"/>
        <v>-20000</v>
      </c>
      <c r="I19" s="55">
        <f t="shared" si="5"/>
        <v>-20000</v>
      </c>
      <c r="J19" s="55">
        <f t="shared" si="5"/>
        <v>-20000</v>
      </c>
      <c r="K19" s="55">
        <f t="shared" si="5"/>
        <v>-20000</v>
      </c>
      <c r="L19" s="55">
        <f t="shared" si="5"/>
        <v>-20000</v>
      </c>
      <c r="M19" s="55">
        <f t="shared" si="5"/>
        <v>-20000</v>
      </c>
      <c r="N19" s="55">
        <f t="shared" si="5"/>
        <v>-20000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1887715.5555555522</v>
      </c>
      <c r="C21" s="44">
        <f t="shared" ref="C21:N21" si="6">C16+C17+C18+C19+C20</f>
        <v>209532.69841269776</v>
      </c>
      <c r="D21" s="44">
        <f t="shared" si="6"/>
        <v>362693.33333333395</v>
      </c>
      <c r="E21" s="44">
        <f t="shared" si="6"/>
        <v>362693.33333333395</v>
      </c>
      <c r="F21" s="44">
        <f t="shared" si="6"/>
        <v>293573.33333333302</v>
      </c>
      <c r="G21" s="44">
        <f t="shared" si="6"/>
        <v>224453.33333333302</v>
      </c>
      <c r="H21" s="44">
        <f t="shared" si="6"/>
        <v>224453.33333333302</v>
      </c>
      <c r="I21" s="44">
        <f t="shared" si="6"/>
        <v>-17466.666666666744</v>
      </c>
      <c r="J21" s="44">
        <f t="shared" si="6"/>
        <v>51653.333333333489</v>
      </c>
      <c r="K21" s="44">
        <f t="shared" si="6"/>
        <v>120773.33333333302</v>
      </c>
      <c r="L21" s="44">
        <f t="shared" si="6"/>
        <v>120773.33333333302</v>
      </c>
      <c r="M21" s="44">
        <f t="shared" si="6"/>
        <v>51653.333333333489</v>
      </c>
      <c r="N21" s="44">
        <f t="shared" si="6"/>
        <v>-17466.666666666744</v>
      </c>
    </row>
    <row r="22" spans="1:14">
      <c r="A22" s="45" t="s">
        <v>347</v>
      </c>
      <c r="B22" s="46">
        <f t="shared" ref="B22:N22" si="7">B23+B24+B26+B25</f>
        <v>-1690500</v>
      </c>
      <c r="C22" s="46">
        <f t="shared" si="7"/>
        <v>-210000</v>
      </c>
      <c r="D22" s="46">
        <f t="shared" si="7"/>
        <v>-210000</v>
      </c>
      <c r="E22" s="46">
        <f t="shared" si="7"/>
        <v>-210000</v>
      </c>
      <c r="F22" s="46">
        <f t="shared" si="7"/>
        <v>-146999.99999999997</v>
      </c>
      <c r="G22" s="46">
        <f t="shared" si="7"/>
        <v>-105000</v>
      </c>
      <c r="H22" s="46">
        <f t="shared" si="7"/>
        <v>-126000</v>
      </c>
      <c r="I22" s="46">
        <f t="shared" si="7"/>
        <v>-63000</v>
      </c>
      <c r="J22" s="46">
        <f t="shared" si="7"/>
        <v>-73499.999999999985</v>
      </c>
      <c r="K22" s="46">
        <f t="shared" si="7"/>
        <v>-84000</v>
      </c>
      <c r="L22" s="46">
        <f t="shared" si="7"/>
        <v>-84000</v>
      </c>
      <c r="M22" s="46">
        <f t="shared" si="7"/>
        <v>-168000</v>
      </c>
      <c r="N22" s="46">
        <f t="shared" si="7"/>
        <v>-210000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4" hidden="1">
      <c r="A24" s="1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>
      <c r="A26" s="12" t="s">
        <v>349</v>
      </c>
      <c r="B26" s="46">
        <f>SUM(C26:N26)</f>
        <v>-1690500</v>
      </c>
      <c r="C26" s="48">
        <f>-Financing!C8</f>
        <v>-210000</v>
      </c>
      <c r="D26" s="48">
        <f>-Financing!D8</f>
        <v>-210000</v>
      </c>
      <c r="E26" s="48">
        <f>-Financing!E8</f>
        <v>-210000</v>
      </c>
      <c r="F26" s="48">
        <f>-Financing!F8</f>
        <v>-146999.99999999997</v>
      </c>
      <c r="G26" s="48">
        <f>-Financing!G8</f>
        <v>-105000</v>
      </c>
      <c r="H26" s="48">
        <f>-Financing!H8</f>
        <v>-126000</v>
      </c>
      <c r="I26" s="48">
        <f>-Financing!I8</f>
        <v>-63000</v>
      </c>
      <c r="J26" s="48">
        <f>-Financing!J8</f>
        <v>-73499.999999999985</v>
      </c>
      <c r="K26" s="48">
        <f>-Financing!K8</f>
        <v>-84000</v>
      </c>
      <c r="L26" s="48">
        <f>-Financing!L8</f>
        <v>-84000</v>
      </c>
      <c r="M26" s="48">
        <f>-Financing!M8</f>
        <v>-168000</v>
      </c>
      <c r="N26" s="48">
        <f>-Financing!N8</f>
        <v>-210000</v>
      </c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8">B21+B22+B27+B28</f>
        <v>197215.55555555224</v>
      </c>
      <c r="C29" s="44">
        <f t="shared" si="8"/>
        <v>-467.30158730223775</v>
      </c>
      <c r="D29" s="44">
        <f t="shared" si="8"/>
        <v>152693.33333333395</v>
      </c>
      <c r="E29" s="44">
        <f t="shared" si="8"/>
        <v>152693.33333333395</v>
      </c>
      <c r="F29" s="44">
        <f t="shared" si="8"/>
        <v>146573.33333333305</v>
      </c>
      <c r="G29" s="44">
        <f t="shared" si="8"/>
        <v>119453.33333333302</v>
      </c>
      <c r="H29" s="44">
        <f t="shared" si="8"/>
        <v>98453.333333333023</v>
      </c>
      <c r="I29" s="44">
        <f t="shared" si="8"/>
        <v>-80466.666666666744</v>
      </c>
      <c r="J29" s="44">
        <f t="shared" si="8"/>
        <v>-21846.666666666497</v>
      </c>
      <c r="K29" s="44">
        <f t="shared" si="8"/>
        <v>36773.333333333023</v>
      </c>
      <c r="L29" s="44">
        <f t="shared" si="8"/>
        <v>36773.333333333023</v>
      </c>
      <c r="M29" s="44">
        <f t="shared" si="8"/>
        <v>-116346.66666666651</v>
      </c>
      <c r="N29" s="44">
        <f t="shared" si="8"/>
        <v>-227466.66666666674</v>
      </c>
    </row>
    <row r="30" spans="1:14">
      <c r="A30" s="45" t="s">
        <v>359</v>
      </c>
      <c r="B30" s="46">
        <f>IF(B29&lt;0,0,-B29*Assumptions!B20)</f>
        <v>-39443.111111110455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157772.44444444179</v>
      </c>
      <c r="C31" s="44">
        <f t="shared" ref="C31:N31" si="9">C29+C30</f>
        <v>-467.30158730223775</v>
      </c>
      <c r="D31" s="44">
        <f t="shared" si="9"/>
        <v>152693.33333333395</v>
      </c>
      <c r="E31" s="44">
        <f t="shared" si="9"/>
        <v>152693.33333333395</v>
      </c>
      <c r="F31" s="44">
        <f t="shared" si="9"/>
        <v>146573.33333333305</v>
      </c>
      <c r="G31" s="44">
        <f t="shared" si="9"/>
        <v>119453.33333333302</v>
      </c>
      <c r="H31" s="44">
        <f t="shared" si="9"/>
        <v>98453.333333333023</v>
      </c>
      <c r="I31" s="44">
        <f t="shared" si="9"/>
        <v>-80466.666666666744</v>
      </c>
      <c r="J31" s="44">
        <f t="shared" si="9"/>
        <v>-21846.666666666497</v>
      </c>
      <c r="K31" s="44">
        <f t="shared" si="9"/>
        <v>36773.333333333023</v>
      </c>
      <c r="L31" s="44">
        <f t="shared" si="9"/>
        <v>36773.333333333023</v>
      </c>
      <c r="M31" s="44">
        <f t="shared" si="9"/>
        <v>-116346.66666666651</v>
      </c>
      <c r="N31" s="44">
        <f t="shared" si="9"/>
        <v>-227466.66666666674</v>
      </c>
    </row>
    <row r="32" spans="1:14">
      <c r="A32" s="26" t="s">
        <v>355</v>
      </c>
      <c r="B32" s="50">
        <f>IF(B31&lt;0,0,-B31*Assumptions!B123)</f>
        <v>-78886.222222220895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10">B31+B32</f>
        <v>78886.222222220895</v>
      </c>
      <c r="C33" s="53">
        <f t="shared" si="10"/>
        <v>-467.30158730223775</v>
      </c>
      <c r="D33" s="53">
        <f t="shared" si="10"/>
        <v>152693.33333333395</v>
      </c>
      <c r="E33" s="53">
        <f t="shared" si="10"/>
        <v>152693.33333333395</v>
      </c>
      <c r="F33" s="53">
        <f t="shared" si="10"/>
        <v>146573.33333333305</v>
      </c>
      <c r="G33" s="53">
        <f t="shared" si="10"/>
        <v>119453.33333333302</v>
      </c>
      <c r="H33" s="53">
        <f t="shared" si="10"/>
        <v>98453.333333333023</v>
      </c>
      <c r="I33" s="53">
        <f t="shared" si="10"/>
        <v>-80466.666666666744</v>
      </c>
      <c r="J33" s="53">
        <f t="shared" si="10"/>
        <v>-21846.666666666497</v>
      </c>
      <c r="K33" s="53">
        <f t="shared" si="10"/>
        <v>36773.333333333023</v>
      </c>
      <c r="L33" s="53">
        <f t="shared" si="10"/>
        <v>36773.333333333023</v>
      </c>
      <c r="M33" s="53">
        <f t="shared" si="10"/>
        <v>-116346.66666666651</v>
      </c>
      <c r="N33" s="53">
        <f t="shared" si="10"/>
        <v>-227466.66666666674</v>
      </c>
    </row>
    <row r="34" spans="1:14">
      <c r="B34" s="51"/>
      <c r="C34" s="51"/>
      <c r="D34" s="51"/>
      <c r="E34" s="5"/>
      <c r="F34" s="5"/>
      <c r="G34" s="5"/>
      <c r="H34" s="5"/>
    </row>
    <row r="35" spans="1:14">
      <c r="B35" s="51"/>
      <c r="C35" s="51"/>
      <c r="D35" s="51"/>
      <c r="E35" s="5"/>
      <c r="F35" s="5"/>
      <c r="G35" s="5"/>
      <c r="H35" s="5"/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  <c r="D2" s="5"/>
      <c r="E2" s="75"/>
    </row>
    <row r="3" spans="1:14" ht="21">
      <c r="A3" s="43" t="s">
        <v>84</v>
      </c>
      <c r="B3" s="19" t="s">
        <v>328</v>
      </c>
    </row>
    <row r="4" spans="1:14" ht="21">
      <c r="A4" s="43" t="s">
        <v>357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Sales!B4</f>
        <v>69120000</v>
      </c>
      <c r="C6" s="54">
        <f>Sales!C4</f>
        <v>6912000</v>
      </c>
      <c r="D6" s="54">
        <f>Sales!D4</f>
        <v>9676800.0000000019</v>
      </c>
      <c r="E6" s="54">
        <f>Sales!E4</f>
        <v>9676800.0000000019</v>
      </c>
      <c r="F6" s="54">
        <f>Sales!F4</f>
        <v>8294400</v>
      </c>
      <c r="G6" s="54">
        <f>Sales!G4</f>
        <v>6912000</v>
      </c>
      <c r="H6" s="54">
        <f>Sales!H4</f>
        <v>6912000</v>
      </c>
      <c r="I6" s="54">
        <f>Sales!I4</f>
        <v>2073600</v>
      </c>
      <c r="J6" s="54">
        <f>Sales!J4</f>
        <v>3456000</v>
      </c>
      <c r="K6" s="54">
        <f>Sales!K4</f>
        <v>4838400.0000000009</v>
      </c>
      <c r="L6" s="54">
        <f>Sales!L4</f>
        <v>4838400.0000000009</v>
      </c>
      <c r="M6" s="54">
        <f>Sales!M4</f>
        <v>3456000</v>
      </c>
      <c r="N6" s="54">
        <f>Sales!N4</f>
        <v>2073600</v>
      </c>
    </row>
    <row r="7" spans="1:14" s="16" customFormat="1">
      <c r="A7" s="26" t="s">
        <v>332</v>
      </c>
      <c r="B7" s="44">
        <f t="shared" ref="B7:N7" si="0">SUM(B8:B15)</f>
        <v>-66326284.444444448</v>
      </c>
      <c r="C7" s="54">
        <f t="shared" si="0"/>
        <v>-6617367.3015873022</v>
      </c>
      <c r="D7" s="54">
        <f t="shared" si="0"/>
        <v>-9205966.6666666679</v>
      </c>
      <c r="E7" s="54">
        <f t="shared" si="0"/>
        <v>-9205966.6666666679</v>
      </c>
      <c r="F7" s="54">
        <f t="shared" si="0"/>
        <v>-7904206.666666667</v>
      </c>
      <c r="G7" s="54">
        <f t="shared" si="0"/>
        <v>-6602446.666666667</v>
      </c>
      <c r="H7" s="54">
        <f t="shared" si="0"/>
        <v>-6602446.666666667</v>
      </c>
      <c r="I7" s="54">
        <f t="shared" si="0"/>
        <v>-2046286.6666666667</v>
      </c>
      <c r="J7" s="54">
        <f t="shared" si="0"/>
        <v>-3348046.6666666665</v>
      </c>
      <c r="K7" s="54">
        <f t="shared" si="0"/>
        <v>-4649806.6666666679</v>
      </c>
      <c r="L7" s="54">
        <f t="shared" si="0"/>
        <v>-4649806.6666666679</v>
      </c>
      <c r="M7" s="54">
        <f t="shared" si="0"/>
        <v>-3348046.6666666665</v>
      </c>
      <c r="N7" s="54">
        <f t="shared" si="0"/>
        <v>-2046286.6666666667</v>
      </c>
    </row>
    <row r="8" spans="1:14" s="32" customFormat="1">
      <c r="A8" s="45" t="s">
        <v>333</v>
      </c>
      <c r="B8" s="46">
        <f>-Purchases!B12</f>
        <v>-58608000</v>
      </c>
      <c r="C8" s="55">
        <f>-Purchases!C12</f>
        <v>-5860800</v>
      </c>
      <c r="D8" s="55">
        <f>-Purchases!D12</f>
        <v>-8205120.0000000019</v>
      </c>
      <c r="E8" s="55">
        <f>-Purchases!E12</f>
        <v>-8205120.0000000019</v>
      </c>
      <c r="F8" s="55">
        <f>-Purchases!F12</f>
        <v>-7032960</v>
      </c>
      <c r="G8" s="55">
        <f>-Purchases!G12</f>
        <v>-5860800</v>
      </c>
      <c r="H8" s="55">
        <f>-Purchases!H12</f>
        <v>-5860800</v>
      </c>
      <c r="I8" s="55">
        <f>-Purchases!I12</f>
        <v>-1758240</v>
      </c>
      <c r="J8" s="55">
        <f>-Purchases!J12</f>
        <v>-2930400</v>
      </c>
      <c r="K8" s="55">
        <f>-Purchases!K12</f>
        <v>-4102560.0000000009</v>
      </c>
      <c r="L8" s="55">
        <f>-Purchases!L12</f>
        <v>-4102560.0000000009</v>
      </c>
      <c r="M8" s="55">
        <f>-Purchases!M12</f>
        <v>-2930400</v>
      </c>
      <c r="N8" s="55">
        <f>-Purchases!N12</f>
        <v>-1758240</v>
      </c>
    </row>
    <row r="9" spans="1:14">
      <c r="A9" s="45" t="s">
        <v>334</v>
      </c>
      <c r="B9" s="46">
        <f>-Logistics!B7</f>
        <v>-6594524.444444444</v>
      </c>
      <c r="C9" s="55">
        <f>-Logistics!C7</f>
        <v>-662920.63492063491</v>
      </c>
      <c r="D9" s="55">
        <f>-Logistics!D7</f>
        <v>-907200.00000000012</v>
      </c>
      <c r="E9" s="55">
        <f>-Logistics!E7</f>
        <v>-907200.00000000012</v>
      </c>
      <c r="F9" s="55">
        <f>-Logistics!F7</f>
        <v>-777600</v>
      </c>
      <c r="G9" s="55">
        <f>-Logistics!G7</f>
        <v>-648000</v>
      </c>
      <c r="H9" s="55">
        <f>-Logistics!H7</f>
        <v>-648000</v>
      </c>
      <c r="I9" s="55">
        <f>-Logistics!I7</f>
        <v>-194400</v>
      </c>
      <c r="J9" s="55">
        <f>-Logistics!J7</f>
        <v>-324000</v>
      </c>
      <c r="K9" s="55">
        <f>-Logistics!K7</f>
        <v>-453600.00000000006</v>
      </c>
      <c r="L9" s="55">
        <f>-Logistics!L7</f>
        <v>-453600.00000000006</v>
      </c>
      <c r="M9" s="55">
        <f>-Logistics!M7</f>
        <v>-324000</v>
      </c>
      <c r="N9" s="55">
        <f>-Logistics!N7</f>
        <v>-194400</v>
      </c>
    </row>
    <row r="10" spans="1:14">
      <c r="A10" s="45" t="s">
        <v>335</v>
      </c>
      <c r="B10" s="46">
        <v>0</v>
      </c>
      <c r="C10" s="55">
        <f>B10</f>
        <v>0</v>
      </c>
      <c r="D10" s="55">
        <f t="shared" ref="C10:N14" si="1">C10</f>
        <v>0</v>
      </c>
      <c r="E10" s="55">
        <f t="shared" si="1"/>
        <v>0</v>
      </c>
      <c r="F10" s="55">
        <f t="shared" si="1"/>
        <v>0</v>
      </c>
      <c r="G10" s="55">
        <f t="shared" si="1"/>
        <v>0</v>
      </c>
      <c r="H10" s="55">
        <f t="shared" si="1"/>
        <v>0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</row>
    <row r="11" spans="1:14">
      <c r="A11" s="45" t="s">
        <v>336</v>
      </c>
      <c r="B11" s="46">
        <f>SUM(C11:N11)</f>
        <v>-876000</v>
      </c>
      <c r="C11" s="55">
        <f>-Administrative!B19</f>
        <v>-73000</v>
      </c>
      <c r="D11" s="55">
        <f t="shared" si="1"/>
        <v>-73000</v>
      </c>
      <c r="E11" s="55">
        <f t="shared" si="1"/>
        <v>-73000</v>
      </c>
      <c r="F11" s="55">
        <f t="shared" si="1"/>
        <v>-73000</v>
      </c>
      <c r="G11" s="55">
        <f t="shared" si="1"/>
        <v>-73000</v>
      </c>
      <c r="H11" s="55">
        <f t="shared" si="1"/>
        <v>-73000</v>
      </c>
      <c r="I11" s="55">
        <f t="shared" si="1"/>
        <v>-73000</v>
      </c>
      <c r="J11" s="55">
        <f t="shared" si="1"/>
        <v>-73000</v>
      </c>
      <c r="K11" s="55">
        <f t="shared" si="1"/>
        <v>-73000</v>
      </c>
      <c r="L11" s="55">
        <f t="shared" si="1"/>
        <v>-73000</v>
      </c>
      <c r="M11" s="55">
        <f t="shared" si="1"/>
        <v>-73000</v>
      </c>
      <c r="N11" s="55">
        <f t="shared" si="1"/>
        <v>-73000</v>
      </c>
    </row>
    <row r="12" spans="1:14">
      <c r="A12" s="45" t="s">
        <v>337</v>
      </c>
      <c r="B12" s="46">
        <f>SUM(C12:N12)</f>
        <v>-227760</v>
      </c>
      <c r="C12" s="55">
        <f>-Administrative!C19</f>
        <v>-18980</v>
      </c>
      <c r="D12" s="55">
        <f t="shared" si="1"/>
        <v>-18980</v>
      </c>
      <c r="E12" s="55">
        <f t="shared" si="1"/>
        <v>-18980</v>
      </c>
      <c r="F12" s="55">
        <f t="shared" si="1"/>
        <v>-18980</v>
      </c>
      <c r="G12" s="55">
        <f t="shared" si="1"/>
        <v>-18980</v>
      </c>
      <c r="H12" s="55">
        <f t="shared" si="1"/>
        <v>-18980</v>
      </c>
      <c r="I12" s="55">
        <f t="shared" si="1"/>
        <v>-18980</v>
      </c>
      <c r="J12" s="55">
        <f t="shared" si="1"/>
        <v>-18980</v>
      </c>
      <c r="K12" s="55">
        <f t="shared" si="1"/>
        <v>-18980</v>
      </c>
      <c r="L12" s="55">
        <f t="shared" si="1"/>
        <v>-18980</v>
      </c>
      <c r="M12" s="55">
        <f t="shared" si="1"/>
        <v>-18980</v>
      </c>
      <c r="N12" s="55">
        <f t="shared" si="1"/>
        <v>-18980</v>
      </c>
    </row>
    <row r="13" spans="1:14">
      <c r="A13" s="45" t="s">
        <v>338</v>
      </c>
      <c r="B13" s="46">
        <v>0</v>
      </c>
      <c r="C13" s="55">
        <f t="shared" si="1"/>
        <v>0</v>
      </c>
      <c r="D13" s="55">
        <f t="shared" si="1"/>
        <v>0</v>
      </c>
      <c r="E13" s="55">
        <f t="shared" si="1"/>
        <v>0</v>
      </c>
      <c r="F13" s="55">
        <f t="shared" si="1"/>
        <v>0</v>
      </c>
      <c r="G13" s="55">
        <f t="shared" si="1"/>
        <v>0</v>
      </c>
      <c r="H13" s="55">
        <f t="shared" si="1"/>
        <v>0</v>
      </c>
      <c r="I13" s="55">
        <f t="shared" si="1"/>
        <v>0</v>
      </c>
      <c r="J13" s="55">
        <f t="shared" si="1"/>
        <v>0</v>
      </c>
      <c r="K13" s="55">
        <f t="shared" si="1"/>
        <v>0</v>
      </c>
      <c r="L13" s="55">
        <f t="shared" si="1"/>
        <v>0</v>
      </c>
      <c r="M13" s="55">
        <f t="shared" si="1"/>
        <v>0</v>
      </c>
      <c r="N13" s="55">
        <f t="shared" si="1"/>
        <v>0</v>
      </c>
    </row>
    <row r="14" spans="1:14">
      <c r="A14" s="45" t="s">
        <v>339</v>
      </c>
      <c r="B14" s="46">
        <v>0</v>
      </c>
      <c r="C14" s="55">
        <f t="shared" si="1"/>
        <v>0</v>
      </c>
      <c r="D14" s="55">
        <f t="shared" si="1"/>
        <v>0</v>
      </c>
      <c r="E14" s="55">
        <f t="shared" si="1"/>
        <v>0</v>
      </c>
      <c r="F14" s="55">
        <f t="shared" si="1"/>
        <v>0</v>
      </c>
      <c r="G14" s="55">
        <f t="shared" si="1"/>
        <v>0</v>
      </c>
      <c r="H14" s="55">
        <f t="shared" si="1"/>
        <v>0</v>
      </c>
      <c r="I14" s="55">
        <f t="shared" si="1"/>
        <v>0</v>
      </c>
      <c r="J14" s="55">
        <f t="shared" si="1"/>
        <v>0</v>
      </c>
      <c r="K14" s="55">
        <f t="shared" si="1"/>
        <v>0</v>
      </c>
      <c r="L14" s="55">
        <f t="shared" si="1"/>
        <v>0</v>
      </c>
      <c r="M14" s="55">
        <f t="shared" si="1"/>
        <v>0</v>
      </c>
      <c r="N14" s="55">
        <f t="shared" si="1"/>
        <v>0</v>
      </c>
    </row>
    <row r="15" spans="1:14">
      <c r="A15" s="45" t="s">
        <v>340</v>
      </c>
      <c r="B15" s="46">
        <f>SUM(C15:N15)</f>
        <v>-20000</v>
      </c>
      <c r="C15" s="55">
        <f>-(Assumptions!$B$137*Assumptions!$B$138)/12</f>
        <v>-1666.6666666666667</v>
      </c>
      <c r="D15" s="55">
        <f>-(Assumptions!$B$137*Assumptions!$B$138)/12</f>
        <v>-1666.6666666666667</v>
      </c>
      <c r="E15" s="55">
        <f>-(Assumptions!$B$137*Assumptions!$B$138)/12</f>
        <v>-1666.6666666666667</v>
      </c>
      <c r="F15" s="55">
        <f>-(Assumptions!$B$137*Assumptions!$B$138)/12</f>
        <v>-1666.6666666666667</v>
      </c>
      <c r="G15" s="55">
        <f>-(Assumptions!$B$137*Assumptions!$B$138)/12</f>
        <v>-1666.6666666666667</v>
      </c>
      <c r="H15" s="55">
        <f>-(Assumptions!$B$137*Assumptions!$B$138)/12</f>
        <v>-1666.6666666666667</v>
      </c>
      <c r="I15" s="55">
        <f>-(Assumptions!$B$137*Assumptions!$B$138)/12</f>
        <v>-1666.6666666666667</v>
      </c>
      <c r="J15" s="55">
        <f>-(Assumptions!$B$137*Assumptions!$B$138)/12</f>
        <v>-1666.6666666666667</v>
      </c>
      <c r="K15" s="55">
        <f>-(Assumptions!$B$137*Assumptions!$B$138)/12</f>
        <v>-1666.6666666666667</v>
      </c>
      <c r="L15" s="55">
        <f>-(Assumptions!$B$137*Assumptions!$B$138)/12</f>
        <v>-1666.6666666666667</v>
      </c>
      <c r="M15" s="55">
        <f>-(Assumptions!$B$137*Assumptions!$B$138)/12</f>
        <v>-1666.6666666666667</v>
      </c>
      <c r="N15" s="55">
        <f>-(Assumptions!$B$137*Assumptions!$B$138)/12</f>
        <v>-1666.6666666666667</v>
      </c>
    </row>
    <row r="16" spans="1:14">
      <c r="A16" s="26" t="s">
        <v>341</v>
      </c>
      <c r="B16" s="44">
        <f t="shared" ref="B16:N16" si="2">B6+B7</f>
        <v>2793715.5555555522</v>
      </c>
      <c r="C16" s="44">
        <f t="shared" si="2"/>
        <v>294632.69841269776</v>
      </c>
      <c r="D16" s="44">
        <f t="shared" si="2"/>
        <v>470833.33333333395</v>
      </c>
      <c r="E16" s="44">
        <f t="shared" si="2"/>
        <v>470833.33333333395</v>
      </c>
      <c r="F16" s="44">
        <f t="shared" si="2"/>
        <v>390193.33333333302</v>
      </c>
      <c r="G16" s="44">
        <f t="shared" si="2"/>
        <v>309553.33333333302</v>
      </c>
      <c r="H16" s="44">
        <f t="shared" si="2"/>
        <v>309553.33333333302</v>
      </c>
      <c r="I16" s="44">
        <f t="shared" si="2"/>
        <v>27313.333333333256</v>
      </c>
      <c r="J16" s="44">
        <f t="shared" si="2"/>
        <v>107953.33333333349</v>
      </c>
      <c r="K16" s="44">
        <f t="shared" si="2"/>
        <v>188593.33333333302</v>
      </c>
      <c r="L16" s="44">
        <f t="shared" si="2"/>
        <v>188593.33333333302</v>
      </c>
      <c r="M16" s="44">
        <f t="shared" si="2"/>
        <v>107953.33333333349</v>
      </c>
      <c r="N16" s="44">
        <f t="shared" si="2"/>
        <v>27313.333333333256</v>
      </c>
    </row>
    <row r="17" spans="1:14">
      <c r="A17" s="45" t="s">
        <v>342</v>
      </c>
      <c r="B17" s="46">
        <f>SUM(C17:N17)</f>
        <v>-90000</v>
      </c>
      <c r="C17" s="55">
        <f>-Administrative!C35</f>
        <v>-7500</v>
      </c>
      <c r="D17" s="55">
        <f t="shared" ref="D17:N19" si="3">C17</f>
        <v>-7500</v>
      </c>
      <c r="E17" s="55">
        <f t="shared" si="3"/>
        <v>-7500</v>
      </c>
      <c r="F17" s="55">
        <f t="shared" si="3"/>
        <v>-7500</v>
      </c>
      <c r="G17" s="55">
        <f t="shared" si="3"/>
        <v>-7500</v>
      </c>
      <c r="H17" s="55">
        <f t="shared" si="3"/>
        <v>-7500</v>
      </c>
      <c r="I17" s="55">
        <f t="shared" si="3"/>
        <v>-7500</v>
      </c>
      <c r="J17" s="55">
        <f t="shared" si="3"/>
        <v>-7500</v>
      </c>
      <c r="K17" s="55">
        <f t="shared" si="3"/>
        <v>-7500</v>
      </c>
      <c r="L17" s="55">
        <f t="shared" si="3"/>
        <v>-7500</v>
      </c>
      <c r="M17" s="55">
        <f t="shared" si="3"/>
        <v>-7500</v>
      </c>
      <c r="N17" s="55">
        <f t="shared" si="3"/>
        <v>-7500</v>
      </c>
    </row>
    <row r="18" spans="1:14">
      <c r="A18" s="45" t="s">
        <v>343</v>
      </c>
      <c r="B18" s="46">
        <v>0</v>
      </c>
      <c r="C18" s="55">
        <f>B18/12</f>
        <v>0</v>
      </c>
      <c r="D18" s="55">
        <f t="shared" si="3"/>
        <v>0</v>
      </c>
      <c r="E18" s="55">
        <f t="shared" si="3"/>
        <v>0</v>
      </c>
      <c r="F18" s="55">
        <f t="shared" si="3"/>
        <v>0</v>
      </c>
      <c r="G18" s="55">
        <f t="shared" si="3"/>
        <v>0</v>
      </c>
      <c r="H18" s="55">
        <f t="shared" si="3"/>
        <v>0</v>
      </c>
      <c r="I18" s="55">
        <f t="shared" si="3"/>
        <v>0</v>
      </c>
      <c r="J18" s="55">
        <f t="shared" si="3"/>
        <v>0</v>
      </c>
      <c r="K18" s="55">
        <f t="shared" si="3"/>
        <v>0</v>
      </c>
      <c r="L18" s="55">
        <f t="shared" si="3"/>
        <v>0</v>
      </c>
      <c r="M18" s="55">
        <f t="shared" si="3"/>
        <v>0</v>
      </c>
      <c r="N18" s="55">
        <f t="shared" si="3"/>
        <v>0</v>
      </c>
    </row>
    <row r="19" spans="1:14">
      <c r="A19" s="45" t="s">
        <v>344</v>
      </c>
      <c r="B19" s="46">
        <f>SUM(C19:N19)</f>
        <v>-240000</v>
      </c>
      <c r="C19" s="55">
        <f>-Administrative!E19</f>
        <v>-20000</v>
      </c>
      <c r="D19" s="55">
        <f t="shared" si="3"/>
        <v>-20000</v>
      </c>
      <c r="E19" s="55">
        <f t="shared" si="3"/>
        <v>-20000</v>
      </c>
      <c r="F19" s="55">
        <f t="shared" si="3"/>
        <v>-20000</v>
      </c>
      <c r="G19" s="55">
        <f t="shared" si="3"/>
        <v>-20000</v>
      </c>
      <c r="H19" s="55">
        <f t="shared" si="3"/>
        <v>-20000</v>
      </c>
      <c r="I19" s="55">
        <f t="shared" si="3"/>
        <v>-20000</v>
      </c>
      <c r="J19" s="55">
        <f t="shared" si="3"/>
        <v>-20000</v>
      </c>
      <c r="K19" s="55">
        <f t="shared" si="3"/>
        <v>-20000</v>
      </c>
      <c r="L19" s="55">
        <f t="shared" si="3"/>
        <v>-20000</v>
      </c>
      <c r="M19" s="55">
        <f t="shared" si="3"/>
        <v>-20000</v>
      </c>
      <c r="N19" s="55">
        <f t="shared" si="3"/>
        <v>-20000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2463715.5555555522</v>
      </c>
      <c r="C21" s="44">
        <f t="shared" ref="C21:N21" si="4">C16+C17+C18+C19+C20</f>
        <v>267132.69841269776</v>
      </c>
      <c r="D21" s="44">
        <f t="shared" si="4"/>
        <v>443333.33333333395</v>
      </c>
      <c r="E21" s="44">
        <f t="shared" si="4"/>
        <v>443333.33333333395</v>
      </c>
      <c r="F21" s="44">
        <f t="shared" si="4"/>
        <v>362693.33333333302</v>
      </c>
      <c r="G21" s="44">
        <f t="shared" si="4"/>
        <v>282053.33333333302</v>
      </c>
      <c r="H21" s="44">
        <f t="shared" si="4"/>
        <v>282053.33333333302</v>
      </c>
      <c r="I21" s="44">
        <f t="shared" si="4"/>
        <v>-186.66666666674428</v>
      </c>
      <c r="J21" s="44">
        <f t="shared" si="4"/>
        <v>80453.333333333489</v>
      </c>
      <c r="K21" s="44">
        <f t="shared" si="4"/>
        <v>161093.33333333302</v>
      </c>
      <c r="L21" s="44">
        <f t="shared" si="4"/>
        <v>161093.33333333302</v>
      </c>
      <c r="M21" s="44">
        <f t="shared" si="4"/>
        <v>80453.333333333489</v>
      </c>
      <c r="N21" s="44">
        <f t="shared" si="4"/>
        <v>-186.66666666674428</v>
      </c>
    </row>
    <row r="22" spans="1:14">
      <c r="A22" s="45" t="s">
        <v>347</v>
      </c>
      <c r="B22" s="46">
        <f t="shared" ref="B22:N22" si="5">B23+B24+B26+B25</f>
        <v>-1260000</v>
      </c>
      <c r="C22" s="46">
        <f t="shared" si="5"/>
        <v>-168000</v>
      </c>
      <c r="D22" s="46">
        <f t="shared" si="5"/>
        <v>-168000</v>
      </c>
      <c r="E22" s="46">
        <f t="shared" si="5"/>
        <v>-146999.99999999997</v>
      </c>
      <c r="F22" s="46">
        <f t="shared" si="5"/>
        <v>-105000</v>
      </c>
      <c r="G22" s="46">
        <f t="shared" si="5"/>
        <v>-63000</v>
      </c>
      <c r="H22" s="46">
        <f t="shared" si="5"/>
        <v>-84000</v>
      </c>
      <c r="I22" s="46">
        <f t="shared" si="5"/>
        <v>-42000</v>
      </c>
      <c r="J22" s="46">
        <f t="shared" si="5"/>
        <v>-42000</v>
      </c>
      <c r="K22" s="46">
        <f t="shared" si="5"/>
        <v>-63000</v>
      </c>
      <c r="L22" s="46">
        <f t="shared" si="5"/>
        <v>-63000</v>
      </c>
      <c r="M22" s="46">
        <f t="shared" si="5"/>
        <v>-105000</v>
      </c>
      <c r="N22" s="46">
        <f t="shared" si="5"/>
        <v>-210000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4" hidden="1">
      <c r="A24" s="1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>
      <c r="A26" s="12" t="s">
        <v>349</v>
      </c>
      <c r="B26" s="46">
        <f>SUM(C26:N26)</f>
        <v>-1260000</v>
      </c>
      <c r="C26" s="48">
        <f>-Financing!C13</f>
        <v>-168000</v>
      </c>
      <c r="D26" s="48">
        <f>-Financing!D13</f>
        <v>-168000</v>
      </c>
      <c r="E26" s="48">
        <f>-Financing!E13</f>
        <v>-146999.99999999997</v>
      </c>
      <c r="F26" s="48">
        <f>-Financing!F13</f>
        <v>-105000</v>
      </c>
      <c r="G26" s="48">
        <f>-Financing!G13</f>
        <v>-63000</v>
      </c>
      <c r="H26" s="48">
        <f>-Financing!H13</f>
        <v>-84000</v>
      </c>
      <c r="I26" s="48">
        <f>-Financing!I13</f>
        <v>-42000</v>
      </c>
      <c r="J26" s="48">
        <f>-Financing!J13</f>
        <v>-42000</v>
      </c>
      <c r="K26" s="48">
        <f>-Financing!K13</f>
        <v>-63000</v>
      </c>
      <c r="L26" s="48">
        <f>-Financing!L13</f>
        <v>-63000</v>
      </c>
      <c r="M26" s="48">
        <f>-Financing!M13</f>
        <v>-105000</v>
      </c>
      <c r="N26" s="48">
        <f>-Financing!N13</f>
        <v>-210000</v>
      </c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6">B21+B22+B27+B28</f>
        <v>1203715.5555555522</v>
      </c>
      <c r="C29" s="44">
        <f t="shared" si="6"/>
        <v>99132.698412697762</v>
      </c>
      <c r="D29" s="44">
        <f t="shared" si="6"/>
        <v>275333.33333333395</v>
      </c>
      <c r="E29" s="44">
        <f t="shared" si="6"/>
        <v>296333.33333333395</v>
      </c>
      <c r="F29" s="44">
        <f t="shared" si="6"/>
        <v>257693.33333333302</v>
      </c>
      <c r="G29" s="44">
        <f t="shared" si="6"/>
        <v>219053.33333333302</v>
      </c>
      <c r="H29" s="44">
        <f t="shared" si="6"/>
        <v>198053.33333333302</v>
      </c>
      <c r="I29" s="44">
        <f t="shared" si="6"/>
        <v>-42186.666666666744</v>
      </c>
      <c r="J29" s="44">
        <f t="shared" si="6"/>
        <v>38453.333333333489</v>
      </c>
      <c r="K29" s="44">
        <f t="shared" si="6"/>
        <v>98093.333333333023</v>
      </c>
      <c r="L29" s="44">
        <f t="shared" si="6"/>
        <v>98093.333333333023</v>
      </c>
      <c r="M29" s="44">
        <f t="shared" si="6"/>
        <v>-24546.666666666511</v>
      </c>
      <c r="N29" s="44">
        <f t="shared" si="6"/>
        <v>-210186.66666666674</v>
      </c>
    </row>
    <row r="30" spans="1:14">
      <c r="A30" s="45" t="s">
        <v>359</v>
      </c>
      <c r="B30" s="46">
        <f>IF(B29&lt;0,0,-B29*Assumptions!B20)</f>
        <v>-240743.11111111045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962972.44444444182</v>
      </c>
      <c r="C31" s="44">
        <f t="shared" ref="C31:N31" si="7">C29+C30</f>
        <v>99132.698412697762</v>
      </c>
      <c r="D31" s="44">
        <f t="shared" si="7"/>
        <v>275333.33333333395</v>
      </c>
      <c r="E31" s="44">
        <f t="shared" si="7"/>
        <v>296333.33333333395</v>
      </c>
      <c r="F31" s="44">
        <f t="shared" si="7"/>
        <v>257693.33333333302</v>
      </c>
      <c r="G31" s="44">
        <f t="shared" si="7"/>
        <v>219053.33333333302</v>
      </c>
      <c r="H31" s="44">
        <f t="shared" si="7"/>
        <v>198053.33333333302</v>
      </c>
      <c r="I31" s="44">
        <f t="shared" si="7"/>
        <v>-42186.666666666744</v>
      </c>
      <c r="J31" s="44">
        <f t="shared" si="7"/>
        <v>38453.333333333489</v>
      </c>
      <c r="K31" s="44">
        <f t="shared" si="7"/>
        <v>98093.333333333023</v>
      </c>
      <c r="L31" s="44">
        <f t="shared" si="7"/>
        <v>98093.333333333023</v>
      </c>
      <c r="M31" s="44">
        <f t="shared" si="7"/>
        <v>-24546.666666666511</v>
      </c>
      <c r="N31" s="44">
        <f t="shared" si="7"/>
        <v>-210186.66666666674</v>
      </c>
    </row>
    <row r="32" spans="1:14">
      <c r="A32" s="26" t="s">
        <v>355</v>
      </c>
      <c r="B32" s="50">
        <f>IF(B31&lt;0,0,-B31*Assumptions!B123)</f>
        <v>-481486.22222222091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8">B31+B32</f>
        <v>481486.22222222091</v>
      </c>
      <c r="C33" s="53">
        <f t="shared" si="8"/>
        <v>99132.698412697762</v>
      </c>
      <c r="D33" s="53">
        <f t="shared" si="8"/>
        <v>275333.33333333395</v>
      </c>
      <c r="E33" s="53">
        <f t="shared" si="8"/>
        <v>296333.33333333395</v>
      </c>
      <c r="F33" s="53">
        <f t="shared" si="8"/>
        <v>257693.33333333302</v>
      </c>
      <c r="G33" s="53">
        <f t="shared" si="8"/>
        <v>219053.33333333302</v>
      </c>
      <c r="H33" s="53">
        <f t="shared" si="8"/>
        <v>198053.33333333302</v>
      </c>
      <c r="I33" s="53">
        <f t="shared" si="8"/>
        <v>-42186.666666666744</v>
      </c>
      <c r="J33" s="53">
        <f t="shared" si="8"/>
        <v>38453.333333333489</v>
      </c>
      <c r="K33" s="53">
        <f t="shared" si="8"/>
        <v>98093.333333333023</v>
      </c>
      <c r="L33" s="53">
        <f t="shared" si="8"/>
        <v>98093.333333333023</v>
      </c>
      <c r="M33" s="53">
        <f t="shared" si="8"/>
        <v>-24546.666666666511</v>
      </c>
      <c r="N33" s="53">
        <f t="shared" si="8"/>
        <v>-210186.66666666674</v>
      </c>
    </row>
    <row r="34" spans="1:14">
      <c r="B34" s="51"/>
      <c r="C34" s="51"/>
      <c r="D34" s="51"/>
      <c r="E34" s="5"/>
      <c r="F34" s="5"/>
      <c r="G34" s="5"/>
      <c r="H34" s="5"/>
    </row>
    <row r="35" spans="1:14">
      <c r="B35" s="51"/>
      <c r="C35" s="51"/>
      <c r="D35" s="51"/>
      <c r="E35" s="5"/>
      <c r="F35" s="5"/>
      <c r="G35" s="5"/>
      <c r="H35" s="5"/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  <c r="D2" s="5"/>
      <c r="E2" s="75"/>
    </row>
    <row r="3" spans="1:14" ht="21">
      <c r="A3" s="43" t="s">
        <v>84</v>
      </c>
      <c r="B3" s="19" t="s">
        <v>328</v>
      </c>
    </row>
    <row r="4" spans="1:14" ht="21">
      <c r="A4" s="43" t="s">
        <v>358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Sales!B4</f>
        <v>69120000</v>
      </c>
      <c r="C6" s="54">
        <f>Sales!C4</f>
        <v>6912000</v>
      </c>
      <c r="D6" s="54">
        <f>Sales!D4</f>
        <v>9676800.0000000019</v>
      </c>
      <c r="E6" s="54">
        <f>Sales!E4</f>
        <v>9676800.0000000019</v>
      </c>
      <c r="F6" s="54">
        <f>Sales!F4</f>
        <v>8294400</v>
      </c>
      <c r="G6" s="54">
        <f>Sales!G4</f>
        <v>6912000</v>
      </c>
      <c r="H6" s="54">
        <f>Sales!H4</f>
        <v>6912000</v>
      </c>
      <c r="I6" s="54">
        <f>Sales!I4</f>
        <v>2073600</v>
      </c>
      <c r="J6" s="54">
        <f>Sales!J4</f>
        <v>3456000</v>
      </c>
      <c r="K6" s="54">
        <f>Sales!K4</f>
        <v>4838400.0000000009</v>
      </c>
      <c r="L6" s="54">
        <f>Sales!L4</f>
        <v>4838400.0000000009</v>
      </c>
      <c r="M6" s="54">
        <f>Sales!M4</f>
        <v>3456000</v>
      </c>
      <c r="N6" s="54">
        <f>Sales!N4</f>
        <v>2073600</v>
      </c>
    </row>
    <row r="7" spans="1:14" s="16" customFormat="1">
      <c r="A7" s="26" t="s">
        <v>332</v>
      </c>
      <c r="B7" s="44">
        <f t="shared" ref="B7:N7" si="0">SUM(B8:B15)</f>
        <v>-65462284.444444448</v>
      </c>
      <c r="C7" s="54">
        <f t="shared" si="0"/>
        <v>-6530967.3015873022</v>
      </c>
      <c r="D7" s="54">
        <f t="shared" si="0"/>
        <v>-9085006.6666666679</v>
      </c>
      <c r="E7" s="54">
        <f t="shared" si="0"/>
        <v>-9085006.6666666679</v>
      </c>
      <c r="F7" s="54">
        <f t="shared" si="0"/>
        <v>-7800526.666666667</v>
      </c>
      <c r="G7" s="54">
        <f t="shared" si="0"/>
        <v>-6516046.666666667</v>
      </c>
      <c r="H7" s="54">
        <f t="shared" si="0"/>
        <v>-6516046.666666667</v>
      </c>
      <c r="I7" s="54">
        <f t="shared" si="0"/>
        <v>-2020366.6666666667</v>
      </c>
      <c r="J7" s="54">
        <f t="shared" si="0"/>
        <v>-3304846.6666666665</v>
      </c>
      <c r="K7" s="54">
        <f t="shared" si="0"/>
        <v>-4589326.6666666679</v>
      </c>
      <c r="L7" s="54">
        <f t="shared" si="0"/>
        <v>-4589326.6666666679</v>
      </c>
      <c r="M7" s="54">
        <f t="shared" si="0"/>
        <v>-3304846.6666666665</v>
      </c>
      <c r="N7" s="54">
        <f t="shared" si="0"/>
        <v>-2020366.6666666667</v>
      </c>
    </row>
    <row r="8" spans="1:14" s="32" customFormat="1">
      <c r="A8" s="45" t="s">
        <v>333</v>
      </c>
      <c r="B8" s="46">
        <f>-Purchases!B16</f>
        <v>-57744000</v>
      </c>
      <c r="C8" s="55">
        <f>-Purchases!C16</f>
        <v>-5774400</v>
      </c>
      <c r="D8" s="55">
        <f>-Purchases!D16</f>
        <v>-8084160.0000000019</v>
      </c>
      <c r="E8" s="55">
        <f>-Purchases!E16</f>
        <v>-8084160.0000000019</v>
      </c>
      <c r="F8" s="55">
        <f>-Purchases!F16</f>
        <v>-6929280</v>
      </c>
      <c r="G8" s="55">
        <f>-Purchases!G16</f>
        <v>-5774400</v>
      </c>
      <c r="H8" s="55">
        <f>-Purchases!H16</f>
        <v>-5774400</v>
      </c>
      <c r="I8" s="55">
        <f>-Purchases!I16</f>
        <v>-1732320</v>
      </c>
      <c r="J8" s="55">
        <f>-Purchases!J16</f>
        <v>-2887200</v>
      </c>
      <c r="K8" s="55">
        <f>-Purchases!K16</f>
        <v>-4042080.0000000009</v>
      </c>
      <c r="L8" s="55">
        <f>-Purchases!L16</f>
        <v>-4042080.0000000009</v>
      </c>
      <c r="M8" s="55">
        <f>-Purchases!M16</f>
        <v>-2887200</v>
      </c>
      <c r="N8" s="55">
        <f>-Purchases!N16</f>
        <v>-1732320</v>
      </c>
    </row>
    <row r="9" spans="1:14">
      <c r="A9" s="45" t="s">
        <v>334</v>
      </c>
      <c r="B9" s="46">
        <f>-Logistics!B7</f>
        <v>-6594524.444444444</v>
      </c>
      <c r="C9" s="55">
        <f>-Logistics!C7</f>
        <v>-662920.63492063491</v>
      </c>
      <c r="D9" s="55">
        <f>-Logistics!D7</f>
        <v>-907200.00000000012</v>
      </c>
      <c r="E9" s="55">
        <f>-Logistics!E7</f>
        <v>-907200.00000000012</v>
      </c>
      <c r="F9" s="55">
        <f>-Logistics!F7</f>
        <v>-777600</v>
      </c>
      <c r="G9" s="55">
        <f>-Logistics!G7</f>
        <v>-648000</v>
      </c>
      <c r="H9" s="55">
        <f>-Logistics!H7</f>
        <v>-648000</v>
      </c>
      <c r="I9" s="55">
        <f>-Logistics!I7</f>
        <v>-194400</v>
      </c>
      <c r="J9" s="55">
        <f>-Logistics!J7</f>
        <v>-324000</v>
      </c>
      <c r="K9" s="55">
        <f>-Logistics!K7</f>
        <v>-453600.00000000006</v>
      </c>
      <c r="L9" s="55">
        <f>-Logistics!L7</f>
        <v>-453600.00000000006</v>
      </c>
      <c r="M9" s="55">
        <f>-Logistics!M7</f>
        <v>-324000</v>
      </c>
      <c r="N9" s="55">
        <f>-Logistics!N7</f>
        <v>-194400</v>
      </c>
    </row>
    <row r="10" spans="1:14">
      <c r="A10" s="45" t="s">
        <v>335</v>
      </c>
      <c r="B10" s="46">
        <v>0</v>
      </c>
      <c r="C10" s="55">
        <f>B10</f>
        <v>0</v>
      </c>
      <c r="D10" s="55">
        <f t="shared" ref="C10:N14" si="1">C10</f>
        <v>0</v>
      </c>
      <c r="E10" s="55">
        <f t="shared" si="1"/>
        <v>0</v>
      </c>
      <c r="F10" s="55">
        <f t="shared" si="1"/>
        <v>0</v>
      </c>
      <c r="G10" s="55">
        <f t="shared" si="1"/>
        <v>0</v>
      </c>
      <c r="H10" s="55">
        <f t="shared" si="1"/>
        <v>0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</row>
    <row r="11" spans="1:14">
      <c r="A11" s="45" t="s">
        <v>336</v>
      </c>
      <c r="B11" s="46">
        <f>SUM(C11:N11)</f>
        <v>-876000</v>
      </c>
      <c r="C11" s="55">
        <f>-Administrative!B19</f>
        <v>-73000</v>
      </c>
      <c r="D11" s="55">
        <f t="shared" si="1"/>
        <v>-73000</v>
      </c>
      <c r="E11" s="55">
        <f t="shared" si="1"/>
        <v>-73000</v>
      </c>
      <c r="F11" s="55">
        <f t="shared" si="1"/>
        <v>-73000</v>
      </c>
      <c r="G11" s="55">
        <f t="shared" si="1"/>
        <v>-73000</v>
      </c>
      <c r="H11" s="55">
        <f t="shared" si="1"/>
        <v>-73000</v>
      </c>
      <c r="I11" s="55">
        <f t="shared" si="1"/>
        <v>-73000</v>
      </c>
      <c r="J11" s="55">
        <f t="shared" si="1"/>
        <v>-73000</v>
      </c>
      <c r="K11" s="55">
        <f t="shared" si="1"/>
        <v>-73000</v>
      </c>
      <c r="L11" s="55">
        <f t="shared" si="1"/>
        <v>-73000</v>
      </c>
      <c r="M11" s="55">
        <f t="shared" si="1"/>
        <v>-73000</v>
      </c>
      <c r="N11" s="55">
        <f t="shared" si="1"/>
        <v>-73000</v>
      </c>
    </row>
    <row r="12" spans="1:14">
      <c r="A12" s="45" t="s">
        <v>337</v>
      </c>
      <c r="B12" s="46">
        <f>SUM(C12:N12)</f>
        <v>-227760</v>
      </c>
      <c r="C12" s="55">
        <f>-Administrative!C19</f>
        <v>-18980</v>
      </c>
      <c r="D12" s="55">
        <f t="shared" si="1"/>
        <v>-18980</v>
      </c>
      <c r="E12" s="55">
        <f t="shared" si="1"/>
        <v>-18980</v>
      </c>
      <c r="F12" s="55">
        <f t="shared" si="1"/>
        <v>-18980</v>
      </c>
      <c r="G12" s="55">
        <f t="shared" si="1"/>
        <v>-18980</v>
      </c>
      <c r="H12" s="55">
        <f t="shared" si="1"/>
        <v>-18980</v>
      </c>
      <c r="I12" s="55">
        <f t="shared" si="1"/>
        <v>-18980</v>
      </c>
      <c r="J12" s="55">
        <f t="shared" si="1"/>
        <v>-18980</v>
      </c>
      <c r="K12" s="55">
        <f t="shared" si="1"/>
        <v>-18980</v>
      </c>
      <c r="L12" s="55">
        <f t="shared" si="1"/>
        <v>-18980</v>
      </c>
      <c r="M12" s="55">
        <f t="shared" si="1"/>
        <v>-18980</v>
      </c>
      <c r="N12" s="55">
        <f t="shared" si="1"/>
        <v>-18980</v>
      </c>
    </row>
    <row r="13" spans="1:14">
      <c r="A13" s="45" t="s">
        <v>338</v>
      </c>
      <c r="B13" s="46">
        <v>0</v>
      </c>
      <c r="C13" s="55">
        <f t="shared" si="1"/>
        <v>0</v>
      </c>
      <c r="D13" s="55">
        <f t="shared" si="1"/>
        <v>0</v>
      </c>
      <c r="E13" s="55">
        <f t="shared" si="1"/>
        <v>0</v>
      </c>
      <c r="F13" s="55">
        <f t="shared" si="1"/>
        <v>0</v>
      </c>
      <c r="G13" s="55">
        <f t="shared" si="1"/>
        <v>0</v>
      </c>
      <c r="H13" s="55">
        <f t="shared" si="1"/>
        <v>0</v>
      </c>
      <c r="I13" s="55">
        <f t="shared" si="1"/>
        <v>0</v>
      </c>
      <c r="J13" s="55">
        <f t="shared" si="1"/>
        <v>0</v>
      </c>
      <c r="K13" s="55">
        <f t="shared" si="1"/>
        <v>0</v>
      </c>
      <c r="L13" s="55">
        <f t="shared" si="1"/>
        <v>0</v>
      </c>
      <c r="M13" s="55">
        <f t="shared" si="1"/>
        <v>0</v>
      </c>
      <c r="N13" s="55">
        <f t="shared" si="1"/>
        <v>0</v>
      </c>
    </row>
    <row r="14" spans="1:14">
      <c r="A14" s="45" t="s">
        <v>339</v>
      </c>
      <c r="B14" s="46">
        <v>0</v>
      </c>
      <c r="C14" s="55">
        <f t="shared" si="1"/>
        <v>0</v>
      </c>
      <c r="D14" s="55">
        <f t="shared" si="1"/>
        <v>0</v>
      </c>
      <c r="E14" s="55">
        <f t="shared" si="1"/>
        <v>0</v>
      </c>
      <c r="F14" s="55">
        <f t="shared" si="1"/>
        <v>0</v>
      </c>
      <c r="G14" s="55">
        <f t="shared" si="1"/>
        <v>0</v>
      </c>
      <c r="H14" s="55">
        <f t="shared" si="1"/>
        <v>0</v>
      </c>
      <c r="I14" s="55">
        <f t="shared" si="1"/>
        <v>0</v>
      </c>
      <c r="J14" s="55">
        <f t="shared" si="1"/>
        <v>0</v>
      </c>
      <c r="K14" s="55">
        <f t="shared" si="1"/>
        <v>0</v>
      </c>
      <c r="L14" s="55">
        <f t="shared" si="1"/>
        <v>0</v>
      </c>
      <c r="M14" s="55">
        <f t="shared" si="1"/>
        <v>0</v>
      </c>
      <c r="N14" s="55">
        <f t="shared" si="1"/>
        <v>0</v>
      </c>
    </row>
    <row r="15" spans="1:14">
      <c r="A15" s="45" t="s">
        <v>340</v>
      </c>
      <c r="B15" s="46">
        <f>SUM(C15:N15)</f>
        <v>-20000</v>
      </c>
      <c r="C15" s="55">
        <f>-(Assumptions!$B$137*Assumptions!$B$138)/12</f>
        <v>-1666.6666666666667</v>
      </c>
      <c r="D15" s="55">
        <f>-(Assumptions!$B$137*Assumptions!$B$138)/12</f>
        <v>-1666.6666666666667</v>
      </c>
      <c r="E15" s="55">
        <f>-(Assumptions!$B$137*Assumptions!$B$138)/12</f>
        <v>-1666.6666666666667</v>
      </c>
      <c r="F15" s="55">
        <f>-(Assumptions!$B$137*Assumptions!$B$138)/12</f>
        <v>-1666.6666666666667</v>
      </c>
      <c r="G15" s="55">
        <f>-(Assumptions!$B$137*Assumptions!$B$138)/12</f>
        <v>-1666.6666666666667</v>
      </c>
      <c r="H15" s="55">
        <f>-(Assumptions!$B$137*Assumptions!$B$138)/12</f>
        <v>-1666.6666666666667</v>
      </c>
      <c r="I15" s="55">
        <f>-(Assumptions!$B$137*Assumptions!$B$138)/12</f>
        <v>-1666.6666666666667</v>
      </c>
      <c r="J15" s="55">
        <f>-(Assumptions!$B$137*Assumptions!$B$138)/12</f>
        <v>-1666.6666666666667</v>
      </c>
      <c r="K15" s="55">
        <f>-(Assumptions!$B$137*Assumptions!$B$138)/12</f>
        <v>-1666.6666666666667</v>
      </c>
      <c r="L15" s="55">
        <f>-(Assumptions!$B$137*Assumptions!$B$138)/12</f>
        <v>-1666.6666666666667</v>
      </c>
      <c r="M15" s="55">
        <f>-(Assumptions!$B$137*Assumptions!$B$138)/12</f>
        <v>-1666.6666666666667</v>
      </c>
      <c r="N15" s="55">
        <f>-(Assumptions!$B$137*Assumptions!$B$138)/12</f>
        <v>-1666.6666666666667</v>
      </c>
    </row>
    <row r="16" spans="1:14">
      <c r="A16" s="26" t="s">
        <v>341</v>
      </c>
      <c r="B16" s="44">
        <f t="shared" ref="B16:N16" si="2">B6+B7</f>
        <v>3657715.5555555522</v>
      </c>
      <c r="C16" s="44">
        <f t="shared" si="2"/>
        <v>381032.69841269776</v>
      </c>
      <c r="D16" s="44">
        <f t="shared" si="2"/>
        <v>591793.33333333395</v>
      </c>
      <c r="E16" s="44">
        <f t="shared" si="2"/>
        <v>591793.33333333395</v>
      </c>
      <c r="F16" s="44">
        <f t="shared" si="2"/>
        <v>493873.33333333302</v>
      </c>
      <c r="G16" s="44">
        <f t="shared" si="2"/>
        <v>395953.33333333302</v>
      </c>
      <c r="H16" s="44">
        <f t="shared" si="2"/>
        <v>395953.33333333302</v>
      </c>
      <c r="I16" s="44">
        <f t="shared" si="2"/>
        <v>53233.333333333256</v>
      </c>
      <c r="J16" s="44">
        <f t="shared" si="2"/>
        <v>151153.33333333349</v>
      </c>
      <c r="K16" s="44">
        <f t="shared" si="2"/>
        <v>249073.33333333302</v>
      </c>
      <c r="L16" s="44">
        <f t="shared" si="2"/>
        <v>249073.33333333302</v>
      </c>
      <c r="M16" s="44">
        <f t="shared" si="2"/>
        <v>151153.33333333349</v>
      </c>
      <c r="N16" s="44">
        <f t="shared" si="2"/>
        <v>53233.333333333256</v>
      </c>
    </row>
    <row r="17" spans="1:14">
      <c r="A17" s="45" t="s">
        <v>342</v>
      </c>
      <c r="B17" s="46">
        <f>SUM(C17:N17)</f>
        <v>-90000</v>
      </c>
      <c r="C17" s="55">
        <f>-Administrative!C35</f>
        <v>-7500</v>
      </c>
      <c r="D17" s="55">
        <f t="shared" ref="D17:N19" si="3">C17</f>
        <v>-7500</v>
      </c>
      <c r="E17" s="55">
        <f t="shared" si="3"/>
        <v>-7500</v>
      </c>
      <c r="F17" s="55">
        <f t="shared" si="3"/>
        <v>-7500</v>
      </c>
      <c r="G17" s="55">
        <f t="shared" si="3"/>
        <v>-7500</v>
      </c>
      <c r="H17" s="55">
        <f t="shared" si="3"/>
        <v>-7500</v>
      </c>
      <c r="I17" s="55">
        <f t="shared" si="3"/>
        <v>-7500</v>
      </c>
      <c r="J17" s="55">
        <f t="shared" si="3"/>
        <v>-7500</v>
      </c>
      <c r="K17" s="55">
        <f t="shared" si="3"/>
        <v>-7500</v>
      </c>
      <c r="L17" s="55">
        <f t="shared" si="3"/>
        <v>-7500</v>
      </c>
      <c r="M17" s="55">
        <f t="shared" si="3"/>
        <v>-7500</v>
      </c>
      <c r="N17" s="55">
        <f t="shared" si="3"/>
        <v>-7500</v>
      </c>
    </row>
    <row r="18" spans="1:14">
      <c r="A18" s="45" t="s">
        <v>343</v>
      </c>
      <c r="B18" s="46">
        <v>0</v>
      </c>
      <c r="C18" s="55">
        <f>B18/12</f>
        <v>0</v>
      </c>
      <c r="D18" s="55">
        <f t="shared" si="3"/>
        <v>0</v>
      </c>
      <c r="E18" s="55">
        <f t="shared" si="3"/>
        <v>0</v>
      </c>
      <c r="F18" s="55">
        <f t="shared" si="3"/>
        <v>0</v>
      </c>
      <c r="G18" s="55">
        <f t="shared" si="3"/>
        <v>0</v>
      </c>
      <c r="H18" s="55">
        <f t="shared" si="3"/>
        <v>0</v>
      </c>
      <c r="I18" s="55">
        <f t="shared" si="3"/>
        <v>0</v>
      </c>
      <c r="J18" s="55">
        <f t="shared" si="3"/>
        <v>0</v>
      </c>
      <c r="K18" s="55">
        <f t="shared" si="3"/>
        <v>0</v>
      </c>
      <c r="L18" s="55">
        <f t="shared" si="3"/>
        <v>0</v>
      </c>
      <c r="M18" s="55">
        <f t="shared" si="3"/>
        <v>0</v>
      </c>
      <c r="N18" s="55">
        <f t="shared" si="3"/>
        <v>0</v>
      </c>
    </row>
    <row r="19" spans="1:14">
      <c r="A19" s="45" t="s">
        <v>344</v>
      </c>
      <c r="B19" s="46">
        <f>SUM(C19:N19)</f>
        <v>-240000</v>
      </c>
      <c r="C19" s="55">
        <f>-Administrative!E19</f>
        <v>-20000</v>
      </c>
      <c r="D19" s="55">
        <f t="shared" si="3"/>
        <v>-20000</v>
      </c>
      <c r="E19" s="55">
        <f t="shared" si="3"/>
        <v>-20000</v>
      </c>
      <c r="F19" s="55">
        <f t="shared" si="3"/>
        <v>-20000</v>
      </c>
      <c r="G19" s="55">
        <f t="shared" si="3"/>
        <v>-20000</v>
      </c>
      <c r="H19" s="55">
        <f t="shared" si="3"/>
        <v>-20000</v>
      </c>
      <c r="I19" s="55">
        <f t="shared" si="3"/>
        <v>-20000</v>
      </c>
      <c r="J19" s="55">
        <f t="shared" si="3"/>
        <v>-20000</v>
      </c>
      <c r="K19" s="55">
        <f t="shared" si="3"/>
        <v>-20000</v>
      </c>
      <c r="L19" s="55">
        <f t="shared" si="3"/>
        <v>-20000</v>
      </c>
      <c r="M19" s="55">
        <f t="shared" si="3"/>
        <v>-20000</v>
      </c>
      <c r="N19" s="55">
        <f t="shared" si="3"/>
        <v>-20000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3327715.5555555522</v>
      </c>
      <c r="C21" s="44">
        <f t="shared" ref="C21:N21" si="4">C16+C17+C18+C19+C20</f>
        <v>353532.69841269776</v>
      </c>
      <c r="D21" s="44">
        <f t="shared" si="4"/>
        <v>564293.33333333395</v>
      </c>
      <c r="E21" s="44">
        <f t="shared" si="4"/>
        <v>564293.33333333395</v>
      </c>
      <c r="F21" s="44">
        <f t="shared" si="4"/>
        <v>466373.33333333302</v>
      </c>
      <c r="G21" s="44">
        <f t="shared" si="4"/>
        <v>368453.33333333302</v>
      </c>
      <c r="H21" s="44">
        <f t="shared" si="4"/>
        <v>368453.33333333302</v>
      </c>
      <c r="I21" s="44">
        <f t="shared" si="4"/>
        <v>25733.333333333256</v>
      </c>
      <c r="J21" s="44">
        <f t="shared" si="4"/>
        <v>123653.33333333349</v>
      </c>
      <c r="K21" s="44">
        <f t="shared" si="4"/>
        <v>221573.33333333302</v>
      </c>
      <c r="L21" s="44">
        <f t="shared" si="4"/>
        <v>221573.33333333302</v>
      </c>
      <c r="M21" s="44">
        <f t="shared" si="4"/>
        <v>123653.33333333349</v>
      </c>
      <c r="N21" s="44">
        <f t="shared" si="4"/>
        <v>25733.333333333256</v>
      </c>
    </row>
    <row r="22" spans="1:14">
      <c r="A22" s="45" t="s">
        <v>347</v>
      </c>
      <c r="B22" s="46">
        <f t="shared" ref="B22:N22" si="5">B23+B24+B26+B25</f>
        <v>-840000</v>
      </c>
      <c r="C22" s="46">
        <f t="shared" si="5"/>
        <v>-168000</v>
      </c>
      <c r="D22" s="46">
        <f t="shared" si="5"/>
        <v>-168000</v>
      </c>
      <c r="E22" s="46">
        <f t="shared" si="5"/>
        <v>-126000</v>
      </c>
      <c r="F22" s="46">
        <f t="shared" si="5"/>
        <v>-63000</v>
      </c>
      <c r="G22" s="46">
        <f t="shared" si="5"/>
        <v>0</v>
      </c>
      <c r="H22" s="46">
        <f t="shared" si="5"/>
        <v>0</v>
      </c>
      <c r="I22" s="46">
        <f t="shared" si="5"/>
        <v>0</v>
      </c>
      <c r="J22" s="46">
        <f t="shared" si="5"/>
        <v>0</v>
      </c>
      <c r="K22" s="46">
        <f t="shared" si="5"/>
        <v>0</v>
      </c>
      <c r="L22" s="46">
        <f t="shared" si="5"/>
        <v>0</v>
      </c>
      <c r="M22" s="46">
        <f t="shared" si="5"/>
        <v>-105000</v>
      </c>
      <c r="N22" s="46">
        <f t="shared" si="5"/>
        <v>-210000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4" hidden="1">
      <c r="A24" s="1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>
      <c r="A26" s="12" t="s">
        <v>349</v>
      </c>
      <c r="B26" s="46">
        <f>SUM(C26:N26)</f>
        <v>-840000</v>
      </c>
      <c r="C26" s="48">
        <f>-Financing!C18</f>
        <v>-168000</v>
      </c>
      <c r="D26" s="48">
        <f>-Financing!D18</f>
        <v>-168000</v>
      </c>
      <c r="E26" s="48">
        <f>-Financing!E18</f>
        <v>-126000</v>
      </c>
      <c r="F26" s="48">
        <f>-Financing!F18</f>
        <v>-63000</v>
      </c>
      <c r="G26" s="48">
        <f>-Financing!G18</f>
        <v>0</v>
      </c>
      <c r="H26" s="48">
        <f>-Financing!H18</f>
        <v>0</v>
      </c>
      <c r="I26" s="48">
        <f>-Financing!I18</f>
        <v>0</v>
      </c>
      <c r="J26" s="48">
        <f>-Financing!J18</f>
        <v>0</v>
      </c>
      <c r="K26" s="48">
        <f>-Financing!K18</f>
        <v>0</v>
      </c>
      <c r="L26" s="48">
        <f>-Financing!L18</f>
        <v>0</v>
      </c>
      <c r="M26" s="48">
        <f>-Financing!M18</f>
        <v>-105000</v>
      </c>
      <c r="N26" s="48">
        <f>-Financing!N18</f>
        <v>-210000</v>
      </c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6">B21+B22+B27+B28</f>
        <v>2487715.5555555522</v>
      </c>
      <c r="C29" s="44">
        <f t="shared" si="6"/>
        <v>185532.69841269776</v>
      </c>
      <c r="D29" s="44">
        <f t="shared" si="6"/>
        <v>396293.33333333395</v>
      </c>
      <c r="E29" s="44">
        <f t="shared" si="6"/>
        <v>438293.33333333395</v>
      </c>
      <c r="F29" s="44">
        <f t="shared" si="6"/>
        <v>403373.33333333302</v>
      </c>
      <c r="G29" s="44">
        <f t="shared" si="6"/>
        <v>368453.33333333302</v>
      </c>
      <c r="H29" s="44">
        <f t="shared" si="6"/>
        <v>368453.33333333302</v>
      </c>
      <c r="I29" s="44">
        <f t="shared" si="6"/>
        <v>25733.333333333256</v>
      </c>
      <c r="J29" s="44">
        <f t="shared" si="6"/>
        <v>123653.33333333349</v>
      </c>
      <c r="K29" s="44">
        <f t="shared" si="6"/>
        <v>221573.33333333302</v>
      </c>
      <c r="L29" s="44">
        <f t="shared" si="6"/>
        <v>221573.33333333302</v>
      </c>
      <c r="M29" s="44">
        <f t="shared" si="6"/>
        <v>18653.333333333489</v>
      </c>
      <c r="N29" s="44">
        <f t="shared" si="6"/>
        <v>-184266.66666666674</v>
      </c>
    </row>
    <row r="30" spans="1:14">
      <c r="A30" s="45" t="s">
        <v>359</v>
      </c>
      <c r="B30" s="46">
        <f>IF(B29&lt;0,0,-B29*Assumptions!B20)</f>
        <v>-497543.11111111048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1990172.4444444417</v>
      </c>
      <c r="C31" s="44">
        <f t="shared" ref="C31:N31" si="7">C29+C30</f>
        <v>185532.69841269776</v>
      </c>
      <c r="D31" s="44">
        <f t="shared" si="7"/>
        <v>396293.33333333395</v>
      </c>
      <c r="E31" s="44">
        <f t="shared" si="7"/>
        <v>438293.33333333395</v>
      </c>
      <c r="F31" s="44">
        <f t="shared" si="7"/>
        <v>403373.33333333302</v>
      </c>
      <c r="G31" s="44">
        <f t="shared" si="7"/>
        <v>368453.33333333302</v>
      </c>
      <c r="H31" s="44">
        <f t="shared" si="7"/>
        <v>368453.33333333302</v>
      </c>
      <c r="I31" s="44">
        <f t="shared" si="7"/>
        <v>25733.333333333256</v>
      </c>
      <c r="J31" s="44">
        <f t="shared" si="7"/>
        <v>123653.33333333349</v>
      </c>
      <c r="K31" s="44">
        <f t="shared" si="7"/>
        <v>221573.33333333302</v>
      </c>
      <c r="L31" s="44">
        <f t="shared" si="7"/>
        <v>221573.33333333302</v>
      </c>
      <c r="M31" s="44">
        <f t="shared" si="7"/>
        <v>18653.333333333489</v>
      </c>
      <c r="N31" s="44">
        <f t="shared" si="7"/>
        <v>-184266.66666666674</v>
      </c>
    </row>
    <row r="32" spans="1:14">
      <c r="A32" s="26" t="s">
        <v>355</v>
      </c>
      <c r="B32" s="50">
        <f>IF(B31&lt;0,0,-B31*Assumptions!B123)</f>
        <v>-995086.22222222085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8">B31+B32</f>
        <v>995086.22222222085</v>
      </c>
      <c r="C33" s="53">
        <f t="shared" si="8"/>
        <v>185532.69841269776</v>
      </c>
      <c r="D33" s="53">
        <f t="shared" si="8"/>
        <v>396293.33333333395</v>
      </c>
      <c r="E33" s="53">
        <f t="shared" si="8"/>
        <v>438293.33333333395</v>
      </c>
      <c r="F33" s="53">
        <f t="shared" si="8"/>
        <v>403373.33333333302</v>
      </c>
      <c r="G33" s="53">
        <f t="shared" si="8"/>
        <v>368453.33333333302</v>
      </c>
      <c r="H33" s="53">
        <f t="shared" si="8"/>
        <v>368453.33333333302</v>
      </c>
      <c r="I33" s="53">
        <f t="shared" si="8"/>
        <v>25733.333333333256</v>
      </c>
      <c r="J33" s="53">
        <f t="shared" si="8"/>
        <v>123653.33333333349</v>
      </c>
      <c r="K33" s="53">
        <f t="shared" si="8"/>
        <v>221573.33333333302</v>
      </c>
      <c r="L33" s="53">
        <f t="shared" si="8"/>
        <v>221573.33333333302</v>
      </c>
      <c r="M33" s="53">
        <f t="shared" si="8"/>
        <v>18653.333333333489</v>
      </c>
      <c r="N33" s="53">
        <f t="shared" si="8"/>
        <v>-184266.66666666674</v>
      </c>
    </row>
    <row r="34" spans="1:14">
      <c r="B34" s="51"/>
      <c r="C34" s="51"/>
      <c r="D34" s="51"/>
      <c r="E34" s="5"/>
      <c r="F34" s="5"/>
      <c r="G34" s="5"/>
      <c r="H34" s="5"/>
    </row>
    <row r="35" spans="1:14">
      <c r="B35" s="51"/>
      <c r="C35" s="51"/>
      <c r="D35" s="51"/>
      <c r="E35" s="5"/>
      <c r="F35" s="5"/>
      <c r="G35" s="5"/>
      <c r="H35" s="5"/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  <c r="D2" s="5"/>
      <c r="E2" s="75"/>
    </row>
    <row r="3" spans="1:14" ht="21">
      <c r="A3" s="43" t="s">
        <v>360</v>
      </c>
      <c r="B3" s="19" t="s">
        <v>328</v>
      </c>
    </row>
    <row r="4" spans="1:14" ht="21">
      <c r="A4" s="43" t="s">
        <v>329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'P&amp;L SwCo Bad'!B6</f>
        <v>113800000</v>
      </c>
      <c r="C6" s="54">
        <f>'P&amp;L SwCo Bad'!C6</f>
        <v>11380000</v>
      </c>
      <c r="D6" s="54">
        <f>'P&amp;L SwCo Bad'!D6</f>
        <v>15932000.000000002</v>
      </c>
      <c r="E6" s="54">
        <f>'P&amp;L SwCo Bad'!E6</f>
        <v>15932000.000000002</v>
      </c>
      <c r="F6" s="54">
        <f>'P&amp;L SwCo Bad'!F6</f>
        <v>13656000</v>
      </c>
      <c r="G6" s="54">
        <f>'P&amp;L SwCo Bad'!G6</f>
        <v>11380000</v>
      </c>
      <c r="H6" s="54">
        <f>'P&amp;L SwCo Bad'!H6</f>
        <v>11380000</v>
      </c>
      <c r="I6" s="54">
        <f>'P&amp;L SwCo Bad'!I6</f>
        <v>3414000</v>
      </c>
      <c r="J6" s="54">
        <f>'P&amp;L SwCo Bad'!J6</f>
        <v>5690000</v>
      </c>
      <c r="K6" s="54">
        <f>'P&amp;L SwCo Bad'!K6</f>
        <v>7966000.0000000009</v>
      </c>
      <c r="L6" s="54">
        <f>'P&amp;L SwCo Bad'!L6</f>
        <v>7966000.0000000009</v>
      </c>
      <c r="M6" s="54">
        <f>'P&amp;L SwCo Bad'!M6</f>
        <v>5690000</v>
      </c>
      <c r="N6" s="54">
        <f>'P&amp;L SwCo Bad'!N6</f>
        <v>3414000</v>
      </c>
    </row>
    <row r="7" spans="1:14" s="16" customFormat="1">
      <c r="A7" s="26" t="s">
        <v>332</v>
      </c>
      <c r="B7" s="44">
        <f t="shared" ref="B7:N7" si="0">SUM(B8:B15)</f>
        <v>-111939977.11111112</v>
      </c>
      <c r="C7" s="54">
        <f t="shared" si="0"/>
        <v>-11144495.3015873</v>
      </c>
      <c r="D7" s="54">
        <f t="shared" si="0"/>
        <v>-15542761.333333338</v>
      </c>
      <c r="E7" s="54">
        <f t="shared" si="0"/>
        <v>-15546761.333333338</v>
      </c>
      <c r="F7" s="54">
        <f t="shared" si="0"/>
        <v>-13362668</v>
      </c>
      <c r="G7" s="54">
        <f t="shared" si="0"/>
        <v>-11163574.666666666</v>
      </c>
      <c r="H7" s="54">
        <f t="shared" si="0"/>
        <v>-11163574.666666666</v>
      </c>
      <c r="I7" s="54">
        <f t="shared" si="0"/>
        <v>-3461479.2</v>
      </c>
      <c r="J7" s="54">
        <f t="shared" si="0"/>
        <v>-5642635.333333333</v>
      </c>
      <c r="K7" s="54">
        <f t="shared" si="0"/>
        <v>-7850377.4666666687</v>
      </c>
      <c r="L7" s="54">
        <f t="shared" si="0"/>
        <v>-7857205.4666666687</v>
      </c>
      <c r="M7" s="54">
        <f t="shared" si="0"/>
        <v>-5656291.333333333</v>
      </c>
      <c r="N7" s="54">
        <f t="shared" si="0"/>
        <v>-3448549.2</v>
      </c>
    </row>
    <row r="8" spans="1:14" s="32" customFormat="1">
      <c r="A8" s="45" t="s">
        <v>333</v>
      </c>
      <c r="B8" s="46">
        <f>-Purchases!B26</f>
        <v>-87768000</v>
      </c>
      <c r="C8" s="55">
        <f>-Purchases!C26</f>
        <v>-8776800</v>
      </c>
      <c r="D8" s="55">
        <f>-Purchases!D26</f>
        <v>-12287520.000000004</v>
      </c>
      <c r="E8" s="55">
        <f>-Purchases!E26</f>
        <v>-12287520.000000004</v>
      </c>
      <c r="F8" s="55">
        <f>-Purchases!F26</f>
        <v>-10532160</v>
      </c>
      <c r="G8" s="55">
        <f>-Purchases!G26</f>
        <v>-8776800</v>
      </c>
      <c r="H8" s="55">
        <f>-Purchases!H26</f>
        <v>-8776800</v>
      </c>
      <c r="I8" s="55">
        <f>-Purchases!I26</f>
        <v>-2633040</v>
      </c>
      <c r="J8" s="55">
        <f>-Purchases!J26</f>
        <v>-4388400</v>
      </c>
      <c r="K8" s="55">
        <f>-Purchases!K26</f>
        <v>-6143760.0000000019</v>
      </c>
      <c r="L8" s="55">
        <f>-Purchases!L26</f>
        <v>-6143760.0000000019</v>
      </c>
      <c r="M8" s="55">
        <f>-Purchases!M26</f>
        <v>-4388400</v>
      </c>
      <c r="N8" s="55">
        <f>-Purchases!N26</f>
        <v>-2633040</v>
      </c>
    </row>
    <row r="9" spans="1:14">
      <c r="A9" s="45" t="s">
        <v>334</v>
      </c>
      <c r="B9" s="46">
        <f>-Logistics!B7-Logistics!B12-Logistics!B20</f>
        <v>-21954524.444444444</v>
      </c>
      <c r="C9" s="55">
        <f>-Logistics!C7-Logistics!C12-Logistics!C20</f>
        <v>-2198920.6349206348</v>
      </c>
      <c r="D9" s="55">
        <f>-Logistics!D7-Logistics!D12-Logistics!D20</f>
        <v>-3057600.0000000009</v>
      </c>
      <c r="E9" s="55">
        <f>-Logistics!E7-Logistics!E12-Logistics!E20</f>
        <v>-3057600.0000000009</v>
      </c>
      <c r="F9" s="55">
        <f>-Logistics!F7-Logistics!F12-Logistics!F20</f>
        <v>-2620800</v>
      </c>
      <c r="G9" s="55">
        <f>-Logistics!G7-Logistics!G12-Logistics!G20</f>
        <v>-2184000</v>
      </c>
      <c r="H9" s="55">
        <f>-Logistics!H7-Logistics!H12-Logistics!H20</f>
        <v>-2184000</v>
      </c>
      <c r="I9" s="55">
        <f>-Logistics!I7-Logistics!I12-Logistics!I20</f>
        <v>-655200</v>
      </c>
      <c r="J9" s="55">
        <f>-Logistics!J7-Logistics!J12-Logistics!J20</f>
        <v>-1092000</v>
      </c>
      <c r="K9" s="55">
        <f>-Logistics!K7-Logistics!K12-Logistics!K20</f>
        <v>-1528800.0000000005</v>
      </c>
      <c r="L9" s="55">
        <f>-Logistics!L7-Logistics!L12-Logistics!L20</f>
        <v>-1528800.0000000005</v>
      </c>
      <c r="M9" s="55">
        <f>-Logistics!M7-Logistics!M12-Logistics!M20</f>
        <v>-1092000</v>
      </c>
      <c r="N9" s="55">
        <f>-Logistics!N7-Logistics!N12-Logistics!N20</f>
        <v>-655200</v>
      </c>
    </row>
    <row r="10" spans="1:14">
      <c r="A10" s="45" t="s">
        <v>335</v>
      </c>
      <c r="B10" s="46">
        <f>'P&amp;L SwCo Bad'!B10</f>
        <v>-240000</v>
      </c>
      <c r="C10" s="55">
        <f>'P&amp;L SwCo Bad'!C10</f>
        <v>-24000</v>
      </c>
      <c r="D10" s="55">
        <f>'P&amp;L SwCo Bad'!D10</f>
        <v>-33600.000000000007</v>
      </c>
      <c r="E10" s="55">
        <f>'P&amp;L SwCo Bad'!E10</f>
        <v>-33600.000000000007</v>
      </c>
      <c r="F10" s="55">
        <f>'P&amp;L SwCo Bad'!F10</f>
        <v>-28800</v>
      </c>
      <c r="G10" s="55">
        <f>'P&amp;L SwCo Bad'!G10</f>
        <v>-24000</v>
      </c>
      <c r="H10" s="55">
        <f>'P&amp;L SwCo Bad'!H10</f>
        <v>-24000</v>
      </c>
      <c r="I10" s="55">
        <f>'P&amp;L SwCo Bad'!I10</f>
        <v>-7200</v>
      </c>
      <c r="J10" s="55">
        <f>'P&amp;L SwCo Bad'!J10</f>
        <v>-12000</v>
      </c>
      <c r="K10" s="55">
        <f>'P&amp;L SwCo Bad'!K10</f>
        <v>-16800.000000000004</v>
      </c>
      <c r="L10" s="55">
        <f>'P&amp;L SwCo Bad'!L10</f>
        <v>-16800.000000000004</v>
      </c>
      <c r="M10" s="55">
        <f>'P&amp;L SwCo Bad'!M10</f>
        <v>-12000</v>
      </c>
      <c r="N10" s="55">
        <f>'P&amp;L SwCo Bad'!N10</f>
        <v>-7200</v>
      </c>
    </row>
    <row r="11" spans="1:14">
      <c r="A11" s="45" t="s">
        <v>336</v>
      </c>
      <c r="B11" s="46">
        <f>'P&amp;L SwCo Bad'!B11+'P&amp;L ExCo Bad'!B11+'P&amp;L PurCo Bad'!B11</f>
        <v>-1260000</v>
      </c>
      <c r="C11" s="55">
        <f>'P&amp;L SwCo Bad'!C11+'P&amp;L ExCo Bad'!C11+'P&amp;L PurCo Bad'!C11</f>
        <v>-105000</v>
      </c>
      <c r="D11" s="55">
        <f>'P&amp;L SwCo Bad'!D11+'P&amp;L ExCo Bad'!D11+'P&amp;L PurCo Bad'!D11</f>
        <v>-105000</v>
      </c>
      <c r="E11" s="55">
        <f>'P&amp;L SwCo Bad'!E11+'P&amp;L ExCo Bad'!E11+'P&amp;L PurCo Bad'!E11</f>
        <v>-105000</v>
      </c>
      <c r="F11" s="55">
        <f>'P&amp;L SwCo Bad'!F11+'P&amp;L ExCo Bad'!F11+'P&amp;L PurCo Bad'!F11</f>
        <v>-105000</v>
      </c>
      <c r="G11" s="55">
        <f>'P&amp;L SwCo Bad'!G11+'P&amp;L ExCo Bad'!G11+'P&amp;L PurCo Bad'!G11</f>
        <v>-105000</v>
      </c>
      <c r="H11" s="55">
        <f>'P&amp;L SwCo Bad'!H11+'P&amp;L ExCo Bad'!H11+'P&amp;L PurCo Bad'!H11</f>
        <v>-105000</v>
      </c>
      <c r="I11" s="55">
        <f>'P&amp;L SwCo Bad'!I11+'P&amp;L ExCo Bad'!I11+'P&amp;L PurCo Bad'!I11</f>
        <v>-105000</v>
      </c>
      <c r="J11" s="55">
        <f>'P&amp;L SwCo Bad'!J11+'P&amp;L ExCo Bad'!J11+'P&amp;L PurCo Bad'!J11</f>
        <v>-105000</v>
      </c>
      <c r="K11" s="55">
        <f>'P&amp;L SwCo Bad'!K11+'P&amp;L ExCo Bad'!K11+'P&amp;L PurCo Bad'!K11</f>
        <v>-105000</v>
      </c>
      <c r="L11" s="55">
        <f>'P&amp;L SwCo Bad'!L11+'P&amp;L ExCo Bad'!L11+'P&amp;L PurCo Bad'!L11</f>
        <v>-105000</v>
      </c>
      <c r="M11" s="55">
        <f>'P&amp;L SwCo Bad'!M11+'P&amp;L ExCo Bad'!M11+'P&amp;L PurCo Bad'!M11</f>
        <v>-105000</v>
      </c>
      <c r="N11" s="55">
        <f>'P&amp;L SwCo Bad'!N11+'P&amp;L ExCo Bad'!N11+'P&amp;L PurCo Bad'!N11</f>
        <v>-105000</v>
      </c>
    </row>
    <row r="12" spans="1:14">
      <c r="A12" s="45" t="s">
        <v>337</v>
      </c>
      <c r="B12" s="46">
        <f>'P&amp;L SwCo Bad'!B12+'P&amp;L ExCo Bad'!B12+'P&amp;L PurCo Bad'!B12</f>
        <v>-301296</v>
      </c>
      <c r="C12" s="55">
        <f>'P&amp;L SwCo Bad'!C12+'P&amp;L ExCo Bad'!C12+'P&amp;L PurCo Bad'!C12</f>
        <v>-25108</v>
      </c>
      <c r="D12" s="55">
        <f>'P&amp;L SwCo Bad'!D12+'P&amp;L ExCo Bad'!D12+'P&amp;L PurCo Bad'!D12</f>
        <v>-25108</v>
      </c>
      <c r="E12" s="55">
        <f>'P&amp;L SwCo Bad'!E12+'P&amp;L ExCo Bad'!E12+'P&amp;L PurCo Bad'!E12</f>
        <v>-25108</v>
      </c>
      <c r="F12" s="55">
        <f>'P&amp;L SwCo Bad'!F12+'P&amp;L ExCo Bad'!F12+'P&amp;L PurCo Bad'!F12</f>
        <v>-25108</v>
      </c>
      <c r="G12" s="55">
        <f>'P&amp;L SwCo Bad'!G12+'P&amp;L ExCo Bad'!G12+'P&amp;L PurCo Bad'!G12</f>
        <v>-25108</v>
      </c>
      <c r="H12" s="55">
        <f>'P&amp;L SwCo Bad'!H12+'P&amp;L ExCo Bad'!H12+'P&amp;L PurCo Bad'!H12</f>
        <v>-25108</v>
      </c>
      <c r="I12" s="55">
        <f>'P&amp;L SwCo Bad'!I12+'P&amp;L ExCo Bad'!I12+'P&amp;L PurCo Bad'!I12</f>
        <v>-25108</v>
      </c>
      <c r="J12" s="55">
        <f>'P&amp;L SwCo Bad'!J12+'P&amp;L ExCo Bad'!J12+'P&amp;L PurCo Bad'!J12</f>
        <v>-25108</v>
      </c>
      <c r="K12" s="55">
        <f>'P&amp;L SwCo Bad'!K12+'P&amp;L ExCo Bad'!K12+'P&amp;L PurCo Bad'!K12</f>
        <v>-25108</v>
      </c>
      <c r="L12" s="55">
        <f>'P&amp;L SwCo Bad'!L12+'P&amp;L ExCo Bad'!L12+'P&amp;L PurCo Bad'!L12</f>
        <v>-25108</v>
      </c>
      <c r="M12" s="55">
        <f>'P&amp;L SwCo Bad'!M12+'P&amp;L ExCo Bad'!M12+'P&amp;L PurCo Bad'!M12</f>
        <v>-25108</v>
      </c>
      <c r="N12" s="55">
        <f>'P&amp;L SwCo Bad'!N12+'P&amp;L ExCo Bad'!N12+'P&amp;L PurCo Bad'!N12</f>
        <v>-25108</v>
      </c>
    </row>
    <row r="13" spans="1:14">
      <c r="A13" s="45" t="s">
        <v>338</v>
      </c>
      <c r="B13" s="46">
        <f>'P&amp;L SwCo Bad'!B13</f>
        <v>-67312</v>
      </c>
      <c r="C13" s="55">
        <f>'P&amp;L SwCo Bad'!C13</f>
        <v>-4000</v>
      </c>
      <c r="D13" s="55">
        <f>'P&amp;L SwCo Bad'!D13</f>
        <v>-4000</v>
      </c>
      <c r="E13" s="55">
        <f>'P&amp;L SwCo Bad'!E13</f>
        <v>-8000</v>
      </c>
      <c r="F13" s="55">
        <f>'P&amp;L SwCo Bad'!F13</f>
        <v>-8000</v>
      </c>
      <c r="G13" s="55">
        <f>'P&amp;L SwCo Bad'!G13</f>
        <v>-8000</v>
      </c>
      <c r="H13" s="55">
        <f>'P&amp;L SwCo Bad'!H13</f>
        <v>-8000</v>
      </c>
      <c r="I13" s="55">
        <f>'P&amp;L SwCo Bad'!I13</f>
        <v>-2731.2000000000003</v>
      </c>
      <c r="J13" s="55">
        <f>'P&amp;L SwCo Bad'!J13</f>
        <v>-4552</v>
      </c>
      <c r="K13" s="55">
        <f>'P&amp;L SwCo Bad'!K13</f>
        <v>-6372.8000000000011</v>
      </c>
      <c r="L13" s="55">
        <f>'P&amp;L SwCo Bad'!L13</f>
        <v>-6372.8000000000011</v>
      </c>
      <c r="M13" s="55">
        <f>'P&amp;L SwCo Bad'!M13</f>
        <v>-4552</v>
      </c>
      <c r="N13" s="55">
        <f>'P&amp;L SwCo Bad'!N13</f>
        <v>-2731.2000000000003</v>
      </c>
    </row>
    <row r="14" spans="1:14">
      <c r="A14" s="45" t="s">
        <v>339</v>
      </c>
      <c r="B14" s="46">
        <f>'P&amp;L SwCo Bad'!B14</f>
        <v>-348844.66666666663</v>
      </c>
      <c r="C14" s="55">
        <f>'P&amp;L SwCo Bad'!C14</f>
        <v>-10666.666666666668</v>
      </c>
      <c r="D14" s="55">
        <f>'P&amp;L SwCo Bad'!D14</f>
        <v>-29933.333333333336</v>
      </c>
      <c r="E14" s="55">
        <f>'P&amp;L SwCo Bad'!E14</f>
        <v>-29933.333333333336</v>
      </c>
      <c r="F14" s="55">
        <f>'P&amp;L SwCo Bad'!F14</f>
        <v>-42800</v>
      </c>
      <c r="G14" s="55">
        <f>'P&amp;L SwCo Bad'!G14</f>
        <v>-40666.666666666664</v>
      </c>
      <c r="H14" s="55">
        <f>'P&amp;L SwCo Bad'!H14</f>
        <v>-40666.666666666664</v>
      </c>
      <c r="I14" s="55">
        <f>'P&amp;L SwCo Bad'!I14</f>
        <v>-33200</v>
      </c>
      <c r="J14" s="55">
        <f>'P&amp;L SwCo Bad'!J14</f>
        <v>-15575.333333333334</v>
      </c>
      <c r="K14" s="55">
        <f>'P&amp;L SwCo Bad'!K14</f>
        <v>-24536.666666666668</v>
      </c>
      <c r="L14" s="55">
        <f>'P&amp;L SwCo Bad'!L14</f>
        <v>-31364.666666666672</v>
      </c>
      <c r="M14" s="55">
        <f>'P&amp;L SwCo Bad'!M14</f>
        <v>-29231.333333333336</v>
      </c>
      <c r="N14" s="55">
        <f>'P&amp;L SwCo Bad'!N14</f>
        <v>-20270</v>
      </c>
    </row>
    <row r="15" spans="1:14">
      <c r="A15" s="45" t="s">
        <v>340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>
      <c r="A16" s="26" t="s">
        <v>341</v>
      </c>
      <c r="B16" s="44">
        <f t="shared" ref="B16:N16" si="1">B6+B7</f>
        <v>1860022.8888888806</v>
      </c>
      <c r="C16" s="44">
        <f t="shared" si="1"/>
        <v>235504.69841269962</v>
      </c>
      <c r="D16" s="44">
        <f t="shared" si="1"/>
        <v>389238.66666666418</v>
      </c>
      <c r="E16" s="44">
        <f t="shared" si="1"/>
        <v>385238.66666666418</v>
      </c>
      <c r="F16" s="44">
        <f t="shared" si="1"/>
        <v>293332</v>
      </c>
      <c r="G16" s="44">
        <f t="shared" si="1"/>
        <v>216425.33333333395</v>
      </c>
      <c r="H16" s="44">
        <f t="shared" si="1"/>
        <v>216425.33333333395</v>
      </c>
      <c r="I16" s="44">
        <f t="shared" si="1"/>
        <v>-47479.200000000186</v>
      </c>
      <c r="J16" s="44">
        <f t="shared" si="1"/>
        <v>47364.666666666977</v>
      </c>
      <c r="K16" s="44">
        <f t="shared" si="1"/>
        <v>115622.53333333228</v>
      </c>
      <c r="L16" s="44">
        <f t="shared" si="1"/>
        <v>108794.53333333228</v>
      </c>
      <c r="M16" s="44">
        <f t="shared" si="1"/>
        <v>33708.666666666977</v>
      </c>
      <c r="N16" s="44">
        <f t="shared" si="1"/>
        <v>-34549.200000000186</v>
      </c>
    </row>
    <row r="17" spans="1:14">
      <c r="A17" s="45" t="s">
        <v>342</v>
      </c>
      <c r="B17" s="46">
        <f>'P&amp;L SwCo Bad'!B17+'P&amp;L ExCo Bad'!B17+'P&amp;L PurCo Bad'!B17</f>
        <v>-319400</v>
      </c>
      <c r="C17" s="55">
        <f>'P&amp;L SwCo Bad'!C17+'P&amp;L ExCo Bad'!C17+'P&amp;L PurCo Bad'!C17</f>
        <v>-26616.666666666668</v>
      </c>
      <c r="D17" s="55">
        <f>'P&amp;L SwCo Bad'!D17+'P&amp;L ExCo Bad'!D17+'P&amp;L PurCo Bad'!D17</f>
        <v>-26616.666666666668</v>
      </c>
      <c r="E17" s="55">
        <f>'P&amp;L SwCo Bad'!E17+'P&amp;L ExCo Bad'!E17+'P&amp;L PurCo Bad'!E17</f>
        <v>-26616.666666666668</v>
      </c>
      <c r="F17" s="55">
        <f>'P&amp;L SwCo Bad'!F17+'P&amp;L ExCo Bad'!F17+'P&amp;L PurCo Bad'!F17</f>
        <v>-26616.666666666668</v>
      </c>
      <c r="G17" s="55">
        <f>'P&amp;L SwCo Bad'!G17+'P&amp;L ExCo Bad'!G17+'P&amp;L PurCo Bad'!G17</f>
        <v>-26616.666666666668</v>
      </c>
      <c r="H17" s="55">
        <f>'P&amp;L SwCo Bad'!H17+'P&amp;L ExCo Bad'!H17+'P&amp;L PurCo Bad'!H17</f>
        <v>-26616.666666666668</v>
      </c>
      <c r="I17" s="55">
        <f>'P&amp;L SwCo Bad'!I17+'P&amp;L ExCo Bad'!I17+'P&amp;L PurCo Bad'!I17</f>
        <v>-26616.666666666668</v>
      </c>
      <c r="J17" s="55">
        <f>'P&amp;L SwCo Bad'!J17+'P&amp;L ExCo Bad'!J17+'P&amp;L PurCo Bad'!J17</f>
        <v>-26616.666666666668</v>
      </c>
      <c r="K17" s="55">
        <f>'P&amp;L SwCo Bad'!K17+'P&amp;L ExCo Bad'!K17+'P&amp;L PurCo Bad'!K17</f>
        <v>-26616.666666666668</v>
      </c>
      <c r="L17" s="55">
        <f>'P&amp;L SwCo Bad'!L17+'P&amp;L ExCo Bad'!L17+'P&amp;L PurCo Bad'!L17</f>
        <v>-26616.666666666668</v>
      </c>
      <c r="M17" s="55">
        <f>'P&amp;L SwCo Bad'!M17+'P&amp;L ExCo Bad'!M17+'P&amp;L PurCo Bad'!M17</f>
        <v>-26616.666666666668</v>
      </c>
      <c r="N17" s="55">
        <f>'P&amp;L SwCo Bad'!N17+'P&amp;L ExCo Bad'!N17+'P&amp;L PurCo Bad'!N17</f>
        <v>-26616.666666666668</v>
      </c>
    </row>
    <row r="18" spans="1:14">
      <c r="A18" s="45" t="s">
        <v>343</v>
      </c>
      <c r="B18" s="46">
        <f>'P&amp;L SwCo Bad'!B18+'P&amp;L ExCo Bad'!B18+'P&amp;L PurCo Bad'!B18</f>
        <v>-1616640</v>
      </c>
      <c r="C18" s="55">
        <f>'P&amp;L SwCo Bad'!C18+'P&amp;L ExCo Bad'!C18+'P&amp;L PurCo Bad'!C18</f>
        <v>-146720</v>
      </c>
      <c r="D18" s="55">
        <f>'P&amp;L SwCo Bad'!D18+'P&amp;L ExCo Bad'!D18+'P&amp;L PurCo Bad'!D18</f>
        <v>-175520.00000000003</v>
      </c>
      <c r="E18" s="55">
        <f>'P&amp;L SwCo Bad'!E18+'P&amp;L ExCo Bad'!E18+'P&amp;L PurCo Bad'!E18</f>
        <v>-175520.00000000003</v>
      </c>
      <c r="F18" s="55">
        <f>'P&amp;L SwCo Bad'!F18+'P&amp;L ExCo Bad'!F18+'P&amp;L PurCo Bad'!F18</f>
        <v>-161120</v>
      </c>
      <c r="G18" s="55">
        <f>'P&amp;L SwCo Bad'!G18+'P&amp;L ExCo Bad'!G18+'P&amp;L PurCo Bad'!G18</f>
        <v>-146720</v>
      </c>
      <c r="H18" s="55">
        <f>'P&amp;L SwCo Bad'!H18+'P&amp;L ExCo Bad'!H18+'P&amp;L PurCo Bad'!H18</f>
        <v>-146720</v>
      </c>
      <c r="I18" s="55">
        <f>'P&amp;L SwCo Bad'!I18+'P&amp;L ExCo Bad'!I18+'P&amp;L PurCo Bad'!I18</f>
        <v>-96320</v>
      </c>
      <c r="J18" s="55">
        <f>'P&amp;L SwCo Bad'!J18+'P&amp;L ExCo Bad'!J18+'P&amp;L PurCo Bad'!J18</f>
        <v>-110720</v>
      </c>
      <c r="K18" s="55">
        <f>'P&amp;L SwCo Bad'!K18+'P&amp;L ExCo Bad'!K18+'P&amp;L PurCo Bad'!K18</f>
        <v>-125120.00000000001</v>
      </c>
      <c r="L18" s="55">
        <f>'P&amp;L SwCo Bad'!L18+'P&amp;L ExCo Bad'!L18+'P&amp;L PurCo Bad'!L18</f>
        <v>-125120.00000000001</v>
      </c>
      <c r="M18" s="55">
        <f>'P&amp;L SwCo Bad'!M18+'P&amp;L ExCo Bad'!M18+'P&amp;L PurCo Bad'!M18</f>
        <v>-110720</v>
      </c>
      <c r="N18" s="55">
        <f>'P&amp;L SwCo Bad'!N18+'P&amp;L ExCo Bad'!N18+'P&amp;L PurCo Bad'!N18</f>
        <v>-96320</v>
      </c>
    </row>
    <row r="19" spans="1:14">
      <c r="A19" s="45" t="s">
        <v>344</v>
      </c>
      <c r="B19" s="46">
        <f>'P&amp;L SwCo Bad'!B19+'P&amp;L ExCo Bad'!B19+'P&amp;L PurCo Bad'!B19</f>
        <v>-432000</v>
      </c>
      <c r="C19" s="55">
        <f>'P&amp;L SwCo Bad'!C19+'P&amp;L ExCo Bad'!C19+'P&amp;L PurCo Bad'!C19</f>
        <v>-36000</v>
      </c>
      <c r="D19" s="55">
        <f>'P&amp;L SwCo Bad'!D19+'P&amp;L ExCo Bad'!D19+'P&amp;L PurCo Bad'!D19</f>
        <v>-36000</v>
      </c>
      <c r="E19" s="55">
        <f>'P&amp;L SwCo Bad'!E19+'P&amp;L ExCo Bad'!E19+'P&amp;L PurCo Bad'!E19</f>
        <v>-36000</v>
      </c>
      <c r="F19" s="55">
        <f>'P&amp;L SwCo Bad'!F19+'P&amp;L ExCo Bad'!F19+'P&amp;L PurCo Bad'!F19</f>
        <v>-36000</v>
      </c>
      <c r="G19" s="55">
        <f>'P&amp;L SwCo Bad'!G19+'P&amp;L ExCo Bad'!G19+'P&amp;L PurCo Bad'!G19</f>
        <v>-36000</v>
      </c>
      <c r="H19" s="55">
        <f>'P&amp;L SwCo Bad'!H19+'P&amp;L ExCo Bad'!H19+'P&amp;L PurCo Bad'!H19</f>
        <v>-36000</v>
      </c>
      <c r="I19" s="55">
        <f>'P&amp;L SwCo Bad'!I19+'P&amp;L ExCo Bad'!I19+'P&amp;L PurCo Bad'!I19</f>
        <v>-36000</v>
      </c>
      <c r="J19" s="55">
        <f>'P&amp;L SwCo Bad'!J19+'P&amp;L ExCo Bad'!J19+'P&amp;L PurCo Bad'!J19</f>
        <v>-36000</v>
      </c>
      <c r="K19" s="55">
        <f>'P&amp;L SwCo Bad'!K19+'P&amp;L ExCo Bad'!K19+'P&amp;L PurCo Bad'!K19</f>
        <v>-36000</v>
      </c>
      <c r="L19" s="55">
        <f>'P&amp;L SwCo Bad'!L19+'P&amp;L ExCo Bad'!L19+'P&amp;L PurCo Bad'!L19</f>
        <v>-36000</v>
      </c>
      <c r="M19" s="55">
        <f>'P&amp;L SwCo Bad'!M19+'P&amp;L ExCo Bad'!M19+'P&amp;L PurCo Bad'!M19</f>
        <v>-36000</v>
      </c>
      <c r="N19" s="55">
        <f>'P&amp;L SwCo Bad'!N19+'P&amp;L ExCo Bad'!N19+'P&amp;L PurCo Bad'!N19</f>
        <v>-36000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-508017.11111111939</v>
      </c>
      <c r="C21" s="44">
        <f t="shared" ref="C21:N21" si="2">C16+C17+C18+C19+C20</f>
        <v>26168.031746032968</v>
      </c>
      <c r="D21" s="44">
        <f t="shared" si="2"/>
        <v>151101.99999999747</v>
      </c>
      <c r="E21" s="44">
        <f t="shared" si="2"/>
        <v>147101.99999999747</v>
      </c>
      <c r="F21" s="44">
        <f t="shared" si="2"/>
        <v>69595.333333333314</v>
      </c>
      <c r="G21" s="44">
        <f t="shared" si="2"/>
        <v>7088.6666666672972</v>
      </c>
      <c r="H21" s="44">
        <f t="shared" si="2"/>
        <v>7088.6666666672972</v>
      </c>
      <c r="I21" s="44">
        <f t="shared" si="2"/>
        <v>-206415.86666666687</v>
      </c>
      <c r="J21" s="44">
        <f t="shared" si="2"/>
        <v>-125971.99999999969</v>
      </c>
      <c r="K21" s="44">
        <f t="shared" si="2"/>
        <v>-72114.133333334408</v>
      </c>
      <c r="L21" s="44">
        <f t="shared" si="2"/>
        <v>-78942.133333334408</v>
      </c>
      <c r="M21" s="44">
        <f t="shared" si="2"/>
        <v>-139627.99999999971</v>
      </c>
      <c r="N21" s="44">
        <f t="shared" si="2"/>
        <v>-193485.86666666687</v>
      </c>
    </row>
    <row r="22" spans="1:14">
      <c r="A22" s="45" t="s">
        <v>347</v>
      </c>
      <c r="B22" s="46">
        <f t="shared" ref="B22:N22" si="3">B23+B24+B26+B25</f>
        <v>-2650500</v>
      </c>
      <c r="C22" s="46">
        <f t="shared" si="3"/>
        <v>-210000</v>
      </c>
      <c r="D22" s="46">
        <f t="shared" si="3"/>
        <v>-210000</v>
      </c>
      <c r="E22" s="46">
        <f t="shared" si="3"/>
        <v>-210000</v>
      </c>
      <c r="F22" s="46">
        <f t="shared" si="3"/>
        <v>-387000</v>
      </c>
      <c r="G22" s="46">
        <f t="shared" si="3"/>
        <v>-105000</v>
      </c>
      <c r="H22" s="46">
        <f t="shared" si="3"/>
        <v>-126000</v>
      </c>
      <c r="I22" s="46">
        <f t="shared" si="3"/>
        <v>-303000</v>
      </c>
      <c r="J22" s="46">
        <f t="shared" si="3"/>
        <v>-73499.999999999985</v>
      </c>
      <c r="K22" s="46">
        <f t="shared" si="3"/>
        <v>-84000</v>
      </c>
      <c r="L22" s="46">
        <f t="shared" si="3"/>
        <v>-324000</v>
      </c>
      <c r="M22" s="46">
        <f t="shared" si="3"/>
        <v>-168000</v>
      </c>
      <c r="N22" s="46">
        <f t="shared" si="3"/>
        <v>-450000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>
      <c r="A24" s="12"/>
      <c r="B24" s="46">
        <f>'P&amp;L SwCo Bad'!B26</f>
        <v>-480000</v>
      </c>
      <c r="C24" s="55">
        <f>'P&amp;L SwCo Bad'!C26</f>
        <v>0</v>
      </c>
      <c r="D24" s="55">
        <f>'P&amp;L SwCo Bad'!D26</f>
        <v>0</v>
      </c>
      <c r="E24" s="55">
        <f>'P&amp;L SwCo Bad'!E26</f>
        <v>0</v>
      </c>
      <c r="F24" s="55">
        <f>'P&amp;L SwCo Bad'!F26</f>
        <v>-120000</v>
      </c>
      <c r="G24" s="55">
        <f>'P&amp;L SwCo Bad'!G26</f>
        <v>0</v>
      </c>
      <c r="H24" s="55">
        <f>'P&amp;L SwCo Bad'!H26</f>
        <v>0</v>
      </c>
      <c r="I24" s="55">
        <f>'P&amp;L SwCo Bad'!I26</f>
        <v>-120000</v>
      </c>
      <c r="J24" s="55">
        <f>'P&amp;L SwCo Bad'!J26</f>
        <v>0</v>
      </c>
      <c r="K24" s="55">
        <f>'P&amp;L SwCo Bad'!K26</f>
        <v>0</v>
      </c>
      <c r="L24" s="55">
        <f>'P&amp;L SwCo Bad'!L26</f>
        <v>-120000</v>
      </c>
      <c r="M24" s="55">
        <f>'P&amp;L SwCo Bad'!M26</f>
        <v>0</v>
      </c>
      <c r="N24" s="55">
        <f>'P&amp;L SwCo Bad'!N26</f>
        <v>-120000</v>
      </c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>
      <c r="A26" s="12" t="s">
        <v>349</v>
      </c>
      <c r="B26" s="46">
        <f>'P&amp;L SwCo Bad'!B26+'P&amp;L ExCo Bad'!B26+'P&amp;L PurCo Bad'!B26</f>
        <v>-2170500</v>
      </c>
      <c r="C26" s="55">
        <f>'P&amp;L SwCo Bad'!C26+'P&amp;L ExCo Bad'!C26+'P&amp;L PurCo Bad'!C26</f>
        <v>-210000</v>
      </c>
      <c r="D26" s="55">
        <f>'P&amp;L SwCo Bad'!D26+'P&amp;L ExCo Bad'!D26+'P&amp;L PurCo Bad'!D26</f>
        <v>-210000</v>
      </c>
      <c r="E26" s="55">
        <f>'P&amp;L SwCo Bad'!E26+'P&amp;L ExCo Bad'!E26+'P&amp;L PurCo Bad'!E26</f>
        <v>-210000</v>
      </c>
      <c r="F26" s="55">
        <f>'P&amp;L SwCo Bad'!F26+'P&amp;L ExCo Bad'!F26+'P&amp;L PurCo Bad'!F26</f>
        <v>-267000</v>
      </c>
      <c r="G26" s="55">
        <f>'P&amp;L SwCo Bad'!G26+'P&amp;L ExCo Bad'!G26+'P&amp;L PurCo Bad'!G26</f>
        <v>-105000</v>
      </c>
      <c r="H26" s="55">
        <f>'P&amp;L SwCo Bad'!H26+'P&amp;L ExCo Bad'!H26+'P&amp;L PurCo Bad'!H26</f>
        <v>-126000</v>
      </c>
      <c r="I26" s="55">
        <f>'P&amp;L SwCo Bad'!I26+'P&amp;L ExCo Bad'!I26+'P&amp;L PurCo Bad'!I26</f>
        <v>-183000</v>
      </c>
      <c r="J26" s="55">
        <f>'P&amp;L SwCo Bad'!J26+'P&amp;L ExCo Bad'!J26+'P&amp;L PurCo Bad'!J26</f>
        <v>-73499.999999999985</v>
      </c>
      <c r="K26" s="55">
        <f>'P&amp;L SwCo Bad'!K26+'P&amp;L ExCo Bad'!K26+'P&amp;L PurCo Bad'!K26</f>
        <v>-84000</v>
      </c>
      <c r="L26" s="55">
        <f>'P&amp;L SwCo Bad'!L26+'P&amp;L ExCo Bad'!L26+'P&amp;L PurCo Bad'!L26</f>
        <v>-204000</v>
      </c>
      <c r="M26" s="55">
        <f>'P&amp;L SwCo Bad'!M26+'P&amp;L ExCo Bad'!M26+'P&amp;L PurCo Bad'!M26</f>
        <v>-168000</v>
      </c>
      <c r="N26" s="55">
        <f>'P&amp;L SwCo Bad'!N26+'P&amp;L ExCo Bad'!N26+'P&amp;L PurCo Bad'!N26</f>
        <v>-330000</v>
      </c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4">B21+B22+B27+B28</f>
        <v>-3158517.1111111194</v>
      </c>
      <c r="C29" s="44">
        <f t="shared" si="4"/>
        <v>-183831.96825396703</v>
      </c>
      <c r="D29" s="44">
        <f t="shared" si="4"/>
        <v>-58898.000000002532</v>
      </c>
      <c r="E29" s="44">
        <f t="shared" si="4"/>
        <v>-62898.000000002532</v>
      </c>
      <c r="F29" s="44">
        <f t="shared" si="4"/>
        <v>-317404.66666666669</v>
      </c>
      <c r="G29" s="44">
        <f t="shared" si="4"/>
        <v>-97911.333333332703</v>
      </c>
      <c r="H29" s="44">
        <f t="shared" si="4"/>
        <v>-118911.3333333327</v>
      </c>
      <c r="I29" s="44">
        <f t="shared" si="4"/>
        <v>-509415.86666666687</v>
      </c>
      <c r="J29" s="44">
        <f t="shared" si="4"/>
        <v>-199471.99999999968</v>
      </c>
      <c r="K29" s="44">
        <f t="shared" si="4"/>
        <v>-156114.13333333441</v>
      </c>
      <c r="L29" s="44">
        <f t="shared" si="4"/>
        <v>-402942.13333333441</v>
      </c>
      <c r="M29" s="44">
        <f t="shared" si="4"/>
        <v>-307627.99999999971</v>
      </c>
      <c r="N29" s="44">
        <f t="shared" si="4"/>
        <v>-643485.86666666693</v>
      </c>
    </row>
    <row r="30" spans="1:14">
      <c r="A30" s="45" t="s">
        <v>359</v>
      </c>
      <c r="B30" s="46">
        <f>'P&amp;L SwCo Bad'!B30+'P&amp;L ExCo Bad'!B30+'P&amp;L PurCo Bad'!B30</f>
        <v>-63388.294749717272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-3221905.4058608366</v>
      </c>
      <c r="C31" s="44">
        <f t="shared" ref="C31:N31" si="5">C29+C30</f>
        <v>-183831.96825396703</v>
      </c>
      <c r="D31" s="44">
        <f t="shared" si="5"/>
        <v>-58898.000000002532</v>
      </c>
      <c r="E31" s="44">
        <f t="shared" si="5"/>
        <v>-62898.000000002532</v>
      </c>
      <c r="F31" s="44">
        <f t="shared" si="5"/>
        <v>-317404.66666666669</v>
      </c>
      <c r="G31" s="44">
        <f t="shared" si="5"/>
        <v>-97911.333333332703</v>
      </c>
      <c r="H31" s="44">
        <f t="shared" si="5"/>
        <v>-118911.3333333327</v>
      </c>
      <c r="I31" s="44">
        <f t="shared" si="5"/>
        <v>-509415.86666666687</v>
      </c>
      <c r="J31" s="44">
        <f t="shared" si="5"/>
        <v>-199471.99999999968</v>
      </c>
      <c r="K31" s="44">
        <f t="shared" si="5"/>
        <v>-156114.13333333441</v>
      </c>
      <c r="L31" s="44">
        <f t="shared" si="5"/>
        <v>-402942.13333333441</v>
      </c>
      <c r="M31" s="44">
        <f t="shared" si="5"/>
        <v>-307627.99999999971</v>
      </c>
      <c r="N31" s="44">
        <f t="shared" si="5"/>
        <v>-643485.86666666693</v>
      </c>
    </row>
    <row r="32" spans="1:14">
      <c r="A32" s="26" t="s">
        <v>355</v>
      </c>
      <c r="B32" s="50">
        <f>'P&amp;L SwCo Bad'!B32+'P&amp;L ExCo Bad'!B32+'P&amp;L PurCo Bad'!B32</f>
        <v>-78886.222222220895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6">B31+B32</f>
        <v>-3300791.6280830577</v>
      </c>
      <c r="C33" s="53">
        <f t="shared" si="6"/>
        <v>-183831.96825396703</v>
      </c>
      <c r="D33" s="53">
        <f t="shared" si="6"/>
        <v>-58898.000000002532</v>
      </c>
      <c r="E33" s="53">
        <f t="shared" si="6"/>
        <v>-62898.000000002532</v>
      </c>
      <c r="F33" s="53">
        <f t="shared" si="6"/>
        <v>-317404.66666666669</v>
      </c>
      <c r="G33" s="53">
        <f t="shared" si="6"/>
        <v>-97911.333333332703</v>
      </c>
      <c r="H33" s="53">
        <f t="shared" si="6"/>
        <v>-118911.3333333327</v>
      </c>
      <c r="I33" s="53">
        <f t="shared" si="6"/>
        <v>-509415.86666666687</v>
      </c>
      <c r="J33" s="53">
        <f t="shared" si="6"/>
        <v>-199471.99999999968</v>
      </c>
      <c r="K33" s="53">
        <f t="shared" si="6"/>
        <v>-156114.13333333441</v>
      </c>
      <c r="L33" s="53">
        <f t="shared" si="6"/>
        <v>-402942.13333333441</v>
      </c>
      <c r="M33" s="53">
        <f t="shared" si="6"/>
        <v>-307627.99999999971</v>
      </c>
      <c r="N33" s="53">
        <f t="shared" si="6"/>
        <v>-643485.86666666693</v>
      </c>
    </row>
    <row r="34" spans="1:14">
      <c r="B34" s="51"/>
      <c r="C34" s="51"/>
      <c r="D34" s="51"/>
      <c r="E34" s="5"/>
      <c r="F34" s="5"/>
      <c r="G34" s="5"/>
      <c r="H34" s="5"/>
    </row>
    <row r="35" spans="1:14" ht="33.6">
      <c r="A35" s="76" t="s">
        <v>361</v>
      </c>
      <c r="B35" s="54">
        <f>B31-B32-B24</f>
        <v>-2663019.1836386155</v>
      </c>
      <c r="C35" s="51"/>
      <c r="D35" s="51"/>
      <c r="E35" s="5"/>
      <c r="F35" s="5"/>
      <c r="G35" s="5"/>
      <c r="H35" s="5"/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  <c r="D2" s="5"/>
      <c r="E2" s="75"/>
    </row>
    <row r="3" spans="1:14" ht="21">
      <c r="A3" s="43" t="s">
        <v>360</v>
      </c>
      <c r="B3" s="19" t="s">
        <v>328</v>
      </c>
    </row>
    <row r="4" spans="1:14" ht="21">
      <c r="A4" s="43" t="s">
        <v>357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'P&amp;L SwCo Mid'!B6</f>
        <v>116400000</v>
      </c>
      <c r="C6" s="54">
        <f>'P&amp;L SwCo Mid'!C6</f>
        <v>11640000</v>
      </c>
      <c r="D6" s="54">
        <f>'P&amp;L SwCo Mid'!D6</f>
        <v>16296000.000000002</v>
      </c>
      <c r="E6" s="54">
        <f>'P&amp;L SwCo Mid'!E6</f>
        <v>16296000.000000002</v>
      </c>
      <c r="F6" s="54">
        <f>'P&amp;L SwCo Mid'!F6</f>
        <v>13968000</v>
      </c>
      <c r="G6" s="54">
        <f>'P&amp;L SwCo Mid'!G6</f>
        <v>11640000</v>
      </c>
      <c r="H6" s="54">
        <f>'P&amp;L SwCo Mid'!H6</f>
        <v>11640000</v>
      </c>
      <c r="I6" s="54">
        <f>'P&amp;L SwCo Mid'!I6</f>
        <v>3492000</v>
      </c>
      <c r="J6" s="54">
        <f>'P&amp;L SwCo Mid'!J6</f>
        <v>5820000</v>
      </c>
      <c r="K6" s="54">
        <f>'P&amp;L SwCo Mid'!K6</f>
        <v>8148000.0000000009</v>
      </c>
      <c r="L6" s="54">
        <f>'P&amp;L SwCo Mid'!L6</f>
        <v>8148000.0000000009</v>
      </c>
      <c r="M6" s="54">
        <f>'P&amp;L SwCo Mid'!M6</f>
        <v>5820000</v>
      </c>
      <c r="N6" s="54">
        <f>'P&amp;L SwCo Mid'!N6</f>
        <v>3492000</v>
      </c>
    </row>
    <row r="7" spans="1:14" s="16" customFormat="1">
      <c r="A7" s="26" t="s">
        <v>332</v>
      </c>
      <c r="B7" s="44">
        <f t="shared" ref="B7:N7" si="0">SUM(B8:B15)</f>
        <v>-111303976.44444445</v>
      </c>
      <c r="C7" s="54">
        <f t="shared" si="0"/>
        <v>-11077828.634920634</v>
      </c>
      <c r="D7" s="54">
        <f t="shared" si="0"/>
        <v>-15447828.000000004</v>
      </c>
      <c r="E7" s="54">
        <f t="shared" si="0"/>
        <v>-15455828.000000004</v>
      </c>
      <c r="F7" s="54">
        <f t="shared" si="0"/>
        <v>-13285868</v>
      </c>
      <c r="G7" s="54">
        <f t="shared" si="0"/>
        <v>-11100908</v>
      </c>
      <c r="H7" s="54">
        <f t="shared" si="0"/>
        <v>-11100908</v>
      </c>
      <c r="I7" s="54">
        <f t="shared" si="0"/>
        <v>-3443135.2</v>
      </c>
      <c r="J7" s="54">
        <f t="shared" si="0"/>
        <v>-5612296</v>
      </c>
      <c r="K7" s="54">
        <f t="shared" si="0"/>
        <v>-7807964.8000000026</v>
      </c>
      <c r="L7" s="54">
        <f t="shared" si="0"/>
        <v>-7814948.8000000026</v>
      </c>
      <c r="M7" s="54">
        <f t="shared" si="0"/>
        <v>-5626264</v>
      </c>
      <c r="N7" s="54">
        <f t="shared" si="0"/>
        <v>-3430595.2</v>
      </c>
    </row>
    <row r="8" spans="1:14" s="32" customFormat="1">
      <c r="A8" s="45" t="s">
        <v>333</v>
      </c>
      <c r="B8" s="46">
        <f>-Purchases!B27</f>
        <v>-87128000</v>
      </c>
      <c r="C8" s="55">
        <f>-Purchases!C27</f>
        <v>-8712800</v>
      </c>
      <c r="D8" s="55">
        <f>-Purchases!D27</f>
        <v>-12197920.000000004</v>
      </c>
      <c r="E8" s="55">
        <f>-Purchases!E27</f>
        <v>-12197920.000000004</v>
      </c>
      <c r="F8" s="55">
        <f>-Purchases!F27</f>
        <v>-10455360</v>
      </c>
      <c r="G8" s="55">
        <f>-Purchases!G27</f>
        <v>-8712800</v>
      </c>
      <c r="H8" s="55">
        <f>-Purchases!H27</f>
        <v>-8712800</v>
      </c>
      <c r="I8" s="55">
        <f>-Purchases!I27</f>
        <v>-2613840</v>
      </c>
      <c r="J8" s="55">
        <f>-Purchases!J27</f>
        <v>-4356400</v>
      </c>
      <c r="K8" s="55">
        <f>-Purchases!K27</f>
        <v>-6098960.0000000019</v>
      </c>
      <c r="L8" s="55">
        <f>-Purchases!L27</f>
        <v>-6098960.0000000019</v>
      </c>
      <c r="M8" s="55">
        <f>-Purchases!M27</f>
        <v>-4356400</v>
      </c>
      <c r="N8" s="55">
        <f>-Purchases!N27</f>
        <v>-2613840</v>
      </c>
    </row>
    <row r="9" spans="1:14">
      <c r="A9" s="45" t="s">
        <v>334</v>
      </c>
      <c r="B9" s="46">
        <f>-Logistics!B7-Logistics!B12-Logistics!B20</f>
        <v>-21954524.444444444</v>
      </c>
      <c r="C9" s="55">
        <f>-Logistics!C7-Logistics!C12-Logistics!C20</f>
        <v>-2198920.6349206348</v>
      </c>
      <c r="D9" s="55">
        <f>-Logistics!D7-Logistics!D12-Logistics!D20</f>
        <v>-3057600.0000000009</v>
      </c>
      <c r="E9" s="55">
        <f>-Logistics!E7-Logistics!E12-Logistics!E20</f>
        <v>-3057600.0000000009</v>
      </c>
      <c r="F9" s="55">
        <f>-Logistics!F7-Logistics!F12-Logistics!F20</f>
        <v>-2620800</v>
      </c>
      <c r="G9" s="55">
        <f>-Logistics!G7-Logistics!G12-Logistics!G20</f>
        <v>-2184000</v>
      </c>
      <c r="H9" s="55">
        <f>-Logistics!H7-Logistics!H12-Logistics!H20</f>
        <v>-2184000</v>
      </c>
      <c r="I9" s="55">
        <f>-Logistics!I7-Logistics!I12-Logistics!I20</f>
        <v>-655200</v>
      </c>
      <c r="J9" s="55">
        <f>-Logistics!J7-Logistics!J12-Logistics!J20</f>
        <v>-1092000</v>
      </c>
      <c r="K9" s="55">
        <f>-Logistics!K7-Logistics!K12-Logistics!K20</f>
        <v>-1528800.0000000005</v>
      </c>
      <c r="L9" s="55">
        <f>-Logistics!L7-Logistics!L12-Logistics!L20</f>
        <v>-1528800.0000000005</v>
      </c>
      <c r="M9" s="55">
        <f>-Logistics!M7-Logistics!M12-Logistics!M20</f>
        <v>-1092000</v>
      </c>
      <c r="N9" s="55">
        <f>-Logistics!N7-Logistics!N12-Logistics!N20</f>
        <v>-655200</v>
      </c>
    </row>
    <row r="10" spans="1:14">
      <c r="A10" s="45" t="s">
        <v>335</v>
      </c>
      <c r="B10" s="46">
        <f>'P&amp;L SwCo Mid'!B10</f>
        <v>-240000</v>
      </c>
      <c r="C10" s="55">
        <f>'P&amp;L SwCo Mid'!C10</f>
        <v>-24000</v>
      </c>
      <c r="D10" s="55">
        <f>'P&amp;L SwCo Mid'!D10</f>
        <v>-33600.000000000007</v>
      </c>
      <c r="E10" s="55">
        <f>'P&amp;L SwCo Mid'!E10</f>
        <v>-33600.000000000007</v>
      </c>
      <c r="F10" s="55">
        <f>'P&amp;L SwCo Mid'!F10</f>
        <v>-28800</v>
      </c>
      <c r="G10" s="55">
        <f>'P&amp;L SwCo Mid'!G10</f>
        <v>-24000</v>
      </c>
      <c r="H10" s="55">
        <f>'P&amp;L SwCo Mid'!H10</f>
        <v>-24000</v>
      </c>
      <c r="I10" s="55">
        <f>'P&amp;L SwCo Mid'!I10</f>
        <v>-7200</v>
      </c>
      <c r="J10" s="55">
        <f>'P&amp;L SwCo Mid'!J10</f>
        <v>-12000</v>
      </c>
      <c r="K10" s="55">
        <f>'P&amp;L SwCo Mid'!K10</f>
        <v>-16800.000000000004</v>
      </c>
      <c r="L10" s="55">
        <f>'P&amp;L SwCo Mid'!L10</f>
        <v>-16800.000000000004</v>
      </c>
      <c r="M10" s="55">
        <f>'P&amp;L SwCo Mid'!M10</f>
        <v>-12000</v>
      </c>
      <c r="N10" s="55">
        <f>'P&amp;L SwCo Mid'!N10</f>
        <v>-7200</v>
      </c>
    </row>
    <row r="11" spans="1:14">
      <c r="A11" s="45" t="s">
        <v>336</v>
      </c>
      <c r="B11" s="46">
        <f>'P&amp;L SwCo Mid'!B11+'P&amp;L ExCo Mid'!B11+'P&amp;L PurCo Mid'!B11</f>
        <v>-1260000</v>
      </c>
      <c r="C11" s="55">
        <f>'P&amp;L SwCo Mid'!C11+'P&amp;L ExCo Mid'!C11+'P&amp;L PurCo Mid'!C11</f>
        <v>-105000</v>
      </c>
      <c r="D11" s="55">
        <f>'P&amp;L SwCo Mid'!D11+'P&amp;L ExCo Mid'!D11+'P&amp;L PurCo Mid'!D11</f>
        <v>-105000</v>
      </c>
      <c r="E11" s="55">
        <f>'P&amp;L SwCo Mid'!E11+'P&amp;L ExCo Mid'!E11+'P&amp;L PurCo Mid'!E11</f>
        <v>-105000</v>
      </c>
      <c r="F11" s="55">
        <f>'P&amp;L SwCo Mid'!F11+'P&amp;L ExCo Mid'!F11+'P&amp;L PurCo Mid'!F11</f>
        <v>-105000</v>
      </c>
      <c r="G11" s="55">
        <f>'P&amp;L SwCo Mid'!G11+'P&amp;L ExCo Mid'!G11+'P&amp;L PurCo Mid'!G11</f>
        <v>-105000</v>
      </c>
      <c r="H11" s="55">
        <f>'P&amp;L SwCo Mid'!H11+'P&amp;L ExCo Mid'!H11+'P&amp;L PurCo Mid'!H11</f>
        <v>-105000</v>
      </c>
      <c r="I11" s="55">
        <f>'P&amp;L SwCo Mid'!I11+'P&amp;L ExCo Mid'!I11+'P&amp;L PurCo Mid'!I11</f>
        <v>-105000</v>
      </c>
      <c r="J11" s="55">
        <f>'P&amp;L SwCo Mid'!J11+'P&amp;L ExCo Mid'!J11+'P&amp;L PurCo Mid'!J11</f>
        <v>-105000</v>
      </c>
      <c r="K11" s="55">
        <f>'P&amp;L SwCo Mid'!K11+'P&amp;L ExCo Mid'!K11+'P&amp;L PurCo Mid'!K11</f>
        <v>-105000</v>
      </c>
      <c r="L11" s="55">
        <f>'P&amp;L SwCo Mid'!L11+'P&amp;L ExCo Mid'!L11+'P&amp;L PurCo Mid'!L11</f>
        <v>-105000</v>
      </c>
      <c r="M11" s="55">
        <f>'P&amp;L SwCo Mid'!M11+'P&amp;L ExCo Mid'!M11+'P&amp;L PurCo Mid'!M11</f>
        <v>-105000</v>
      </c>
      <c r="N11" s="55">
        <f>'P&amp;L SwCo Mid'!N11+'P&amp;L ExCo Mid'!N11+'P&amp;L PurCo Mid'!N11</f>
        <v>-105000</v>
      </c>
    </row>
    <row r="12" spans="1:14">
      <c r="A12" s="45" t="s">
        <v>337</v>
      </c>
      <c r="B12" s="46">
        <f>'P&amp;L SwCo Mid'!B12+'P&amp;L ExCo Mid'!B12+'P&amp;L PurCo Mid'!B12</f>
        <v>-301296</v>
      </c>
      <c r="C12" s="55">
        <f>'P&amp;L SwCo Mid'!C12+'P&amp;L ExCo Mid'!C12+'P&amp;L PurCo Mid'!C12</f>
        <v>-25108</v>
      </c>
      <c r="D12" s="55">
        <f>'P&amp;L SwCo Mid'!D12+'P&amp;L ExCo Mid'!D12+'P&amp;L PurCo Mid'!D12</f>
        <v>-25108</v>
      </c>
      <c r="E12" s="55">
        <f>'P&amp;L SwCo Mid'!E12+'P&amp;L ExCo Mid'!E12+'P&amp;L PurCo Mid'!E12</f>
        <v>-25108</v>
      </c>
      <c r="F12" s="55">
        <f>'P&amp;L SwCo Mid'!F12+'P&amp;L ExCo Mid'!F12+'P&amp;L PurCo Mid'!F12</f>
        <v>-25108</v>
      </c>
      <c r="G12" s="55">
        <f>'P&amp;L SwCo Mid'!G12+'P&amp;L ExCo Mid'!G12+'P&amp;L PurCo Mid'!G12</f>
        <v>-25108</v>
      </c>
      <c r="H12" s="55">
        <f>'P&amp;L SwCo Mid'!H12+'P&amp;L ExCo Mid'!H12+'P&amp;L PurCo Mid'!H12</f>
        <v>-25108</v>
      </c>
      <c r="I12" s="55">
        <f>'P&amp;L SwCo Mid'!I12+'P&amp;L ExCo Mid'!I12+'P&amp;L PurCo Mid'!I12</f>
        <v>-25108</v>
      </c>
      <c r="J12" s="55">
        <f>'P&amp;L SwCo Mid'!J12+'P&amp;L ExCo Mid'!J12+'P&amp;L PurCo Mid'!J12</f>
        <v>-25108</v>
      </c>
      <c r="K12" s="55">
        <f>'P&amp;L SwCo Mid'!K12+'P&amp;L ExCo Mid'!K12+'P&amp;L PurCo Mid'!K12</f>
        <v>-25108</v>
      </c>
      <c r="L12" s="55">
        <f>'P&amp;L SwCo Mid'!L12+'P&amp;L ExCo Mid'!L12+'P&amp;L PurCo Mid'!L12</f>
        <v>-25108</v>
      </c>
      <c r="M12" s="55">
        <f>'P&amp;L SwCo Mid'!M12+'P&amp;L ExCo Mid'!M12+'P&amp;L PurCo Mid'!M12</f>
        <v>-25108</v>
      </c>
      <c r="N12" s="55">
        <f>'P&amp;L SwCo Mid'!N12+'P&amp;L ExCo Mid'!N12+'P&amp;L PurCo Mid'!N12</f>
        <v>-25108</v>
      </c>
    </row>
    <row r="13" spans="1:14">
      <c r="A13" s="45" t="s">
        <v>338</v>
      </c>
      <c r="B13" s="46">
        <f>'P&amp;L SwCo Mid'!B13</f>
        <v>-67936</v>
      </c>
      <c r="C13" s="55">
        <f>'P&amp;L SwCo Mid'!C13</f>
        <v>-4000</v>
      </c>
      <c r="D13" s="55">
        <f>'P&amp;L SwCo Mid'!D13</f>
        <v>-4000</v>
      </c>
      <c r="E13" s="55">
        <f>'P&amp;L SwCo Mid'!E13</f>
        <v>-8000</v>
      </c>
      <c r="F13" s="55">
        <f>'P&amp;L SwCo Mid'!F13</f>
        <v>-8000</v>
      </c>
      <c r="G13" s="55">
        <f>'P&amp;L SwCo Mid'!G13</f>
        <v>-8000</v>
      </c>
      <c r="H13" s="55">
        <f>'P&amp;L SwCo Mid'!H13</f>
        <v>-8000</v>
      </c>
      <c r="I13" s="55">
        <f>'P&amp;L SwCo Mid'!I13</f>
        <v>-2793.6</v>
      </c>
      <c r="J13" s="55">
        <f>'P&amp;L SwCo Mid'!J13</f>
        <v>-4656</v>
      </c>
      <c r="K13" s="55">
        <f>'P&amp;L SwCo Mid'!K13</f>
        <v>-6518.4000000000015</v>
      </c>
      <c r="L13" s="55">
        <f>'P&amp;L SwCo Mid'!L13</f>
        <v>-6518.4000000000015</v>
      </c>
      <c r="M13" s="55">
        <f>'P&amp;L SwCo Mid'!M13</f>
        <v>-4656</v>
      </c>
      <c r="N13" s="55">
        <f>'P&amp;L SwCo Mid'!N13</f>
        <v>-2793.6</v>
      </c>
    </row>
    <row r="14" spans="1:14">
      <c r="A14" s="45" t="s">
        <v>339</v>
      </c>
      <c r="B14" s="46">
        <f>'P&amp;L SwCo Mid'!B14</f>
        <v>-352220</v>
      </c>
      <c r="C14" s="55">
        <f>'P&amp;L SwCo Mid'!C14</f>
        <v>-8000</v>
      </c>
      <c r="D14" s="55">
        <f>'P&amp;L SwCo Mid'!D14</f>
        <v>-24600</v>
      </c>
      <c r="E14" s="55">
        <f>'P&amp;L SwCo Mid'!E14</f>
        <v>-28600</v>
      </c>
      <c r="F14" s="55">
        <f>'P&amp;L SwCo Mid'!F14</f>
        <v>-42800</v>
      </c>
      <c r="G14" s="55">
        <f>'P&amp;L SwCo Mid'!G14</f>
        <v>-42000</v>
      </c>
      <c r="H14" s="55">
        <f>'P&amp;L SwCo Mid'!H14</f>
        <v>-42000</v>
      </c>
      <c r="I14" s="55">
        <f>'P&amp;L SwCo Mid'!I14</f>
        <v>-33993.600000000006</v>
      </c>
      <c r="J14" s="55">
        <f>'P&amp;L SwCo Mid'!J14</f>
        <v>-17132</v>
      </c>
      <c r="K14" s="55">
        <f>'P&amp;L SwCo Mid'!K14</f>
        <v>-26778.400000000001</v>
      </c>
      <c r="L14" s="55">
        <f>'P&amp;L SwCo Mid'!L14</f>
        <v>-33762.400000000009</v>
      </c>
      <c r="M14" s="55">
        <f>'P&amp;L SwCo Mid'!M14</f>
        <v>-31100.000000000004</v>
      </c>
      <c r="N14" s="55">
        <f>'P&amp;L SwCo Mid'!N14</f>
        <v>-21453.599999999999</v>
      </c>
    </row>
    <row r="15" spans="1:14">
      <c r="A15" s="45" t="s">
        <v>340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>
      <c r="A16" s="26" t="s">
        <v>341</v>
      </c>
      <c r="B16" s="44">
        <f t="shared" ref="B16:N16" si="1">B6+B7</f>
        <v>5096023.5555555522</v>
      </c>
      <c r="C16" s="44">
        <f t="shared" si="1"/>
        <v>562171.36507936567</v>
      </c>
      <c r="D16" s="44">
        <f t="shared" si="1"/>
        <v>848171.99999999814</v>
      </c>
      <c r="E16" s="44">
        <f t="shared" si="1"/>
        <v>840171.99999999814</v>
      </c>
      <c r="F16" s="44">
        <f t="shared" si="1"/>
        <v>682132</v>
      </c>
      <c r="G16" s="44">
        <f t="shared" si="1"/>
        <v>539092</v>
      </c>
      <c r="H16" s="44">
        <f t="shared" si="1"/>
        <v>539092</v>
      </c>
      <c r="I16" s="44">
        <f t="shared" si="1"/>
        <v>48864.799999999814</v>
      </c>
      <c r="J16" s="44">
        <f t="shared" si="1"/>
        <v>207704</v>
      </c>
      <c r="K16" s="44">
        <f t="shared" si="1"/>
        <v>340035.19999999832</v>
      </c>
      <c r="L16" s="44">
        <f t="shared" si="1"/>
        <v>333051.19999999832</v>
      </c>
      <c r="M16" s="44">
        <f t="shared" si="1"/>
        <v>193736</v>
      </c>
      <c r="N16" s="44">
        <f t="shared" si="1"/>
        <v>61404.799999999814</v>
      </c>
    </row>
    <row r="17" spans="1:14">
      <c r="A17" s="45" t="s">
        <v>342</v>
      </c>
      <c r="B17" s="46">
        <f>'P&amp;L SwCo Mid'!B17+'P&amp;L ExCo Mid'!B17+'P&amp;L PurCo Mid'!B17</f>
        <v>-319400</v>
      </c>
      <c r="C17" s="55">
        <f>'P&amp;L SwCo Mid'!C17+'P&amp;L ExCo Mid'!C17+'P&amp;L PurCo Mid'!C17</f>
        <v>-26616.666666666668</v>
      </c>
      <c r="D17" s="55">
        <f>'P&amp;L SwCo Mid'!D17+'P&amp;L ExCo Mid'!D17+'P&amp;L PurCo Mid'!D17</f>
        <v>-26616.666666666668</v>
      </c>
      <c r="E17" s="55">
        <f>'P&amp;L SwCo Mid'!E17+'P&amp;L ExCo Mid'!E17+'P&amp;L PurCo Mid'!E17</f>
        <v>-26616.666666666668</v>
      </c>
      <c r="F17" s="55">
        <f>'P&amp;L SwCo Mid'!F17+'P&amp;L ExCo Mid'!F17+'P&amp;L PurCo Mid'!F17</f>
        <v>-26616.666666666668</v>
      </c>
      <c r="G17" s="55">
        <f>'P&amp;L SwCo Mid'!G17+'P&amp;L ExCo Mid'!G17+'P&amp;L PurCo Mid'!G17</f>
        <v>-26616.666666666668</v>
      </c>
      <c r="H17" s="55">
        <f>'P&amp;L SwCo Mid'!H17+'P&amp;L ExCo Mid'!H17+'P&amp;L PurCo Mid'!H17</f>
        <v>-26616.666666666668</v>
      </c>
      <c r="I17" s="55">
        <f>'P&amp;L SwCo Mid'!I17+'P&amp;L ExCo Mid'!I17+'P&amp;L PurCo Mid'!I17</f>
        <v>-26616.666666666668</v>
      </c>
      <c r="J17" s="55">
        <f>'P&amp;L SwCo Mid'!J17+'P&amp;L ExCo Mid'!J17+'P&amp;L PurCo Mid'!J17</f>
        <v>-26616.666666666668</v>
      </c>
      <c r="K17" s="55">
        <f>'P&amp;L SwCo Mid'!K17+'P&amp;L ExCo Mid'!K17+'P&amp;L PurCo Mid'!K17</f>
        <v>-26616.666666666668</v>
      </c>
      <c r="L17" s="55">
        <f>'P&amp;L SwCo Mid'!L17+'P&amp;L ExCo Mid'!L17+'P&amp;L PurCo Mid'!L17</f>
        <v>-26616.666666666668</v>
      </c>
      <c r="M17" s="55">
        <f>'P&amp;L SwCo Mid'!M17+'P&amp;L ExCo Mid'!M17+'P&amp;L PurCo Mid'!M17</f>
        <v>-26616.666666666668</v>
      </c>
      <c r="N17" s="55">
        <f>'P&amp;L SwCo Mid'!N17+'P&amp;L ExCo Mid'!N17+'P&amp;L PurCo Mid'!N17</f>
        <v>-26616.666666666668</v>
      </c>
    </row>
    <row r="18" spans="1:14">
      <c r="A18" s="45" t="s">
        <v>343</v>
      </c>
      <c r="B18" s="46">
        <f>'P&amp;L SwCo Mid'!B18+'P&amp;L ExCo Mid'!B18+'P&amp;L PurCo Mid'!B18</f>
        <v>-1616000</v>
      </c>
      <c r="C18" s="55">
        <f>'P&amp;L SwCo Mid'!C18+'P&amp;L ExCo Mid'!C18+'P&amp;L PurCo Mid'!C18</f>
        <v>-146666.66666666669</v>
      </c>
      <c r="D18" s="55">
        <f>'P&amp;L SwCo Mid'!D18+'P&amp;L ExCo Mid'!D18+'P&amp;L PurCo Mid'!D18</f>
        <v>-175466.66666666669</v>
      </c>
      <c r="E18" s="55">
        <f>'P&amp;L SwCo Mid'!E18+'P&amp;L ExCo Mid'!E18+'P&amp;L PurCo Mid'!E18</f>
        <v>-175466.66666666669</v>
      </c>
      <c r="F18" s="55">
        <f>'P&amp;L SwCo Mid'!F18+'P&amp;L ExCo Mid'!F18+'P&amp;L PurCo Mid'!F18</f>
        <v>-161066.66666666669</v>
      </c>
      <c r="G18" s="55">
        <f>'P&amp;L SwCo Mid'!G18+'P&amp;L ExCo Mid'!G18+'P&amp;L PurCo Mid'!G18</f>
        <v>-146666.66666666669</v>
      </c>
      <c r="H18" s="55">
        <f>'P&amp;L SwCo Mid'!H18+'P&amp;L ExCo Mid'!H18+'P&amp;L PurCo Mid'!H18</f>
        <v>-146666.66666666669</v>
      </c>
      <c r="I18" s="55">
        <f>'P&amp;L SwCo Mid'!I18+'P&amp;L ExCo Mid'!I18+'P&amp;L PurCo Mid'!I18</f>
        <v>-96266.666666666672</v>
      </c>
      <c r="J18" s="55">
        <f>'P&amp;L SwCo Mid'!J18+'P&amp;L ExCo Mid'!J18+'P&amp;L PurCo Mid'!J18</f>
        <v>-110666.66666666667</v>
      </c>
      <c r="K18" s="55">
        <f>'P&amp;L SwCo Mid'!K18+'P&amp;L ExCo Mid'!K18+'P&amp;L PurCo Mid'!K18</f>
        <v>-125066.66666666669</v>
      </c>
      <c r="L18" s="55">
        <f>'P&amp;L SwCo Mid'!L18+'P&amp;L ExCo Mid'!L18+'P&amp;L PurCo Mid'!L18</f>
        <v>-125066.66666666669</v>
      </c>
      <c r="M18" s="55">
        <f>'P&amp;L SwCo Mid'!M18+'P&amp;L ExCo Mid'!M18+'P&amp;L PurCo Mid'!M18</f>
        <v>-110666.66666666667</v>
      </c>
      <c r="N18" s="55">
        <f>'P&amp;L SwCo Mid'!N18+'P&amp;L ExCo Mid'!N18+'P&amp;L PurCo Mid'!N18</f>
        <v>-96266.666666666672</v>
      </c>
    </row>
    <row r="19" spans="1:14">
      <c r="A19" s="45" t="s">
        <v>344</v>
      </c>
      <c r="B19" s="46">
        <f>'P&amp;L SwCo Mid'!B19+'P&amp;L ExCo Mid'!B19+'P&amp;L PurCo Mid'!B19</f>
        <v>-432000</v>
      </c>
      <c r="C19" s="55">
        <f>'P&amp;L SwCo Mid'!C19+'P&amp;L ExCo Mid'!C19+'P&amp;L PurCo Mid'!C19</f>
        <v>-36000</v>
      </c>
      <c r="D19" s="55">
        <f>'P&amp;L SwCo Mid'!D19+'P&amp;L ExCo Mid'!D19+'P&amp;L PurCo Mid'!D19</f>
        <v>-36000</v>
      </c>
      <c r="E19" s="55">
        <f>'P&amp;L SwCo Mid'!E19+'P&amp;L ExCo Mid'!E19+'P&amp;L PurCo Mid'!E19</f>
        <v>-36000</v>
      </c>
      <c r="F19" s="55">
        <f>'P&amp;L SwCo Mid'!F19+'P&amp;L ExCo Mid'!F19+'P&amp;L PurCo Mid'!F19</f>
        <v>-36000</v>
      </c>
      <c r="G19" s="55">
        <f>'P&amp;L SwCo Mid'!G19+'P&amp;L ExCo Mid'!G19+'P&amp;L PurCo Mid'!G19</f>
        <v>-36000</v>
      </c>
      <c r="H19" s="55">
        <f>'P&amp;L SwCo Mid'!H19+'P&amp;L ExCo Mid'!H19+'P&amp;L PurCo Mid'!H19</f>
        <v>-36000</v>
      </c>
      <c r="I19" s="55">
        <f>'P&amp;L SwCo Mid'!I19+'P&amp;L ExCo Mid'!I19+'P&amp;L PurCo Mid'!I19</f>
        <v>-36000</v>
      </c>
      <c r="J19" s="55">
        <f>'P&amp;L SwCo Mid'!J19+'P&amp;L ExCo Mid'!J19+'P&amp;L PurCo Mid'!J19</f>
        <v>-36000</v>
      </c>
      <c r="K19" s="55">
        <f>'P&amp;L SwCo Mid'!K19+'P&amp;L ExCo Mid'!K19+'P&amp;L PurCo Mid'!K19</f>
        <v>-36000</v>
      </c>
      <c r="L19" s="55">
        <f>'P&amp;L SwCo Mid'!L19+'P&amp;L ExCo Mid'!L19+'P&amp;L PurCo Mid'!L19</f>
        <v>-36000</v>
      </c>
      <c r="M19" s="55">
        <f>'P&amp;L SwCo Mid'!M19+'P&amp;L ExCo Mid'!M19+'P&amp;L PurCo Mid'!M19</f>
        <v>-36000</v>
      </c>
      <c r="N19" s="55">
        <f>'P&amp;L SwCo Mid'!N19+'P&amp;L ExCo Mid'!N19+'P&amp;L PurCo Mid'!N19</f>
        <v>-36000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2728623.5555555522</v>
      </c>
      <c r="C21" s="44">
        <f t="shared" ref="C21:N21" si="2">C16+C17+C18+C19+C20</f>
        <v>352888.03174603236</v>
      </c>
      <c r="D21" s="44">
        <f t="shared" si="2"/>
        <v>610088.66666666488</v>
      </c>
      <c r="E21" s="44">
        <f t="shared" si="2"/>
        <v>602088.66666666488</v>
      </c>
      <c r="F21" s="44">
        <f t="shared" si="2"/>
        <v>458448.66666666669</v>
      </c>
      <c r="G21" s="44">
        <f t="shared" si="2"/>
        <v>329808.66666666663</v>
      </c>
      <c r="H21" s="44">
        <f t="shared" si="2"/>
        <v>329808.66666666663</v>
      </c>
      <c r="I21" s="44">
        <f t="shared" si="2"/>
        <v>-110018.53333333353</v>
      </c>
      <c r="J21" s="44">
        <f t="shared" si="2"/>
        <v>34420.666666666672</v>
      </c>
      <c r="K21" s="44">
        <f t="shared" si="2"/>
        <v>152351.86666666495</v>
      </c>
      <c r="L21" s="44">
        <f t="shared" si="2"/>
        <v>145367.86666666495</v>
      </c>
      <c r="M21" s="44">
        <f t="shared" si="2"/>
        <v>20452.666666666672</v>
      </c>
      <c r="N21" s="44">
        <f t="shared" si="2"/>
        <v>-97478.533333333529</v>
      </c>
    </row>
    <row r="22" spans="1:14">
      <c r="A22" s="45" t="s">
        <v>347</v>
      </c>
      <c r="B22" s="46">
        <f t="shared" ref="B22:N22" si="3">B23+B24+B26+B25</f>
        <v>-2220000</v>
      </c>
      <c r="C22" s="46">
        <f t="shared" si="3"/>
        <v>-168000</v>
      </c>
      <c r="D22" s="46">
        <f t="shared" si="3"/>
        <v>-168000</v>
      </c>
      <c r="E22" s="46">
        <f t="shared" si="3"/>
        <v>-146999.99999999997</v>
      </c>
      <c r="F22" s="46">
        <f t="shared" si="3"/>
        <v>-345000</v>
      </c>
      <c r="G22" s="46">
        <f t="shared" si="3"/>
        <v>-63000</v>
      </c>
      <c r="H22" s="46">
        <f t="shared" si="3"/>
        <v>-84000</v>
      </c>
      <c r="I22" s="46">
        <f t="shared" si="3"/>
        <v>-282000</v>
      </c>
      <c r="J22" s="46">
        <f t="shared" si="3"/>
        <v>-42000</v>
      </c>
      <c r="K22" s="46">
        <f t="shared" si="3"/>
        <v>-63000</v>
      </c>
      <c r="L22" s="46">
        <f t="shared" si="3"/>
        <v>-303000</v>
      </c>
      <c r="M22" s="46">
        <f t="shared" si="3"/>
        <v>-105000</v>
      </c>
      <c r="N22" s="46">
        <f t="shared" si="3"/>
        <v>-450000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>
      <c r="A24" s="12"/>
      <c r="B24" s="46">
        <f>'P&amp;L SwCo Bad'!B26</f>
        <v>-480000</v>
      </c>
      <c r="C24" s="55">
        <f>'P&amp;L SwCo Bad'!C26</f>
        <v>0</v>
      </c>
      <c r="D24" s="55">
        <f>'P&amp;L SwCo Bad'!D26</f>
        <v>0</v>
      </c>
      <c r="E24" s="55">
        <f>'P&amp;L SwCo Bad'!E26</f>
        <v>0</v>
      </c>
      <c r="F24" s="55">
        <f>'P&amp;L SwCo Bad'!F26</f>
        <v>-120000</v>
      </c>
      <c r="G24" s="55">
        <f>'P&amp;L SwCo Bad'!G26</f>
        <v>0</v>
      </c>
      <c r="H24" s="55">
        <f>'P&amp;L SwCo Bad'!H26</f>
        <v>0</v>
      </c>
      <c r="I24" s="55">
        <f>'P&amp;L SwCo Bad'!I26</f>
        <v>-120000</v>
      </c>
      <c r="J24" s="55">
        <f>'P&amp;L SwCo Bad'!J26</f>
        <v>0</v>
      </c>
      <c r="K24" s="55">
        <f>'P&amp;L SwCo Bad'!K26</f>
        <v>0</v>
      </c>
      <c r="L24" s="55">
        <f>'P&amp;L SwCo Bad'!L26</f>
        <v>-120000</v>
      </c>
      <c r="M24" s="55">
        <f>'P&amp;L SwCo Bad'!M26</f>
        <v>0</v>
      </c>
      <c r="N24" s="55">
        <f>'P&amp;L SwCo Bad'!N26</f>
        <v>-120000</v>
      </c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>
      <c r="A26" s="12" t="s">
        <v>349</v>
      </c>
      <c r="B26" s="46">
        <f>'P&amp;L SwCo Mid'!B26+'P&amp;L ExCo Mid'!B26+'P&amp;L PurCo Mid'!B26</f>
        <v>-1740000</v>
      </c>
      <c r="C26" s="55">
        <f>'P&amp;L SwCo Mid'!C26+'P&amp;L ExCo Mid'!C26+'P&amp;L PurCo Mid'!C26</f>
        <v>-168000</v>
      </c>
      <c r="D26" s="55">
        <f>'P&amp;L SwCo Mid'!D26+'P&amp;L ExCo Mid'!D26+'P&amp;L PurCo Mid'!D26</f>
        <v>-168000</v>
      </c>
      <c r="E26" s="55">
        <f>'P&amp;L SwCo Mid'!E26+'P&amp;L ExCo Mid'!E26+'P&amp;L PurCo Mid'!E26</f>
        <v>-146999.99999999997</v>
      </c>
      <c r="F26" s="55">
        <f>'P&amp;L SwCo Mid'!F26+'P&amp;L ExCo Mid'!F26+'P&amp;L PurCo Mid'!F26</f>
        <v>-225000</v>
      </c>
      <c r="G26" s="55">
        <f>'P&amp;L SwCo Mid'!G26+'P&amp;L ExCo Mid'!G26+'P&amp;L PurCo Mid'!G26</f>
        <v>-63000</v>
      </c>
      <c r="H26" s="55">
        <f>'P&amp;L SwCo Mid'!H26+'P&amp;L ExCo Mid'!H26+'P&amp;L PurCo Mid'!H26</f>
        <v>-84000</v>
      </c>
      <c r="I26" s="55">
        <f>'P&amp;L SwCo Mid'!I26+'P&amp;L ExCo Mid'!I26+'P&amp;L PurCo Mid'!I26</f>
        <v>-162000</v>
      </c>
      <c r="J26" s="55">
        <f>'P&amp;L SwCo Mid'!J26+'P&amp;L ExCo Mid'!J26+'P&amp;L PurCo Mid'!J26</f>
        <v>-42000</v>
      </c>
      <c r="K26" s="55">
        <f>'P&amp;L SwCo Mid'!K26+'P&amp;L ExCo Mid'!K26+'P&amp;L PurCo Mid'!K26</f>
        <v>-63000</v>
      </c>
      <c r="L26" s="55">
        <f>'P&amp;L SwCo Mid'!L26+'P&amp;L ExCo Mid'!L26+'P&amp;L PurCo Mid'!L26</f>
        <v>-183000</v>
      </c>
      <c r="M26" s="55">
        <f>'P&amp;L SwCo Mid'!M26+'P&amp;L ExCo Mid'!M26+'P&amp;L PurCo Mid'!M26</f>
        <v>-105000</v>
      </c>
      <c r="N26" s="55">
        <f>'P&amp;L SwCo Mid'!N26+'P&amp;L ExCo Mid'!N26+'P&amp;L PurCo Mid'!N26</f>
        <v>-330000</v>
      </c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4">B21+B22+B27+B28</f>
        <v>508623.55555555224</v>
      </c>
      <c r="C29" s="44">
        <f t="shared" si="4"/>
        <v>184888.03174603236</v>
      </c>
      <c r="D29" s="44">
        <f t="shared" si="4"/>
        <v>442088.66666666488</v>
      </c>
      <c r="E29" s="44">
        <f t="shared" si="4"/>
        <v>455088.66666666488</v>
      </c>
      <c r="F29" s="44">
        <f t="shared" si="4"/>
        <v>113448.66666666669</v>
      </c>
      <c r="G29" s="44">
        <f t="shared" si="4"/>
        <v>266808.66666666663</v>
      </c>
      <c r="H29" s="44">
        <f t="shared" si="4"/>
        <v>245808.66666666663</v>
      </c>
      <c r="I29" s="44">
        <f t="shared" si="4"/>
        <v>-392018.53333333356</v>
      </c>
      <c r="J29" s="44">
        <f t="shared" si="4"/>
        <v>-7579.3333333333285</v>
      </c>
      <c r="K29" s="44">
        <f t="shared" si="4"/>
        <v>89351.866666664951</v>
      </c>
      <c r="L29" s="44">
        <f t="shared" si="4"/>
        <v>-157632.13333333505</v>
      </c>
      <c r="M29" s="44">
        <f t="shared" si="4"/>
        <v>-84547.333333333328</v>
      </c>
      <c r="N29" s="44">
        <f t="shared" si="4"/>
        <v>-547478.53333333356</v>
      </c>
    </row>
    <row r="30" spans="1:14">
      <c r="A30" s="45" t="s">
        <v>359</v>
      </c>
      <c r="B30" s="46">
        <f>'P&amp;L SwCo Mid'!B30+'P&amp;L ExCo Mid'!B30+'P&amp;L PurCo Mid'!B30</f>
        <v>-444342.71474971727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64280.840805834974</v>
      </c>
      <c r="C31" s="44">
        <f t="shared" ref="C31:N31" si="5">C29+C30</f>
        <v>184888.03174603236</v>
      </c>
      <c r="D31" s="44">
        <f t="shared" si="5"/>
        <v>442088.66666666488</v>
      </c>
      <c r="E31" s="44">
        <f t="shared" si="5"/>
        <v>455088.66666666488</v>
      </c>
      <c r="F31" s="44">
        <f t="shared" si="5"/>
        <v>113448.66666666669</v>
      </c>
      <c r="G31" s="44">
        <f t="shared" si="5"/>
        <v>266808.66666666663</v>
      </c>
      <c r="H31" s="44">
        <f t="shared" si="5"/>
        <v>245808.66666666663</v>
      </c>
      <c r="I31" s="44">
        <f t="shared" si="5"/>
        <v>-392018.53333333356</v>
      </c>
      <c r="J31" s="44">
        <f t="shared" si="5"/>
        <v>-7579.3333333333285</v>
      </c>
      <c r="K31" s="44">
        <f t="shared" si="5"/>
        <v>89351.866666664951</v>
      </c>
      <c r="L31" s="44">
        <f t="shared" si="5"/>
        <v>-157632.13333333505</v>
      </c>
      <c r="M31" s="44">
        <f t="shared" si="5"/>
        <v>-84547.333333333328</v>
      </c>
      <c r="N31" s="44">
        <f t="shared" si="5"/>
        <v>-547478.53333333356</v>
      </c>
    </row>
    <row r="32" spans="1:14">
      <c r="A32" s="26" t="s">
        <v>355</v>
      </c>
      <c r="B32" s="50">
        <f>'P&amp;L SwCo Mid'!B32+'P&amp;L ExCo Mid'!B32+'P&amp;L PurCo Mid'!B32</f>
        <v>-1121140.4204029175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6">B31+B32</f>
        <v>-1056859.5795970825</v>
      </c>
      <c r="C33" s="53">
        <f t="shared" si="6"/>
        <v>184888.03174603236</v>
      </c>
      <c r="D33" s="53">
        <f t="shared" si="6"/>
        <v>442088.66666666488</v>
      </c>
      <c r="E33" s="53">
        <f t="shared" si="6"/>
        <v>455088.66666666488</v>
      </c>
      <c r="F33" s="53">
        <f t="shared" si="6"/>
        <v>113448.66666666669</v>
      </c>
      <c r="G33" s="53">
        <f t="shared" si="6"/>
        <v>266808.66666666663</v>
      </c>
      <c r="H33" s="53">
        <f t="shared" si="6"/>
        <v>245808.66666666663</v>
      </c>
      <c r="I33" s="53">
        <f t="shared" si="6"/>
        <v>-392018.53333333356</v>
      </c>
      <c r="J33" s="53">
        <f t="shared" si="6"/>
        <v>-7579.3333333333285</v>
      </c>
      <c r="K33" s="53">
        <f t="shared" si="6"/>
        <v>89351.866666664951</v>
      </c>
      <c r="L33" s="53">
        <f t="shared" si="6"/>
        <v>-157632.13333333505</v>
      </c>
      <c r="M33" s="53">
        <f t="shared" si="6"/>
        <v>-84547.333333333328</v>
      </c>
      <c r="N33" s="53">
        <f t="shared" si="6"/>
        <v>-547478.53333333356</v>
      </c>
    </row>
    <row r="34" spans="1:14">
      <c r="B34" s="51"/>
      <c r="C34" s="51"/>
      <c r="D34" s="51"/>
      <c r="E34" s="5"/>
      <c r="F34" s="5"/>
      <c r="G34" s="5"/>
      <c r="H34" s="5"/>
    </row>
    <row r="35" spans="1:14" ht="33.6">
      <c r="A35" s="76" t="s">
        <v>361</v>
      </c>
      <c r="B35" s="54">
        <f>B31-B32-B24</f>
        <v>1665421.2612087526</v>
      </c>
      <c r="C35" s="51"/>
      <c r="D35" s="51"/>
      <c r="E35" s="5"/>
      <c r="F35" s="5"/>
      <c r="G35" s="5"/>
      <c r="H35" s="5"/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/>
  </sheetViews>
  <sheetFormatPr defaultRowHeight="14.4"/>
  <cols>
    <col min="1" max="1" width="60.33203125" style="4" customWidth="1"/>
    <col min="2" max="2" width="14.21875" style="4" bestFit="1" customWidth="1"/>
    <col min="3" max="3" width="12.77734375" style="4" customWidth="1"/>
    <col min="4" max="15" width="11.77734375" style="4" customWidth="1"/>
    <col min="16" max="16384" width="8.88671875" style="4"/>
  </cols>
  <sheetData>
    <row r="1" spans="1:15" ht="18">
      <c r="A1" s="20" t="s">
        <v>56</v>
      </c>
    </row>
    <row r="2" spans="1:15" ht="18">
      <c r="A2" s="20"/>
    </row>
    <row r="3" spans="1:15" ht="18">
      <c r="A3" s="35" t="s">
        <v>57</v>
      </c>
      <c r="C3" s="1" t="s">
        <v>17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</row>
    <row r="4" spans="1:15">
      <c r="A4" s="32" t="s">
        <v>2</v>
      </c>
      <c r="B4" s="17">
        <v>31</v>
      </c>
      <c r="C4" s="17">
        <f>B4</f>
        <v>31</v>
      </c>
      <c r="D4" s="17">
        <f t="shared" ref="D4:O4" si="0">C4</f>
        <v>31</v>
      </c>
      <c r="E4" s="17">
        <f t="shared" si="0"/>
        <v>31</v>
      </c>
      <c r="F4" s="17">
        <f t="shared" si="0"/>
        <v>31</v>
      </c>
      <c r="G4" s="17">
        <f t="shared" si="0"/>
        <v>31</v>
      </c>
      <c r="H4" s="17">
        <f t="shared" si="0"/>
        <v>31</v>
      </c>
      <c r="I4" s="17">
        <f t="shared" si="0"/>
        <v>31</v>
      </c>
      <c r="J4" s="17">
        <f t="shared" si="0"/>
        <v>31</v>
      </c>
      <c r="K4" s="17">
        <f t="shared" si="0"/>
        <v>31</v>
      </c>
      <c r="L4" s="17">
        <f t="shared" si="0"/>
        <v>31</v>
      </c>
      <c r="M4" s="17">
        <f t="shared" si="0"/>
        <v>31</v>
      </c>
      <c r="N4" s="17">
        <f t="shared" si="0"/>
        <v>31</v>
      </c>
      <c r="O4" s="17">
        <f t="shared" si="0"/>
        <v>31</v>
      </c>
    </row>
    <row r="5" spans="1:15">
      <c r="A5" s="32" t="s">
        <v>3</v>
      </c>
      <c r="B5" s="38">
        <v>1.0537000000000001</v>
      </c>
      <c r="C5" s="38">
        <f>B5</f>
        <v>1.0537000000000001</v>
      </c>
      <c r="D5" s="38">
        <f t="shared" ref="D5:O5" si="1">C5</f>
        <v>1.0537000000000001</v>
      </c>
      <c r="E5" s="38">
        <f t="shared" si="1"/>
        <v>1.0537000000000001</v>
      </c>
      <c r="F5" s="38">
        <f t="shared" si="1"/>
        <v>1.0537000000000001</v>
      </c>
      <c r="G5" s="38">
        <f t="shared" si="1"/>
        <v>1.0537000000000001</v>
      </c>
      <c r="H5" s="38">
        <f t="shared" si="1"/>
        <v>1.0537000000000001</v>
      </c>
      <c r="I5" s="38">
        <f t="shared" si="1"/>
        <v>1.0537000000000001</v>
      </c>
      <c r="J5" s="38">
        <f t="shared" si="1"/>
        <v>1.0537000000000001</v>
      </c>
      <c r="K5" s="38">
        <f t="shared" si="1"/>
        <v>1.0537000000000001</v>
      </c>
      <c r="L5" s="38">
        <f t="shared" si="1"/>
        <v>1.0537000000000001</v>
      </c>
      <c r="M5" s="38">
        <f t="shared" si="1"/>
        <v>1.0537000000000001</v>
      </c>
      <c r="N5" s="38">
        <f t="shared" si="1"/>
        <v>1.0537000000000001</v>
      </c>
      <c r="O5" s="38">
        <f t="shared" si="1"/>
        <v>1.0537000000000001</v>
      </c>
    </row>
    <row r="6" spans="1:15">
      <c r="A6" s="32" t="s">
        <v>58</v>
      </c>
      <c r="B6" s="34">
        <v>7.0000000000000007E-2</v>
      </c>
    </row>
    <row r="7" spans="1:15" s="32" customFormat="1">
      <c r="A7" s="32" t="s">
        <v>59</v>
      </c>
      <c r="B7" s="37">
        <v>2.5000000000000001E-2</v>
      </c>
    </row>
    <row r="8" spans="1:15" s="32" customFormat="1">
      <c r="B8" s="33"/>
    </row>
    <row r="9" spans="1:15" ht="18">
      <c r="A9" s="26" t="s">
        <v>60</v>
      </c>
    </row>
    <row r="10" spans="1:15">
      <c r="A10" s="13" t="s">
        <v>61</v>
      </c>
    </row>
    <row r="11" spans="1:15">
      <c r="A11" s="4" t="s">
        <v>62</v>
      </c>
      <c r="B11" s="10">
        <v>0.1915</v>
      </c>
      <c r="C11" s="10"/>
    </row>
    <row r="12" spans="1:15">
      <c r="A12" s="4" t="s">
        <v>63</v>
      </c>
      <c r="B12" s="10">
        <v>0.34210000000000002</v>
      </c>
      <c r="C12" s="10"/>
    </row>
    <row r="13" spans="1:15">
      <c r="A13" s="4" t="s">
        <v>64</v>
      </c>
      <c r="B13" s="10">
        <v>5.0000000000000001E-3</v>
      </c>
      <c r="C13" s="130"/>
    </row>
    <row r="14" spans="1:15">
      <c r="A14" s="13" t="s">
        <v>65</v>
      </c>
      <c r="B14" s="10"/>
      <c r="C14" s="10"/>
    </row>
    <row r="15" spans="1:15">
      <c r="A15" s="4" t="s">
        <v>62</v>
      </c>
      <c r="B15" s="10">
        <v>0.26</v>
      </c>
      <c r="C15" s="10"/>
    </row>
    <row r="16" spans="1:15">
      <c r="A16" s="4" t="s">
        <v>63</v>
      </c>
      <c r="B16" s="10">
        <v>0.13</v>
      </c>
      <c r="C16" s="10"/>
      <c r="D16" s="11"/>
    </row>
    <row r="17" spans="1:15">
      <c r="A17" s="13" t="s">
        <v>66</v>
      </c>
      <c r="B17" s="10"/>
      <c r="C17" s="10"/>
      <c r="D17" s="11"/>
    </row>
    <row r="18" spans="1:15">
      <c r="A18" s="4" t="s">
        <v>67</v>
      </c>
      <c r="B18" s="11">
        <v>0.1</v>
      </c>
    </row>
    <row r="19" spans="1:15">
      <c r="A19" s="4" t="s">
        <v>68</v>
      </c>
      <c r="B19" s="11">
        <v>0.18</v>
      </c>
    </row>
    <row r="20" spans="1:15">
      <c r="A20" s="4" t="s">
        <v>69</v>
      </c>
      <c r="B20" s="11">
        <v>0.2</v>
      </c>
    </row>
    <row r="21" spans="1:15">
      <c r="A21" s="4" t="s">
        <v>70</v>
      </c>
      <c r="B21" s="10">
        <v>0.115</v>
      </c>
    </row>
    <row r="22" spans="1:15">
      <c r="A22" s="4" t="s">
        <v>71</v>
      </c>
      <c r="B22" s="11">
        <v>0</v>
      </c>
    </row>
    <row r="23" spans="1:15">
      <c r="A23" s="4" t="s">
        <v>72</v>
      </c>
      <c r="B23" s="11">
        <v>0.1</v>
      </c>
    </row>
    <row r="25" spans="1:15" ht="18">
      <c r="A25" s="26" t="s">
        <v>73</v>
      </c>
      <c r="C25" s="1" t="s">
        <v>75</v>
      </c>
      <c r="D25" s="1" t="s">
        <v>129</v>
      </c>
      <c r="E25" s="1" t="s">
        <v>130</v>
      </c>
      <c r="F25" s="1" t="s">
        <v>131</v>
      </c>
      <c r="G25" s="1" t="s">
        <v>132</v>
      </c>
      <c r="H25" s="1" t="s">
        <v>133</v>
      </c>
      <c r="I25" s="1" t="s">
        <v>134</v>
      </c>
      <c r="J25" s="1" t="s">
        <v>135</v>
      </c>
      <c r="K25" s="1" t="s">
        <v>136</v>
      </c>
      <c r="L25" s="1" t="s">
        <v>137</v>
      </c>
      <c r="M25" s="1" t="s">
        <v>138</v>
      </c>
      <c r="N25" s="1" t="s">
        <v>139</v>
      </c>
      <c r="O25" s="1" t="s">
        <v>140</v>
      </c>
    </row>
    <row r="26" spans="1:15" ht="15" thickBot="1">
      <c r="A26" s="4" t="s">
        <v>74</v>
      </c>
      <c r="C26" s="15">
        <f>SUM(D26:O26)</f>
        <v>1.0000000000000002</v>
      </c>
      <c r="D26" s="14">
        <v>0.1</v>
      </c>
      <c r="E26" s="14">
        <v>0.14000000000000001</v>
      </c>
      <c r="F26" s="14">
        <v>0.14000000000000001</v>
      </c>
      <c r="G26" s="14">
        <v>0.12</v>
      </c>
      <c r="H26" s="14">
        <v>0.1</v>
      </c>
      <c r="I26" s="14">
        <v>0.1</v>
      </c>
      <c r="J26" s="14">
        <v>0.03</v>
      </c>
      <c r="K26" s="14">
        <v>0.05</v>
      </c>
      <c r="L26" s="14">
        <v>7.0000000000000007E-2</v>
      </c>
      <c r="M26" s="14">
        <v>7.0000000000000007E-2</v>
      </c>
      <c r="N26" s="14">
        <v>0.05</v>
      </c>
      <c r="O26" s="14">
        <v>0.03</v>
      </c>
    </row>
    <row r="27" spans="1:15" ht="15" thickBot="1">
      <c r="A27" s="4" t="s">
        <v>76</v>
      </c>
      <c r="B27" s="31">
        <v>400000</v>
      </c>
      <c r="C27" s="5">
        <f>B27</f>
        <v>400000</v>
      </c>
      <c r="D27" s="5">
        <f t="shared" ref="D27:O27" si="2">D26*$B$27</f>
        <v>40000</v>
      </c>
      <c r="E27" s="5">
        <f t="shared" si="2"/>
        <v>56000.000000000007</v>
      </c>
      <c r="F27" s="5">
        <f t="shared" si="2"/>
        <v>56000.000000000007</v>
      </c>
      <c r="G27" s="5">
        <f t="shared" si="2"/>
        <v>48000</v>
      </c>
      <c r="H27" s="5">
        <f t="shared" si="2"/>
        <v>40000</v>
      </c>
      <c r="I27" s="5">
        <f t="shared" si="2"/>
        <v>40000</v>
      </c>
      <c r="J27" s="5">
        <f t="shared" si="2"/>
        <v>12000</v>
      </c>
      <c r="K27" s="5">
        <f t="shared" si="2"/>
        <v>20000</v>
      </c>
      <c r="L27" s="5">
        <f t="shared" si="2"/>
        <v>28000.000000000004</v>
      </c>
      <c r="M27" s="5">
        <f t="shared" si="2"/>
        <v>28000.000000000004</v>
      </c>
      <c r="N27" s="5">
        <f t="shared" si="2"/>
        <v>20000</v>
      </c>
      <c r="O27" s="5">
        <f t="shared" si="2"/>
        <v>12000</v>
      </c>
    </row>
    <row r="28" spans="1:15" ht="15.6">
      <c r="A28" s="16" t="s">
        <v>77</v>
      </c>
      <c r="C28" s="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13" t="s">
        <v>78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4" t="s">
        <v>79</v>
      </c>
      <c r="B30" s="11">
        <v>0.2</v>
      </c>
      <c r="C30" s="5">
        <f>B30*$B$27</f>
        <v>80000</v>
      </c>
      <c r="D30" s="5">
        <f>$B$30*D27</f>
        <v>8000</v>
      </c>
      <c r="E30" s="5">
        <f t="shared" ref="E30:O30" si="3">$B$30*E27</f>
        <v>11200.000000000002</v>
      </c>
      <c r="F30" s="5">
        <f t="shared" si="3"/>
        <v>11200.000000000002</v>
      </c>
      <c r="G30" s="5">
        <f t="shared" si="3"/>
        <v>9600</v>
      </c>
      <c r="H30" s="5">
        <f t="shared" si="3"/>
        <v>8000</v>
      </c>
      <c r="I30" s="5">
        <f t="shared" si="3"/>
        <v>8000</v>
      </c>
      <c r="J30" s="5">
        <f t="shared" si="3"/>
        <v>2400</v>
      </c>
      <c r="K30" s="5">
        <f t="shared" si="3"/>
        <v>4000</v>
      </c>
      <c r="L30" s="5">
        <f t="shared" si="3"/>
        <v>5600.0000000000009</v>
      </c>
      <c r="M30" s="5">
        <f t="shared" si="3"/>
        <v>5600.0000000000009</v>
      </c>
      <c r="N30" s="5">
        <f t="shared" si="3"/>
        <v>4000</v>
      </c>
      <c r="O30" s="5">
        <f t="shared" si="3"/>
        <v>2400</v>
      </c>
    </row>
    <row r="31" spans="1:15">
      <c r="A31" s="4" t="s">
        <v>80</v>
      </c>
      <c r="B31" s="11">
        <v>0.8</v>
      </c>
      <c r="C31" s="5">
        <f>B31*$B$27</f>
        <v>320000</v>
      </c>
      <c r="D31" s="5">
        <f>$B$31*D27</f>
        <v>32000</v>
      </c>
      <c r="E31" s="5">
        <f t="shared" ref="E31:O31" si="4">$B$31*E27</f>
        <v>44800.000000000007</v>
      </c>
      <c r="F31" s="5">
        <f t="shared" si="4"/>
        <v>44800.000000000007</v>
      </c>
      <c r="G31" s="5">
        <f t="shared" si="4"/>
        <v>38400</v>
      </c>
      <c r="H31" s="5">
        <f t="shared" si="4"/>
        <v>32000</v>
      </c>
      <c r="I31" s="5">
        <f t="shared" si="4"/>
        <v>32000</v>
      </c>
      <c r="J31" s="5">
        <f t="shared" si="4"/>
        <v>9600</v>
      </c>
      <c r="K31" s="5">
        <f t="shared" si="4"/>
        <v>16000</v>
      </c>
      <c r="L31" s="5">
        <f t="shared" si="4"/>
        <v>22400.000000000004</v>
      </c>
      <c r="M31" s="5">
        <f t="shared" si="4"/>
        <v>22400.000000000004</v>
      </c>
      <c r="N31" s="5">
        <f t="shared" si="4"/>
        <v>16000</v>
      </c>
      <c r="O31" s="5">
        <f t="shared" si="4"/>
        <v>9600</v>
      </c>
    </row>
    <row r="32" spans="1:15">
      <c r="A32" s="13" t="s">
        <v>81</v>
      </c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4" t="s">
        <v>82</v>
      </c>
      <c r="B33" s="11">
        <v>0.1</v>
      </c>
      <c r="C33" s="5">
        <f>$B$33*C31</f>
        <v>32000</v>
      </c>
      <c r="D33" s="5">
        <f t="shared" ref="D33:O33" si="5">$B$33*D31</f>
        <v>3200</v>
      </c>
      <c r="E33" s="5">
        <f t="shared" si="5"/>
        <v>4480.0000000000009</v>
      </c>
      <c r="F33" s="5">
        <f t="shared" si="5"/>
        <v>4480.0000000000009</v>
      </c>
      <c r="G33" s="5">
        <f t="shared" si="5"/>
        <v>3840</v>
      </c>
      <c r="H33" s="5">
        <f t="shared" si="5"/>
        <v>3200</v>
      </c>
      <c r="I33" s="5">
        <f t="shared" si="5"/>
        <v>3200</v>
      </c>
      <c r="J33" s="5">
        <f t="shared" si="5"/>
        <v>960</v>
      </c>
      <c r="K33" s="5">
        <f t="shared" si="5"/>
        <v>1600</v>
      </c>
      <c r="L33" s="5">
        <f t="shared" si="5"/>
        <v>2240.0000000000005</v>
      </c>
      <c r="M33" s="5">
        <f t="shared" si="5"/>
        <v>2240.0000000000005</v>
      </c>
      <c r="N33" s="5">
        <f t="shared" si="5"/>
        <v>1600</v>
      </c>
      <c r="O33" s="5">
        <f t="shared" si="5"/>
        <v>960</v>
      </c>
    </row>
    <row r="34" spans="1:15">
      <c r="A34" s="4" t="s">
        <v>83</v>
      </c>
      <c r="B34" s="11">
        <v>0.9</v>
      </c>
      <c r="C34" s="5">
        <f>$B$34*C31</f>
        <v>288000</v>
      </c>
      <c r="D34" s="5">
        <f t="shared" ref="D34:O34" si="6">$B$34*D31</f>
        <v>28800</v>
      </c>
      <c r="E34" s="5">
        <f t="shared" si="6"/>
        <v>40320.000000000007</v>
      </c>
      <c r="F34" s="5">
        <f t="shared" si="6"/>
        <v>40320.000000000007</v>
      </c>
      <c r="G34" s="5">
        <f t="shared" si="6"/>
        <v>34560</v>
      </c>
      <c r="H34" s="5">
        <f t="shared" si="6"/>
        <v>28800</v>
      </c>
      <c r="I34" s="5">
        <f t="shared" si="6"/>
        <v>28800</v>
      </c>
      <c r="J34" s="5">
        <f t="shared" si="6"/>
        <v>8640</v>
      </c>
      <c r="K34" s="5">
        <f t="shared" si="6"/>
        <v>14400</v>
      </c>
      <c r="L34" s="5">
        <f t="shared" si="6"/>
        <v>20160.000000000004</v>
      </c>
      <c r="M34" s="5">
        <f t="shared" si="6"/>
        <v>20160.000000000004</v>
      </c>
      <c r="N34" s="5">
        <f t="shared" si="6"/>
        <v>14400</v>
      </c>
      <c r="O34" s="5">
        <f t="shared" si="6"/>
        <v>8640</v>
      </c>
    </row>
    <row r="35" spans="1:15">
      <c r="A35" s="13" t="s">
        <v>84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4" t="s">
        <v>85</v>
      </c>
      <c r="B36" s="11">
        <v>0.7</v>
      </c>
      <c r="C36" s="5">
        <f>$B$36*C34</f>
        <v>201600</v>
      </c>
      <c r="D36" s="5">
        <f t="shared" ref="D36:O36" si="7">$B$36*D34</f>
        <v>20160</v>
      </c>
      <c r="E36" s="5">
        <f t="shared" si="7"/>
        <v>28224.000000000004</v>
      </c>
      <c r="F36" s="5">
        <f t="shared" si="7"/>
        <v>28224.000000000004</v>
      </c>
      <c r="G36" s="5">
        <f t="shared" si="7"/>
        <v>24192</v>
      </c>
      <c r="H36" s="5">
        <f t="shared" si="7"/>
        <v>20160</v>
      </c>
      <c r="I36" s="5">
        <f t="shared" si="7"/>
        <v>20160</v>
      </c>
      <c r="J36" s="5">
        <f t="shared" si="7"/>
        <v>6048</v>
      </c>
      <c r="K36" s="5">
        <f t="shared" si="7"/>
        <v>10080</v>
      </c>
      <c r="L36" s="5">
        <f t="shared" si="7"/>
        <v>14112.000000000002</v>
      </c>
      <c r="M36" s="5">
        <f t="shared" si="7"/>
        <v>14112.000000000002</v>
      </c>
      <c r="N36" s="5">
        <f t="shared" si="7"/>
        <v>10080</v>
      </c>
      <c r="O36" s="5">
        <f t="shared" si="7"/>
        <v>6048</v>
      </c>
    </row>
    <row r="37" spans="1:15">
      <c r="A37" s="4" t="s">
        <v>86</v>
      </c>
      <c r="B37" s="11">
        <v>0.3</v>
      </c>
      <c r="C37" s="5">
        <f>$B$37*C34</f>
        <v>86400</v>
      </c>
      <c r="D37" s="5">
        <f t="shared" ref="D37:O37" si="8">$B$37*D34</f>
        <v>8640</v>
      </c>
      <c r="E37" s="5">
        <f t="shared" si="8"/>
        <v>12096.000000000002</v>
      </c>
      <c r="F37" s="5">
        <f t="shared" si="8"/>
        <v>12096.000000000002</v>
      </c>
      <c r="G37" s="5">
        <f t="shared" si="8"/>
        <v>10368</v>
      </c>
      <c r="H37" s="5">
        <f t="shared" si="8"/>
        <v>8640</v>
      </c>
      <c r="I37" s="5">
        <f t="shared" si="8"/>
        <v>8640</v>
      </c>
      <c r="J37" s="5">
        <f t="shared" si="8"/>
        <v>2592</v>
      </c>
      <c r="K37" s="5">
        <f t="shared" si="8"/>
        <v>4320</v>
      </c>
      <c r="L37" s="5">
        <f t="shared" si="8"/>
        <v>6048.0000000000009</v>
      </c>
      <c r="M37" s="5">
        <f t="shared" si="8"/>
        <v>6048.0000000000009</v>
      </c>
      <c r="N37" s="5">
        <f t="shared" si="8"/>
        <v>4320</v>
      </c>
      <c r="O37" s="5">
        <f t="shared" si="8"/>
        <v>2592</v>
      </c>
    </row>
    <row r="38" spans="1:15" ht="15.6">
      <c r="A38" s="16" t="s">
        <v>87</v>
      </c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13" t="s">
        <v>78</v>
      </c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4" t="s">
        <v>89</v>
      </c>
      <c r="B40" s="11">
        <v>0.5</v>
      </c>
      <c r="C40" s="5">
        <f>$B$40*B27</f>
        <v>200000</v>
      </c>
      <c r="D40" s="5">
        <f t="shared" ref="D40:O40" si="9">$B$40*D27</f>
        <v>20000</v>
      </c>
      <c r="E40" s="5">
        <f t="shared" si="9"/>
        <v>28000.000000000004</v>
      </c>
      <c r="F40" s="5">
        <f t="shared" si="9"/>
        <v>28000.000000000004</v>
      </c>
      <c r="G40" s="5">
        <f t="shared" si="9"/>
        <v>24000</v>
      </c>
      <c r="H40" s="5">
        <f t="shared" si="9"/>
        <v>20000</v>
      </c>
      <c r="I40" s="5">
        <f t="shared" si="9"/>
        <v>20000</v>
      </c>
      <c r="J40" s="5">
        <f t="shared" si="9"/>
        <v>6000</v>
      </c>
      <c r="K40" s="5">
        <f t="shared" si="9"/>
        <v>10000</v>
      </c>
      <c r="L40" s="5">
        <f t="shared" si="9"/>
        <v>14000.000000000002</v>
      </c>
      <c r="M40" s="5">
        <f t="shared" si="9"/>
        <v>14000.000000000002</v>
      </c>
      <c r="N40" s="5">
        <f t="shared" si="9"/>
        <v>10000</v>
      </c>
      <c r="O40" s="5">
        <f t="shared" si="9"/>
        <v>6000</v>
      </c>
    </row>
    <row r="41" spans="1:15">
      <c r="A41" s="4" t="s">
        <v>88</v>
      </c>
      <c r="B41" s="11">
        <v>0.5</v>
      </c>
      <c r="C41" s="5">
        <f>$B$41*B27</f>
        <v>200000</v>
      </c>
      <c r="D41" s="5">
        <f t="shared" ref="D41:O41" si="10">$B$41*D27</f>
        <v>20000</v>
      </c>
      <c r="E41" s="5">
        <f t="shared" si="10"/>
        <v>28000.000000000004</v>
      </c>
      <c r="F41" s="5">
        <f t="shared" si="10"/>
        <v>28000.000000000004</v>
      </c>
      <c r="G41" s="5">
        <f t="shared" si="10"/>
        <v>24000</v>
      </c>
      <c r="H41" s="5">
        <f t="shared" si="10"/>
        <v>20000</v>
      </c>
      <c r="I41" s="5">
        <f t="shared" si="10"/>
        <v>20000</v>
      </c>
      <c r="J41" s="5">
        <f t="shared" si="10"/>
        <v>6000</v>
      </c>
      <c r="K41" s="5">
        <f t="shared" si="10"/>
        <v>10000</v>
      </c>
      <c r="L41" s="5">
        <f t="shared" si="10"/>
        <v>14000.000000000002</v>
      </c>
      <c r="M41" s="5">
        <f t="shared" si="10"/>
        <v>14000.000000000002</v>
      </c>
      <c r="N41" s="5">
        <f t="shared" si="10"/>
        <v>10000</v>
      </c>
      <c r="O41" s="5">
        <f t="shared" si="10"/>
        <v>6000</v>
      </c>
    </row>
    <row r="42" spans="1:15">
      <c r="A42" s="13" t="s">
        <v>90</v>
      </c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4" t="s">
        <v>91</v>
      </c>
      <c r="B43" s="57">
        <v>10000</v>
      </c>
      <c r="C43" s="59">
        <f>C40/$B$43</f>
        <v>20</v>
      </c>
      <c r="D43" s="59">
        <f t="shared" ref="D43:O43" si="11">D40/$B$43</f>
        <v>2</v>
      </c>
      <c r="E43" s="59">
        <f t="shared" si="11"/>
        <v>2.8000000000000003</v>
      </c>
      <c r="F43" s="59">
        <f t="shared" si="11"/>
        <v>2.8000000000000003</v>
      </c>
      <c r="G43" s="59">
        <f t="shared" si="11"/>
        <v>2.4</v>
      </c>
      <c r="H43" s="59">
        <f t="shared" si="11"/>
        <v>2</v>
      </c>
      <c r="I43" s="59">
        <f t="shared" si="11"/>
        <v>2</v>
      </c>
      <c r="J43" s="59">
        <f t="shared" si="11"/>
        <v>0.6</v>
      </c>
      <c r="K43" s="59">
        <f t="shared" si="11"/>
        <v>1</v>
      </c>
      <c r="L43" s="59">
        <f t="shared" si="11"/>
        <v>1.4000000000000001</v>
      </c>
      <c r="M43" s="59">
        <f t="shared" si="11"/>
        <v>1.4000000000000001</v>
      </c>
      <c r="N43" s="59">
        <f t="shared" si="11"/>
        <v>1</v>
      </c>
      <c r="O43" s="59">
        <f t="shared" si="11"/>
        <v>0.6</v>
      </c>
    </row>
    <row r="44" spans="1:15" ht="15" thickBot="1">
      <c r="A44" s="4" t="s">
        <v>92</v>
      </c>
      <c r="B44" s="57">
        <v>3000</v>
      </c>
      <c r="C44" s="5">
        <f>C41/$B$44</f>
        <v>66.666666666666671</v>
      </c>
      <c r="D44" s="5">
        <f t="shared" ref="D44:O44" si="12">D41/$B$44</f>
        <v>6.666666666666667</v>
      </c>
      <c r="E44" s="5">
        <f t="shared" si="12"/>
        <v>9.3333333333333339</v>
      </c>
      <c r="F44" s="5">
        <f t="shared" si="12"/>
        <v>9.3333333333333339</v>
      </c>
      <c r="G44" s="5">
        <f t="shared" si="12"/>
        <v>8</v>
      </c>
      <c r="H44" s="5">
        <f t="shared" si="12"/>
        <v>6.666666666666667</v>
      </c>
      <c r="I44" s="5">
        <f t="shared" si="12"/>
        <v>6.666666666666667</v>
      </c>
      <c r="J44" s="5">
        <f t="shared" si="12"/>
        <v>2</v>
      </c>
      <c r="K44" s="5">
        <f t="shared" si="12"/>
        <v>3.3333333333333335</v>
      </c>
      <c r="L44" s="5">
        <f t="shared" si="12"/>
        <v>4.666666666666667</v>
      </c>
      <c r="M44" s="5">
        <f t="shared" si="12"/>
        <v>4.666666666666667</v>
      </c>
      <c r="N44" s="5">
        <f t="shared" si="12"/>
        <v>3.3333333333333335</v>
      </c>
      <c r="O44" s="5">
        <f t="shared" si="12"/>
        <v>2</v>
      </c>
    </row>
    <row r="45" spans="1:15" ht="29.4" thickBot="1">
      <c r="A45" s="2" t="s">
        <v>93</v>
      </c>
      <c r="B45" s="62">
        <f>D27</f>
        <v>40000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5" thickBot="1">
      <c r="A46" s="2" t="s">
        <v>94</v>
      </c>
      <c r="B46" s="62">
        <f>Logistics!C24</f>
        <v>10158.730158730159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28.8">
      <c r="A47" s="2" t="s">
        <v>95</v>
      </c>
      <c r="B47" s="63">
        <v>0.5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2" t="s">
        <v>96</v>
      </c>
      <c r="B48" s="64">
        <v>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5" thickBot="1">
      <c r="B49" s="5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C50" s="143" t="s">
        <v>97</v>
      </c>
      <c r="D50" s="144"/>
      <c r="E50" s="14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8">
      <c r="A51" s="26" t="s">
        <v>101</v>
      </c>
      <c r="C51" s="134" t="s">
        <v>98</v>
      </c>
      <c r="D51" s="135" t="s">
        <v>99</v>
      </c>
      <c r="E51" s="136" t="s">
        <v>100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4" t="s">
        <v>102</v>
      </c>
      <c r="C52" s="68"/>
      <c r="D52" s="67">
        <v>270</v>
      </c>
      <c r="E52" s="69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4" t="s">
        <v>103</v>
      </c>
      <c r="C53" s="68"/>
      <c r="D53" s="67">
        <v>255</v>
      </c>
      <c r="E53" s="69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4" t="s">
        <v>104</v>
      </c>
      <c r="C54" s="68"/>
      <c r="D54" s="67">
        <v>16</v>
      </c>
      <c r="E54" s="69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4" t="s">
        <v>105</v>
      </c>
      <c r="C55" s="68"/>
      <c r="D55" s="67">
        <v>20</v>
      </c>
      <c r="E55" s="69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2" t="s">
        <v>106</v>
      </c>
      <c r="C56" s="68"/>
      <c r="D56" s="67">
        <v>28</v>
      </c>
      <c r="E56" s="69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2" t="s">
        <v>107</v>
      </c>
      <c r="C57" s="68"/>
      <c r="D57" s="67">
        <v>17</v>
      </c>
      <c r="E57" s="69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4" t="s">
        <v>111</v>
      </c>
      <c r="C58" s="68"/>
      <c r="D58" s="67">
        <v>6500</v>
      </c>
      <c r="E58" s="69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4" t="s">
        <v>112</v>
      </c>
      <c r="C59" s="68"/>
      <c r="D59" s="67">
        <v>5600</v>
      </c>
      <c r="E59" s="69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4" t="s">
        <v>108</v>
      </c>
      <c r="C60" s="68"/>
      <c r="D60" s="67">
        <v>15</v>
      </c>
      <c r="E60" s="69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4" t="s">
        <v>109</v>
      </c>
      <c r="C61" s="68"/>
      <c r="D61" s="67">
        <v>40</v>
      </c>
      <c r="E61" s="69"/>
      <c r="F61" s="5"/>
      <c r="G61" s="5"/>
      <c r="H61" s="5"/>
    </row>
    <row r="62" spans="1:15">
      <c r="C62" s="70"/>
      <c r="D62" s="67"/>
      <c r="E62" s="69"/>
      <c r="F62" s="5"/>
      <c r="G62" s="5"/>
      <c r="H62" s="5"/>
    </row>
    <row r="63" spans="1:15">
      <c r="A63" s="4" t="s">
        <v>110</v>
      </c>
      <c r="C63" s="68">
        <v>10</v>
      </c>
      <c r="D63" s="67">
        <v>12</v>
      </c>
      <c r="E63" s="71">
        <v>15</v>
      </c>
      <c r="F63" s="5"/>
      <c r="G63" s="5"/>
      <c r="H63" s="5"/>
    </row>
    <row r="64" spans="1:15">
      <c r="A64" s="4" t="s">
        <v>113</v>
      </c>
      <c r="C64" s="70">
        <f>($D$53-$D$60-$D$57-C63)*$B$4</f>
        <v>6603</v>
      </c>
      <c r="D64" s="67">
        <f>($D$53-$D$60-$D$57-D63)*$B$4</f>
        <v>6541</v>
      </c>
      <c r="E64" s="71">
        <f>($D$53-$D$60-$D$57-E63)*$B$4</f>
        <v>6448</v>
      </c>
      <c r="G64" s="5"/>
      <c r="H64" s="5"/>
    </row>
    <row r="65" spans="1:8">
      <c r="A65" s="4" t="s">
        <v>114</v>
      </c>
      <c r="C65" s="70">
        <f>($D$53-$D$57-$D$61-C63)*$B$4</f>
        <v>5828</v>
      </c>
      <c r="D65" s="67">
        <f>($D$53-$D$57-$D$61-D63)*$B$4</f>
        <v>5766</v>
      </c>
      <c r="E65" s="71">
        <f>($D$53-$D$57-$D$61-E63)*$B$4</f>
        <v>5673</v>
      </c>
      <c r="F65" s="5"/>
      <c r="G65" s="5"/>
      <c r="H65" s="5"/>
    </row>
    <row r="66" spans="1:8">
      <c r="A66" s="4" t="s">
        <v>115</v>
      </c>
      <c r="C66" s="68">
        <v>3</v>
      </c>
      <c r="D66" s="67">
        <v>5</v>
      </c>
      <c r="E66" s="71">
        <v>7</v>
      </c>
      <c r="F66" s="5"/>
      <c r="G66" s="5"/>
      <c r="H66" s="5"/>
    </row>
    <row r="67" spans="1:8">
      <c r="A67" s="4" t="s">
        <v>116</v>
      </c>
      <c r="C67" s="70">
        <f>$D$52-C66-$D$56</f>
        <v>239</v>
      </c>
      <c r="D67" s="67">
        <f>$D$52-D66-$D$56</f>
        <v>237</v>
      </c>
      <c r="E67" s="71">
        <f>$D$52-E66-$D$56</f>
        <v>235</v>
      </c>
      <c r="F67" s="5"/>
      <c r="G67" s="5"/>
      <c r="H67" s="5"/>
    </row>
    <row r="68" spans="1:8">
      <c r="A68" s="4" t="s">
        <v>117</v>
      </c>
      <c r="C68" s="70">
        <f>$D$53-$D$57-C66</f>
        <v>235</v>
      </c>
      <c r="D68" s="67">
        <f>$D$53-$D$57-D66</f>
        <v>233</v>
      </c>
      <c r="E68" s="71">
        <f>$D$53-$D$57-E66</f>
        <v>231</v>
      </c>
      <c r="F68" s="5"/>
      <c r="G68" s="5"/>
      <c r="H68" s="5"/>
    </row>
    <row r="69" spans="1:8">
      <c r="A69" s="4" t="s">
        <v>118</v>
      </c>
      <c r="C69" s="68">
        <v>3</v>
      </c>
      <c r="D69" s="67">
        <v>9</v>
      </c>
      <c r="E69" s="71">
        <v>15</v>
      </c>
      <c r="F69" s="5"/>
      <c r="G69" s="5"/>
      <c r="H69" s="5"/>
    </row>
    <row r="70" spans="1:8">
      <c r="A70" s="4" t="s">
        <v>119</v>
      </c>
      <c r="C70" s="68">
        <v>5</v>
      </c>
      <c r="D70" s="67">
        <v>12</v>
      </c>
      <c r="E70" s="71">
        <v>15</v>
      </c>
      <c r="F70" s="5"/>
      <c r="G70" s="5"/>
      <c r="H70" s="5"/>
    </row>
    <row r="71" spans="1:8">
      <c r="A71" s="4" t="s">
        <v>120</v>
      </c>
      <c r="C71" s="70">
        <f>$D$52+$D$54+C69</f>
        <v>289</v>
      </c>
      <c r="D71" s="67">
        <f t="shared" ref="D71:E71" si="13">$D$52+$D$54+D69</f>
        <v>295</v>
      </c>
      <c r="E71" s="71">
        <f t="shared" si="13"/>
        <v>301</v>
      </c>
      <c r="F71" s="5"/>
      <c r="G71" s="5"/>
      <c r="H71" s="5"/>
    </row>
    <row r="72" spans="1:8">
      <c r="A72" s="4" t="s">
        <v>121</v>
      </c>
      <c r="C72" s="70">
        <f>$D$53+$D$55+C70</f>
        <v>280</v>
      </c>
      <c r="D72" s="67">
        <f t="shared" ref="D72:E72" si="14">$D$53+$D$55+D70</f>
        <v>287</v>
      </c>
      <c r="E72" s="71">
        <f t="shared" si="14"/>
        <v>290</v>
      </c>
      <c r="F72" s="5"/>
      <c r="G72" s="5"/>
      <c r="H72" s="5"/>
    </row>
    <row r="73" spans="1:8">
      <c r="A73" s="2" t="s">
        <v>122</v>
      </c>
      <c r="C73" s="68">
        <f>(D52-D56)*B40+(D53-D57)*B41</f>
        <v>240</v>
      </c>
      <c r="D73" s="67">
        <f>C73</f>
        <v>240</v>
      </c>
      <c r="E73" s="71">
        <f>D73</f>
        <v>240</v>
      </c>
      <c r="F73" s="5"/>
      <c r="G73" s="5"/>
      <c r="H73" s="5"/>
    </row>
    <row r="74" spans="1:8" ht="15" thickBot="1">
      <c r="A74" s="2" t="s">
        <v>123</v>
      </c>
      <c r="C74" s="72">
        <f>D52*B40+D53*B41</f>
        <v>262.5</v>
      </c>
      <c r="D74" s="73">
        <f>C74</f>
        <v>262.5</v>
      </c>
      <c r="E74" s="74">
        <f>D74</f>
        <v>262.5</v>
      </c>
      <c r="F74" s="5"/>
      <c r="G74" s="5"/>
      <c r="H74" s="5"/>
    </row>
    <row r="75" spans="1:8">
      <c r="A75" s="2" t="s">
        <v>124</v>
      </c>
      <c r="B75" s="11">
        <v>0.1</v>
      </c>
      <c r="C75" s="5"/>
      <c r="D75" s="5"/>
      <c r="E75" s="5"/>
      <c r="F75" s="5"/>
      <c r="G75" s="5"/>
      <c r="H75" s="5"/>
    </row>
    <row r="76" spans="1:8">
      <c r="A76" s="2" t="s">
        <v>125</v>
      </c>
      <c r="B76" s="58">
        <v>0.5</v>
      </c>
      <c r="C76" s="5"/>
      <c r="D76" s="5"/>
      <c r="E76" s="5"/>
      <c r="F76" s="5"/>
      <c r="G76" s="5"/>
      <c r="H76" s="5"/>
    </row>
    <row r="77" spans="1:8">
      <c r="A77" s="2" t="s">
        <v>126</v>
      </c>
      <c r="B77" s="58">
        <v>1</v>
      </c>
      <c r="C77" s="5"/>
      <c r="D77" s="5"/>
      <c r="E77" s="5"/>
      <c r="F77" s="5"/>
      <c r="G77" s="5"/>
      <c r="H77" s="5"/>
    </row>
    <row r="78" spans="1:8">
      <c r="A78" s="2" t="s">
        <v>127</v>
      </c>
      <c r="B78" s="11">
        <v>0.8</v>
      </c>
      <c r="C78" s="5"/>
      <c r="D78" s="5"/>
      <c r="E78" s="5"/>
      <c r="F78" s="5"/>
      <c r="G78" s="5"/>
      <c r="H78" s="5"/>
    </row>
    <row r="79" spans="1:8">
      <c r="A79" s="2" t="s">
        <v>128</v>
      </c>
      <c r="B79" s="11">
        <v>0.5</v>
      </c>
      <c r="C79" s="5"/>
      <c r="D79" s="5"/>
      <c r="E79" s="5"/>
      <c r="F79" s="5"/>
      <c r="G79" s="5"/>
      <c r="H79" s="5"/>
    </row>
    <row r="80" spans="1:8">
      <c r="D80" s="5"/>
      <c r="E80" s="5"/>
      <c r="F80" s="5"/>
      <c r="G80" s="5"/>
      <c r="H80" s="5"/>
    </row>
    <row r="81" spans="1:15" ht="18">
      <c r="A81" s="26" t="s">
        <v>141</v>
      </c>
      <c r="C81" s="1" t="s">
        <v>75</v>
      </c>
      <c r="D81" s="1" t="s">
        <v>129</v>
      </c>
      <c r="E81" s="1" t="s">
        <v>130</v>
      </c>
      <c r="F81" s="1" t="s">
        <v>131</v>
      </c>
      <c r="G81" s="1" t="s">
        <v>132</v>
      </c>
      <c r="H81" s="1" t="s">
        <v>133</v>
      </c>
      <c r="I81" s="1" t="s">
        <v>134</v>
      </c>
      <c r="J81" s="1" t="s">
        <v>135</v>
      </c>
      <c r="K81" s="1" t="s">
        <v>136</v>
      </c>
      <c r="L81" s="1" t="s">
        <v>137</v>
      </c>
      <c r="M81" s="1" t="s">
        <v>138</v>
      </c>
      <c r="N81" s="1" t="s">
        <v>139</v>
      </c>
      <c r="O81" s="1" t="s">
        <v>140</v>
      </c>
    </row>
    <row r="82" spans="1:15" ht="15.6">
      <c r="A82" s="16" t="s">
        <v>142</v>
      </c>
    </row>
    <row r="83" spans="1:15" s="5" customFormat="1">
      <c r="A83" s="5" t="s">
        <v>143</v>
      </c>
    </row>
    <row r="84" spans="1:15" s="5" customFormat="1">
      <c r="A84" s="5" t="s">
        <v>144</v>
      </c>
      <c r="D84" s="5">
        <v>2000000</v>
      </c>
      <c r="E84" s="5">
        <f>D84</f>
        <v>2000000</v>
      </c>
      <c r="F84" s="5">
        <v>4000000</v>
      </c>
      <c r="G84" s="5">
        <f>F84</f>
        <v>4000000</v>
      </c>
      <c r="H84" s="5">
        <f t="shared" ref="H84:J84" si="15">G84</f>
        <v>4000000</v>
      </c>
      <c r="I84" s="5">
        <f t="shared" si="15"/>
        <v>4000000</v>
      </c>
      <c r="J84" s="5">
        <f t="shared" si="15"/>
        <v>4000000</v>
      </c>
      <c r="K84" s="5">
        <v>6000000</v>
      </c>
      <c r="L84" s="5">
        <v>6000000</v>
      </c>
      <c r="M84" s="5">
        <v>6000000</v>
      </c>
      <c r="N84" s="5">
        <v>6000000</v>
      </c>
      <c r="O84" s="5">
        <v>6000000</v>
      </c>
    </row>
    <row r="85" spans="1:15" s="5" customFormat="1">
      <c r="A85" s="5" t="s">
        <v>145</v>
      </c>
      <c r="D85" s="5">
        <v>5000000</v>
      </c>
      <c r="E85" s="5">
        <v>5000000</v>
      </c>
      <c r="F85" s="5">
        <v>10000000</v>
      </c>
      <c r="G85" s="5">
        <f>F85</f>
        <v>10000000</v>
      </c>
      <c r="H85" s="5">
        <f>G85</f>
        <v>10000000</v>
      </c>
      <c r="I85" s="5">
        <f t="shared" ref="I85:J85" si="16">H85</f>
        <v>10000000</v>
      </c>
      <c r="J85" s="5">
        <f t="shared" si="16"/>
        <v>10000000</v>
      </c>
      <c r="K85" s="5">
        <v>15000000</v>
      </c>
      <c r="L85" s="5">
        <v>15000000</v>
      </c>
      <c r="M85" s="5">
        <v>15000000</v>
      </c>
      <c r="N85" s="5">
        <v>15000000</v>
      </c>
      <c r="O85" s="5">
        <v>15000000</v>
      </c>
    </row>
    <row r="86" spans="1:15" s="5" customFormat="1">
      <c r="A86" s="5" t="s">
        <v>146</v>
      </c>
    </row>
    <row r="87" spans="1:15" s="5" customFormat="1">
      <c r="A87" s="5" t="s">
        <v>144</v>
      </c>
      <c r="B87" s="8" t="s">
        <v>7</v>
      </c>
      <c r="C87" s="36">
        <f>5.4%</f>
        <v>5.4000000000000006E-2</v>
      </c>
    </row>
    <row r="88" spans="1:15" s="5" customFormat="1">
      <c r="A88" s="5" t="s">
        <v>145</v>
      </c>
      <c r="B88" s="8" t="s">
        <v>8</v>
      </c>
      <c r="C88" s="36">
        <v>2.4E-2</v>
      </c>
    </row>
    <row r="89" spans="1:15" s="5" customFormat="1">
      <c r="A89" s="5" t="s">
        <v>147</v>
      </c>
    </row>
    <row r="90" spans="1:15" s="5" customFormat="1">
      <c r="A90" s="5" t="s">
        <v>144</v>
      </c>
      <c r="B90" s="34">
        <v>0.75</v>
      </c>
    </row>
    <row r="91" spans="1:15" s="5" customFormat="1">
      <c r="A91" s="5" t="s">
        <v>145</v>
      </c>
      <c r="B91" s="34">
        <v>0.95</v>
      </c>
    </row>
    <row r="92" spans="1:15" s="5" customFormat="1">
      <c r="A92" s="5" t="s">
        <v>148</v>
      </c>
    </row>
    <row r="93" spans="1:15" s="5" customFormat="1">
      <c r="A93" s="5" t="s">
        <v>144</v>
      </c>
      <c r="B93" s="5">
        <v>30</v>
      </c>
    </row>
    <row r="94" spans="1:15" s="5" customFormat="1">
      <c r="A94" s="5" t="s">
        <v>145</v>
      </c>
      <c r="B94" s="5">
        <v>30</v>
      </c>
    </row>
    <row r="95" spans="1:15" s="5" customFormat="1">
      <c r="A95" s="5" t="s">
        <v>149</v>
      </c>
      <c r="B95" s="34">
        <v>0.7</v>
      </c>
    </row>
    <row r="96" spans="1:15" s="5" customFormat="1">
      <c r="A96" s="60" t="s">
        <v>150</v>
      </c>
      <c r="B96" s="34"/>
      <c r="C96" s="5">
        <f>Sales!B13*$B$95</f>
        <v>79660000</v>
      </c>
      <c r="D96" s="5">
        <f>Sales!C13*$B$95</f>
        <v>7965999.9999999991</v>
      </c>
      <c r="E96" s="5">
        <f>Sales!D13*$B$95</f>
        <v>11152400</v>
      </c>
      <c r="F96" s="5">
        <f>Sales!E13*$B$95</f>
        <v>11152400</v>
      </c>
      <c r="G96" s="5">
        <f>Sales!F13*$B$95</f>
        <v>9559200</v>
      </c>
      <c r="H96" s="5">
        <f>Sales!G13*$B$95</f>
        <v>7965999.9999999991</v>
      </c>
      <c r="I96" s="5">
        <f>Sales!H13*$B$95</f>
        <v>7965999.9999999991</v>
      </c>
      <c r="J96" s="5">
        <f>Sales!I13*$B$95</f>
        <v>2389800</v>
      </c>
      <c r="K96" s="5">
        <f>Sales!J13*$B$95</f>
        <v>3982999.9999999995</v>
      </c>
      <c r="L96" s="5">
        <f>Sales!K13*$B$95</f>
        <v>5576200</v>
      </c>
      <c r="M96" s="5">
        <f>Sales!L13*$B$95</f>
        <v>5576200</v>
      </c>
      <c r="N96" s="5">
        <f>Sales!M13*$B$95</f>
        <v>3982999.9999999995</v>
      </c>
      <c r="O96" s="5">
        <f>Sales!N13*$B$95</f>
        <v>2389800</v>
      </c>
    </row>
    <row r="97" spans="1:15" s="5" customFormat="1">
      <c r="A97" s="60" t="s">
        <v>151</v>
      </c>
      <c r="B97" s="34"/>
      <c r="C97" s="5">
        <f>Sales!B14*$B$95</f>
        <v>81480000</v>
      </c>
      <c r="D97" s="5">
        <f>Sales!C14*$B$95</f>
        <v>8147999.9999999991</v>
      </c>
      <c r="E97" s="5">
        <f>Sales!D14*$B$95</f>
        <v>11407200</v>
      </c>
      <c r="F97" s="5">
        <f>Sales!E14*$B$95</f>
        <v>11407200</v>
      </c>
      <c r="G97" s="5">
        <f>Sales!F14*$B$95</f>
        <v>9777600</v>
      </c>
      <c r="H97" s="5">
        <f>Sales!G14*$B$95</f>
        <v>8147999.9999999991</v>
      </c>
      <c r="I97" s="5">
        <f>Sales!H14*$B$95</f>
        <v>8147999.9999999991</v>
      </c>
      <c r="J97" s="5">
        <f>Sales!I14*$B$95</f>
        <v>2444400</v>
      </c>
      <c r="K97" s="5">
        <f>Sales!J14*$B$95</f>
        <v>4073999.9999999995</v>
      </c>
      <c r="L97" s="5">
        <f>Sales!K14*$B$95</f>
        <v>5703600</v>
      </c>
      <c r="M97" s="5">
        <f>Sales!L14*$B$95</f>
        <v>5703600</v>
      </c>
      <c r="N97" s="5">
        <f>Sales!M14*$B$95</f>
        <v>4073999.9999999995</v>
      </c>
      <c r="O97" s="5">
        <f>Sales!N14*$B$95</f>
        <v>2444400</v>
      </c>
    </row>
    <row r="98" spans="1:15" s="5" customFormat="1">
      <c r="A98" s="60" t="s">
        <v>152</v>
      </c>
      <c r="B98" s="34"/>
      <c r="C98" s="5">
        <f>Sales!B15*$B$95</f>
        <v>82740000</v>
      </c>
      <c r="D98" s="5">
        <f>Sales!C15*$B$95</f>
        <v>8273999.9999999991</v>
      </c>
      <c r="E98" s="5">
        <f>Sales!D15*$B$95</f>
        <v>11583600.000000002</v>
      </c>
      <c r="F98" s="5">
        <f>Sales!E15*$B$95</f>
        <v>11583600.000000002</v>
      </c>
      <c r="G98" s="5">
        <f>Sales!F15*$B$95</f>
        <v>9928800</v>
      </c>
      <c r="H98" s="5">
        <f>Sales!G15*$B$95</f>
        <v>8273999.9999999991</v>
      </c>
      <c r="I98" s="5">
        <f>Sales!H15*$B$95</f>
        <v>8273999.9999999991</v>
      </c>
      <c r="J98" s="5">
        <f>Sales!I15*$B$95</f>
        <v>2482200</v>
      </c>
      <c r="K98" s="5">
        <f>Sales!J15*$B$95</f>
        <v>4136999.9999999995</v>
      </c>
      <c r="L98" s="5">
        <f>Sales!K15*$B$95</f>
        <v>5791800.0000000009</v>
      </c>
      <c r="M98" s="5">
        <f>Sales!L15*$B$95</f>
        <v>5791800.0000000009</v>
      </c>
      <c r="N98" s="5">
        <f>Sales!M15*$B$95</f>
        <v>4136999.9999999995</v>
      </c>
      <c r="O98" s="5">
        <f>Sales!N15*$B$95</f>
        <v>2482200</v>
      </c>
    </row>
    <row r="99" spans="1:15" s="5" customFormat="1">
      <c r="A99" s="5" t="s">
        <v>153</v>
      </c>
      <c r="B99" s="37">
        <v>1.2500000000000001E-2</v>
      </c>
    </row>
    <row r="100" spans="1:15" s="5" customFormat="1">
      <c r="A100" s="28" t="s">
        <v>154</v>
      </c>
      <c r="B100" s="5">
        <v>2000</v>
      </c>
      <c r="C100" s="5">
        <f>$B$100*C43</f>
        <v>40000</v>
      </c>
      <c r="D100" s="5">
        <f>$B$100*D43</f>
        <v>4000</v>
      </c>
      <c r="E100" s="5">
        <f t="shared" ref="E100:O100" si="17">$B$100*E43</f>
        <v>5600.0000000000009</v>
      </c>
      <c r="F100" s="5">
        <f t="shared" si="17"/>
        <v>5600.0000000000009</v>
      </c>
      <c r="G100" s="5">
        <f t="shared" si="17"/>
        <v>4800</v>
      </c>
      <c r="H100" s="5">
        <f t="shared" si="17"/>
        <v>4000</v>
      </c>
      <c r="I100" s="5">
        <f t="shared" si="17"/>
        <v>4000</v>
      </c>
      <c r="J100" s="5">
        <f t="shared" si="17"/>
        <v>1200</v>
      </c>
      <c r="K100" s="5">
        <f t="shared" si="17"/>
        <v>2000</v>
      </c>
      <c r="L100" s="5">
        <f t="shared" si="17"/>
        <v>2800.0000000000005</v>
      </c>
      <c r="M100" s="5">
        <f t="shared" si="17"/>
        <v>2800.0000000000005</v>
      </c>
      <c r="N100" s="5">
        <f t="shared" si="17"/>
        <v>2000</v>
      </c>
      <c r="O100" s="5">
        <f t="shared" si="17"/>
        <v>1200</v>
      </c>
    </row>
    <row r="101" spans="1:15" s="5" customFormat="1">
      <c r="A101" s="28" t="s">
        <v>155</v>
      </c>
      <c r="B101" s="5">
        <v>1000</v>
      </c>
      <c r="C101" s="5">
        <f>$B$101*C44</f>
        <v>66666.666666666672</v>
      </c>
      <c r="D101" s="5">
        <f t="shared" ref="D101:O101" si="18">$B$101*D44</f>
        <v>6666.666666666667</v>
      </c>
      <c r="E101" s="5">
        <f t="shared" si="18"/>
        <v>9333.3333333333339</v>
      </c>
      <c r="F101" s="5">
        <f t="shared" si="18"/>
        <v>9333.3333333333339</v>
      </c>
      <c r="G101" s="5">
        <f t="shared" si="18"/>
        <v>8000</v>
      </c>
      <c r="H101" s="5">
        <f t="shared" si="18"/>
        <v>6666.666666666667</v>
      </c>
      <c r="I101" s="5">
        <f t="shared" si="18"/>
        <v>6666.666666666667</v>
      </c>
      <c r="J101" s="5">
        <f t="shared" si="18"/>
        <v>2000</v>
      </c>
      <c r="K101" s="5">
        <f t="shared" si="18"/>
        <v>3333.3333333333335</v>
      </c>
      <c r="L101" s="5">
        <f t="shared" si="18"/>
        <v>4666.666666666667</v>
      </c>
      <c r="M101" s="5">
        <f t="shared" si="18"/>
        <v>4666.666666666667</v>
      </c>
      <c r="N101" s="5">
        <f t="shared" si="18"/>
        <v>3333.3333333333335</v>
      </c>
      <c r="O101" s="5">
        <f t="shared" si="18"/>
        <v>2000</v>
      </c>
    </row>
    <row r="102" spans="1:15" s="5" customFormat="1">
      <c r="A102" s="28" t="s">
        <v>156</v>
      </c>
      <c r="B102" s="37">
        <v>2E-3</v>
      </c>
    </row>
    <row r="103" spans="1:15" s="5" customFormat="1" ht="28.8">
      <c r="A103" s="28" t="s">
        <v>157</v>
      </c>
      <c r="B103" s="37">
        <v>0.5</v>
      </c>
    </row>
    <row r="104" spans="1:15" s="5" customFormat="1" ht="28.8">
      <c r="A104" s="28" t="s">
        <v>158</v>
      </c>
      <c r="B104" s="37">
        <v>0.5</v>
      </c>
    </row>
    <row r="106" spans="1:15" ht="15.6">
      <c r="A106" s="16" t="s">
        <v>159</v>
      </c>
      <c r="C106" s="1" t="s">
        <v>75</v>
      </c>
      <c r="D106" s="1" t="s">
        <v>129</v>
      </c>
      <c r="E106" s="1" t="s">
        <v>130</v>
      </c>
      <c r="F106" s="1" t="s">
        <v>131</v>
      </c>
      <c r="G106" s="1" t="s">
        <v>132</v>
      </c>
      <c r="H106" s="1" t="s">
        <v>133</v>
      </c>
      <c r="I106" s="1" t="s">
        <v>134</v>
      </c>
      <c r="J106" s="1" t="s">
        <v>135</v>
      </c>
      <c r="K106" s="1" t="s">
        <v>136</v>
      </c>
      <c r="L106" s="1" t="s">
        <v>137</v>
      </c>
      <c r="M106" s="1" t="s">
        <v>138</v>
      </c>
      <c r="N106" s="1" t="s">
        <v>139</v>
      </c>
      <c r="O106" s="1" t="s">
        <v>140</v>
      </c>
    </row>
    <row r="107" spans="1:15">
      <c r="A107" s="5" t="s">
        <v>160</v>
      </c>
      <c r="B107" s="5">
        <v>21000000</v>
      </c>
    </row>
    <row r="108" spans="1:15">
      <c r="A108" s="4" t="s">
        <v>161</v>
      </c>
      <c r="B108" s="5"/>
      <c r="D108" s="11">
        <v>1</v>
      </c>
      <c r="E108" s="128">
        <v>1</v>
      </c>
      <c r="F108" s="11">
        <f>E108</f>
        <v>1</v>
      </c>
      <c r="G108" s="11">
        <v>0.7</v>
      </c>
      <c r="H108" s="11">
        <v>0.5</v>
      </c>
      <c r="I108" s="11">
        <v>0.6</v>
      </c>
      <c r="J108" s="11">
        <v>0.3</v>
      </c>
      <c r="K108" s="11">
        <v>0.35</v>
      </c>
      <c r="L108" s="11">
        <v>0.4</v>
      </c>
      <c r="M108" s="11">
        <f>L108</f>
        <v>0.4</v>
      </c>
      <c r="N108" s="11">
        <v>0.8</v>
      </c>
      <c r="O108" s="11">
        <v>1</v>
      </c>
    </row>
    <row r="109" spans="1:15">
      <c r="A109" s="4" t="s">
        <v>163</v>
      </c>
      <c r="B109" s="5"/>
      <c r="D109" s="11">
        <v>0.8</v>
      </c>
      <c r="E109" s="128">
        <v>0.8</v>
      </c>
      <c r="F109" s="11">
        <v>0.7</v>
      </c>
      <c r="G109" s="11">
        <v>0.5</v>
      </c>
      <c r="H109" s="11">
        <v>0.3</v>
      </c>
      <c r="I109" s="11">
        <v>0.4</v>
      </c>
      <c r="J109" s="11">
        <v>0.2</v>
      </c>
      <c r="K109" s="11">
        <v>0.2</v>
      </c>
      <c r="L109" s="11">
        <v>0.3</v>
      </c>
      <c r="M109" s="11">
        <v>0.3</v>
      </c>
      <c r="N109" s="11">
        <v>0.5</v>
      </c>
      <c r="O109" s="11">
        <v>1</v>
      </c>
    </row>
    <row r="110" spans="1:15">
      <c r="A110" s="4" t="s">
        <v>162</v>
      </c>
      <c r="B110" s="5"/>
      <c r="D110" s="11">
        <v>0.8</v>
      </c>
      <c r="E110" s="128">
        <v>0.8</v>
      </c>
      <c r="F110" s="11">
        <v>0.6</v>
      </c>
      <c r="G110" s="11">
        <v>0.3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0.5</v>
      </c>
      <c r="O110" s="11">
        <v>1</v>
      </c>
    </row>
    <row r="111" spans="1:15">
      <c r="A111" s="4" t="s">
        <v>164</v>
      </c>
      <c r="D111" s="5">
        <f t="shared" ref="D111:O111" si="19">D108*$B$107</f>
        <v>21000000</v>
      </c>
      <c r="E111" s="5">
        <f t="shared" si="19"/>
        <v>21000000</v>
      </c>
      <c r="F111" s="5">
        <f t="shared" si="19"/>
        <v>21000000</v>
      </c>
      <c r="G111" s="5">
        <f t="shared" si="19"/>
        <v>14699999.999999998</v>
      </c>
      <c r="H111" s="5">
        <f t="shared" si="19"/>
        <v>10500000</v>
      </c>
      <c r="I111" s="5">
        <f t="shared" si="19"/>
        <v>12600000</v>
      </c>
      <c r="J111" s="5">
        <f t="shared" si="19"/>
        <v>6300000</v>
      </c>
      <c r="K111" s="5">
        <f t="shared" si="19"/>
        <v>7349999.9999999991</v>
      </c>
      <c r="L111" s="5">
        <f t="shared" si="19"/>
        <v>8400000</v>
      </c>
      <c r="M111" s="5">
        <f t="shared" si="19"/>
        <v>8400000</v>
      </c>
      <c r="N111" s="5">
        <f t="shared" si="19"/>
        <v>16800000</v>
      </c>
      <c r="O111" s="5">
        <f t="shared" si="19"/>
        <v>21000000</v>
      </c>
    </row>
    <row r="112" spans="1:15">
      <c r="A112" s="4" t="s">
        <v>165</v>
      </c>
      <c r="D112" s="5">
        <f t="shared" ref="D112:O112" si="20">D109*$B$107</f>
        <v>16800000</v>
      </c>
      <c r="E112" s="5">
        <f t="shared" si="20"/>
        <v>16800000</v>
      </c>
      <c r="F112" s="5">
        <f t="shared" si="20"/>
        <v>14699999.999999998</v>
      </c>
      <c r="G112" s="5">
        <f t="shared" si="20"/>
        <v>10500000</v>
      </c>
      <c r="H112" s="5">
        <f t="shared" si="20"/>
        <v>6300000</v>
      </c>
      <c r="I112" s="5">
        <f t="shared" si="20"/>
        <v>8400000</v>
      </c>
      <c r="J112" s="5">
        <f t="shared" si="20"/>
        <v>4200000</v>
      </c>
      <c r="K112" s="5">
        <f t="shared" si="20"/>
        <v>4200000</v>
      </c>
      <c r="L112" s="5">
        <f t="shared" si="20"/>
        <v>6300000</v>
      </c>
      <c r="M112" s="5">
        <f t="shared" si="20"/>
        <v>6300000</v>
      </c>
      <c r="N112" s="5">
        <f t="shared" si="20"/>
        <v>10500000</v>
      </c>
      <c r="O112" s="5">
        <f t="shared" si="20"/>
        <v>21000000</v>
      </c>
    </row>
    <row r="113" spans="1:15">
      <c r="A113" s="4" t="s">
        <v>166</v>
      </c>
      <c r="D113" s="5">
        <f t="shared" ref="D113:O113" si="21">D110*$B$107</f>
        <v>16800000</v>
      </c>
      <c r="E113" s="5">
        <f t="shared" si="21"/>
        <v>16800000</v>
      </c>
      <c r="F113" s="5">
        <f t="shared" si="21"/>
        <v>12600000</v>
      </c>
      <c r="G113" s="5">
        <f t="shared" si="21"/>
        <v>6300000</v>
      </c>
      <c r="H113" s="5">
        <f t="shared" si="21"/>
        <v>0</v>
      </c>
      <c r="I113" s="5">
        <f t="shared" si="21"/>
        <v>0</v>
      </c>
      <c r="J113" s="5">
        <f t="shared" si="21"/>
        <v>0</v>
      </c>
      <c r="K113" s="5">
        <f t="shared" si="21"/>
        <v>0</v>
      </c>
      <c r="L113" s="5">
        <f t="shared" si="21"/>
        <v>0</v>
      </c>
      <c r="M113" s="5">
        <f t="shared" si="21"/>
        <v>0</v>
      </c>
      <c r="N113" s="5">
        <f t="shared" si="21"/>
        <v>10500000</v>
      </c>
      <c r="O113" s="5">
        <f t="shared" si="21"/>
        <v>21000000</v>
      </c>
    </row>
    <row r="114" spans="1:15">
      <c r="A114" s="4" t="s">
        <v>167</v>
      </c>
      <c r="B114" s="11">
        <v>0.12</v>
      </c>
      <c r="C114" s="40">
        <f>SUM(D114:O114)</f>
        <v>1690500</v>
      </c>
      <c r="D114" s="5">
        <f>D111*$B$114/12</f>
        <v>210000</v>
      </c>
      <c r="E114" s="5">
        <f t="shared" ref="E114:O114" si="22">E111*$B$114/12</f>
        <v>210000</v>
      </c>
      <c r="F114" s="5">
        <f t="shared" si="22"/>
        <v>210000</v>
      </c>
      <c r="G114" s="5">
        <f t="shared" si="22"/>
        <v>146999.99999999997</v>
      </c>
      <c r="H114" s="5">
        <f t="shared" si="22"/>
        <v>105000</v>
      </c>
      <c r="I114" s="5">
        <f t="shared" si="22"/>
        <v>126000</v>
      </c>
      <c r="J114" s="5">
        <f t="shared" si="22"/>
        <v>63000</v>
      </c>
      <c r="K114" s="5">
        <f t="shared" si="22"/>
        <v>73499.999999999985</v>
      </c>
      <c r="L114" s="5">
        <f t="shared" si="22"/>
        <v>84000</v>
      </c>
      <c r="M114" s="5">
        <f t="shared" si="22"/>
        <v>84000</v>
      </c>
      <c r="N114" s="5">
        <f t="shared" si="22"/>
        <v>168000</v>
      </c>
      <c r="O114" s="5">
        <f t="shared" si="22"/>
        <v>210000</v>
      </c>
    </row>
    <row r="115" spans="1:15">
      <c r="A115" s="4" t="s">
        <v>168</v>
      </c>
      <c r="B115" s="11"/>
      <c r="C115" s="40">
        <f t="shared" ref="C115:C116" si="23">SUM(D115:O115)</f>
        <v>1260000</v>
      </c>
      <c r="D115" s="5">
        <f t="shared" ref="D115:O116" si="24">D112*$B$114/12</f>
        <v>168000</v>
      </c>
      <c r="E115" s="5">
        <f t="shared" si="24"/>
        <v>168000</v>
      </c>
      <c r="F115" s="5">
        <f t="shared" si="24"/>
        <v>146999.99999999997</v>
      </c>
      <c r="G115" s="5">
        <f t="shared" si="24"/>
        <v>105000</v>
      </c>
      <c r="H115" s="5">
        <f t="shared" si="24"/>
        <v>63000</v>
      </c>
      <c r="I115" s="5">
        <f t="shared" si="24"/>
        <v>84000</v>
      </c>
      <c r="J115" s="5">
        <f t="shared" si="24"/>
        <v>42000</v>
      </c>
      <c r="K115" s="5">
        <f t="shared" si="24"/>
        <v>42000</v>
      </c>
      <c r="L115" s="5">
        <f t="shared" si="24"/>
        <v>63000</v>
      </c>
      <c r="M115" s="5">
        <f t="shared" si="24"/>
        <v>63000</v>
      </c>
      <c r="N115" s="5">
        <f t="shared" si="24"/>
        <v>105000</v>
      </c>
      <c r="O115" s="5">
        <f t="shared" si="24"/>
        <v>210000</v>
      </c>
    </row>
    <row r="116" spans="1:15">
      <c r="A116" s="4" t="s">
        <v>169</v>
      </c>
      <c r="B116" s="11"/>
      <c r="C116" s="40">
        <f t="shared" si="23"/>
        <v>840000</v>
      </c>
      <c r="D116" s="5">
        <f t="shared" si="24"/>
        <v>168000</v>
      </c>
      <c r="E116" s="5">
        <f t="shared" si="24"/>
        <v>168000</v>
      </c>
      <c r="F116" s="5">
        <f t="shared" si="24"/>
        <v>126000</v>
      </c>
      <c r="G116" s="5">
        <f t="shared" si="24"/>
        <v>63000</v>
      </c>
      <c r="H116" s="5">
        <f t="shared" si="24"/>
        <v>0</v>
      </c>
      <c r="I116" s="5">
        <f t="shared" si="24"/>
        <v>0</v>
      </c>
      <c r="J116" s="5">
        <f t="shared" si="24"/>
        <v>0</v>
      </c>
      <c r="K116" s="5">
        <f t="shared" si="24"/>
        <v>0</v>
      </c>
      <c r="L116" s="5">
        <f t="shared" si="24"/>
        <v>0</v>
      </c>
      <c r="M116" s="5">
        <f t="shared" si="24"/>
        <v>0</v>
      </c>
      <c r="N116" s="5">
        <f t="shared" si="24"/>
        <v>105000</v>
      </c>
      <c r="O116" s="5">
        <f t="shared" si="24"/>
        <v>210000</v>
      </c>
    </row>
    <row r="117" spans="1:15">
      <c r="A117" s="4" t="s">
        <v>170</v>
      </c>
      <c r="B117" s="56" t="s">
        <v>173</v>
      </c>
    </row>
    <row r="118" spans="1:15" ht="15" thickBot="1">
      <c r="A118" s="4" t="s">
        <v>171</v>
      </c>
      <c r="B118" s="56" t="s">
        <v>172</v>
      </c>
    </row>
    <row r="119" spans="1:15" ht="15" thickBot="1">
      <c r="A119" s="2" t="s">
        <v>174</v>
      </c>
      <c r="B119" s="83">
        <f>100%*B107</f>
        <v>21000000</v>
      </c>
    </row>
    <row r="121" spans="1:15" ht="18">
      <c r="A121" s="26" t="s">
        <v>175</v>
      </c>
    </row>
    <row r="122" spans="1:15">
      <c r="A122" s="2" t="s">
        <v>176</v>
      </c>
    </row>
    <row r="123" spans="1:15">
      <c r="A123" s="66">
        <v>2013</v>
      </c>
      <c r="B123" s="11">
        <v>0.5</v>
      </c>
    </row>
    <row r="124" spans="1:15">
      <c r="A124" s="66">
        <v>2014</v>
      </c>
      <c r="B124" s="11">
        <v>0.25</v>
      </c>
    </row>
    <row r="125" spans="1:15">
      <c r="A125" s="66">
        <v>2015</v>
      </c>
      <c r="B125" s="11">
        <f>B124</f>
        <v>0.25</v>
      </c>
    </row>
    <row r="126" spans="1:15">
      <c r="A126" s="66">
        <v>2016</v>
      </c>
      <c r="B126" s="11">
        <f t="shared" ref="B126:B127" si="25">B125</f>
        <v>0.25</v>
      </c>
    </row>
    <row r="127" spans="1:15">
      <c r="A127" s="66">
        <v>2017</v>
      </c>
      <c r="B127" s="11">
        <f t="shared" si="25"/>
        <v>0.25</v>
      </c>
    </row>
    <row r="128" spans="1:15">
      <c r="A128" s="66" t="s">
        <v>177</v>
      </c>
      <c r="B128" s="5">
        <v>1000000</v>
      </c>
    </row>
    <row r="129" spans="1:3">
      <c r="A129" s="129" t="s">
        <v>178</v>
      </c>
      <c r="B129" s="5">
        <v>4000000</v>
      </c>
    </row>
    <row r="130" spans="1:3">
      <c r="A130" s="66" t="s">
        <v>179</v>
      </c>
      <c r="B130" s="5">
        <v>2000000</v>
      </c>
    </row>
    <row r="131" spans="1:3">
      <c r="A131" s="66" t="s">
        <v>180</v>
      </c>
      <c r="B131" s="11">
        <v>0.12</v>
      </c>
    </row>
    <row r="132" spans="1:3">
      <c r="A132" s="66" t="s">
        <v>181</v>
      </c>
      <c r="B132" s="15" t="s">
        <v>182</v>
      </c>
      <c r="C132" s="11">
        <v>0.25</v>
      </c>
    </row>
    <row r="133" spans="1:3">
      <c r="A133" s="66" t="s">
        <v>183</v>
      </c>
      <c r="B133" s="4">
        <v>12</v>
      </c>
    </row>
    <row r="135" spans="1:3" ht="18">
      <c r="A135" s="26" t="s">
        <v>184</v>
      </c>
    </row>
    <row r="136" spans="1:3">
      <c r="A136" s="28" t="s">
        <v>185</v>
      </c>
      <c r="B136" s="5">
        <v>50000</v>
      </c>
    </row>
    <row r="137" spans="1:3">
      <c r="A137" s="28" t="s">
        <v>186</v>
      </c>
      <c r="B137" s="5">
        <v>100000</v>
      </c>
    </row>
    <row r="138" spans="1:3">
      <c r="A138" s="4" t="s">
        <v>187</v>
      </c>
      <c r="B138" s="11">
        <v>0.2</v>
      </c>
    </row>
    <row r="139" spans="1:3" hidden="1">
      <c r="A139" s="13" t="s">
        <v>15</v>
      </c>
      <c r="B139" s="11"/>
    </row>
    <row r="140" spans="1:3" hidden="1">
      <c r="A140" s="110" t="s">
        <v>14</v>
      </c>
      <c r="B140" s="4">
        <v>20</v>
      </c>
    </row>
    <row r="141" spans="1:3" hidden="1">
      <c r="A141" s="110" t="s">
        <v>12</v>
      </c>
      <c r="B141" s="4">
        <v>30</v>
      </c>
    </row>
    <row r="142" spans="1:3" hidden="1">
      <c r="A142" s="110" t="s">
        <v>13</v>
      </c>
      <c r="B142" s="4">
        <v>60</v>
      </c>
    </row>
    <row r="143" spans="1:3" hidden="1">
      <c r="A143" s="110" t="s">
        <v>11</v>
      </c>
      <c r="B143" s="4">
        <v>60</v>
      </c>
    </row>
    <row r="144" spans="1:3" ht="28.8" hidden="1">
      <c r="A144" s="111" t="s">
        <v>16</v>
      </c>
    </row>
    <row r="145" spans="1:15" hidden="1">
      <c r="A145" s="110" t="s">
        <v>14</v>
      </c>
      <c r="B145" s="112">
        <f>360/B140</f>
        <v>18</v>
      </c>
    </row>
    <row r="146" spans="1:15" hidden="1">
      <c r="A146" s="110" t="s">
        <v>12</v>
      </c>
      <c r="B146" s="112">
        <f t="shared" ref="B146:B148" si="26">360/B141</f>
        <v>12</v>
      </c>
    </row>
    <row r="147" spans="1:15" hidden="1">
      <c r="A147" s="110" t="s">
        <v>13</v>
      </c>
      <c r="B147" s="112">
        <f t="shared" si="26"/>
        <v>6</v>
      </c>
    </row>
    <row r="148" spans="1:15" hidden="1">
      <c r="A148" s="110" t="s">
        <v>11</v>
      </c>
      <c r="B148" s="112">
        <f t="shared" si="26"/>
        <v>6</v>
      </c>
    </row>
    <row r="149" spans="1:15" ht="15.6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 t="s">
        <v>0</v>
      </c>
      <c r="O149" s="1" t="s">
        <v>1</v>
      </c>
    </row>
  </sheetData>
  <mergeCells count="1">
    <mergeCell ref="C50:E5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20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  <c r="D2" s="5"/>
      <c r="E2" s="75"/>
    </row>
    <row r="3" spans="1:14" ht="21">
      <c r="A3" s="43" t="s">
        <v>360</v>
      </c>
      <c r="B3" s="19" t="s">
        <v>328</v>
      </c>
    </row>
    <row r="4" spans="1:14" ht="21">
      <c r="A4" s="43" t="s">
        <v>358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'P&amp;L SwCo Good'!B6</f>
        <v>118200000</v>
      </c>
      <c r="C6" s="54">
        <f>'P&amp;L SwCo Mid'!C6</f>
        <v>11640000</v>
      </c>
      <c r="D6" s="54">
        <f>'P&amp;L SwCo Mid'!D6</f>
        <v>16296000.000000002</v>
      </c>
      <c r="E6" s="54">
        <f>'P&amp;L SwCo Mid'!E6</f>
        <v>16296000.000000002</v>
      </c>
      <c r="F6" s="54">
        <f>'P&amp;L SwCo Mid'!F6</f>
        <v>13968000</v>
      </c>
      <c r="G6" s="54">
        <f>'P&amp;L SwCo Mid'!G6</f>
        <v>11640000</v>
      </c>
      <c r="H6" s="54">
        <f>'P&amp;L SwCo Mid'!H6</f>
        <v>11640000</v>
      </c>
      <c r="I6" s="54">
        <f>'P&amp;L SwCo Mid'!I6</f>
        <v>3492000</v>
      </c>
      <c r="J6" s="54">
        <f>'P&amp;L SwCo Mid'!J6</f>
        <v>5820000</v>
      </c>
      <c r="K6" s="54">
        <f>'P&amp;L SwCo Mid'!K6</f>
        <v>8148000.0000000009</v>
      </c>
      <c r="L6" s="54">
        <f>'P&amp;L SwCo Mid'!L6</f>
        <v>8148000.0000000009</v>
      </c>
      <c r="M6" s="54">
        <f>'P&amp;L SwCo Mid'!M6</f>
        <v>5820000</v>
      </c>
      <c r="N6" s="54">
        <f>'P&amp;L SwCo Mid'!N6</f>
        <v>3492000</v>
      </c>
    </row>
    <row r="7" spans="1:14" s="16" customFormat="1">
      <c r="A7" s="26" t="s">
        <v>332</v>
      </c>
      <c r="B7" s="44">
        <f t="shared" ref="B7:N7" si="0">SUM(B8:B15)</f>
        <v>-110376597.11111112</v>
      </c>
      <c r="C7" s="54">
        <f t="shared" si="0"/>
        <v>-10987695.3015873</v>
      </c>
      <c r="D7" s="54">
        <f t="shared" si="0"/>
        <v>-15323241.333333338</v>
      </c>
      <c r="E7" s="54">
        <f t="shared" si="0"/>
        <v>-15327241.333333338</v>
      </c>
      <c r="F7" s="54">
        <f t="shared" si="0"/>
        <v>-13174508</v>
      </c>
      <c r="G7" s="54">
        <f t="shared" si="0"/>
        <v>-11006774.666666666</v>
      </c>
      <c r="H7" s="54">
        <f t="shared" si="0"/>
        <v>-11006774.666666666</v>
      </c>
      <c r="I7" s="54">
        <f t="shared" si="0"/>
        <v>-3414544.8</v>
      </c>
      <c r="J7" s="54">
        <f t="shared" si="0"/>
        <v>-5564807.333333333</v>
      </c>
      <c r="K7" s="54">
        <f t="shared" si="0"/>
        <v>-7741523.866666669</v>
      </c>
      <c r="L7" s="54">
        <f t="shared" si="0"/>
        <v>-7748615.866666669</v>
      </c>
      <c r="M7" s="54">
        <f t="shared" si="0"/>
        <v>-5578991.333333333</v>
      </c>
      <c r="N7" s="54">
        <f t="shared" si="0"/>
        <v>-3402274.8</v>
      </c>
    </row>
    <row r="8" spans="1:14" s="32" customFormat="1">
      <c r="A8" s="45" t="s">
        <v>333</v>
      </c>
      <c r="B8" s="46">
        <f>-Purchases!B28</f>
        <v>-86200000</v>
      </c>
      <c r="C8" s="55">
        <f>-Purchases!C28</f>
        <v>-8620000</v>
      </c>
      <c r="D8" s="55">
        <f>-Purchases!D28</f>
        <v>-12068000.000000004</v>
      </c>
      <c r="E8" s="55">
        <f>-Purchases!E28</f>
        <v>-12068000.000000004</v>
      </c>
      <c r="F8" s="55">
        <f>-Purchases!F28</f>
        <v>-10344000</v>
      </c>
      <c r="G8" s="55">
        <f>-Purchases!G28</f>
        <v>-8620000</v>
      </c>
      <c r="H8" s="55">
        <f>-Purchases!H28</f>
        <v>-8620000</v>
      </c>
      <c r="I8" s="55">
        <f>-Purchases!I28</f>
        <v>-2586000</v>
      </c>
      <c r="J8" s="55">
        <f>-Purchases!J28</f>
        <v>-4310000</v>
      </c>
      <c r="K8" s="55">
        <f>-Purchases!K28</f>
        <v>-6034000.0000000019</v>
      </c>
      <c r="L8" s="55">
        <f>-Purchases!L28</f>
        <v>-6034000.0000000019</v>
      </c>
      <c r="M8" s="55">
        <f>-Purchases!M28</f>
        <v>-4310000</v>
      </c>
      <c r="N8" s="55">
        <f>-Purchases!N28</f>
        <v>-2586000</v>
      </c>
    </row>
    <row r="9" spans="1:14">
      <c r="A9" s="45" t="s">
        <v>334</v>
      </c>
      <c r="B9" s="46">
        <f>-Logistics!B7-Logistics!B12-Logistics!B20</f>
        <v>-21954524.444444444</v>
      </c>
      <c r="C9" s="55">
        <f>-Logistics!C7-Logistics!C12-Logistics!C20</f>
        <v>-2198920.6349206348</v>
      </c>
      <c r="D9" s="55">
        <f>-Logistics!D7-Logistics!D12-Logistics!D20</f>
        <v>-3057600.0000000009</v>
      </c>
      <c r="E9" s="55">
        <f>-Logistics!E7-Logistics!E12-Logistics!E20</f>
        <v>-3057600.0000000009</v>
      </c>
      <c r="F9" s="55">
        <f>-Logistics!F7-Logistics!F12-Logistics!F20</f>
        <v>-2620800</v>
      </c>
      <c r="G9" s="55">
        <f>-Logistics!G7-Logistics!G12-Logistics!G20</f>
        <v>-2184000</v>
      </c>
      <c r="H9" s="55">
        <f>-Logistics!H7-Logistics!H12-Logistics!H20</f>
        <v>-2184000</v>
      </c>
      <c r="I9" s="55">
        <f>-Logistics!I7-Logistics!I12-Logistics!I20</f>
        <v>-655200</v>
      </c>
      <c r="J9" s="55">
        <f>-Logistics!J7-Logistics!J12-Logistics!J20</f>
        <v>-1092000</v>
      </c>
      <c r="K9" s="55">
        <f>-Logistics!K7-Logistics!K12-Logistics!K20</f>
        <v>-1528800.0000000005</v>
      </c>
      <c r="L9" s="55">
        <f>-Logistics!L7-Logistics!L12-Logistics!L20</f>
        <v>-1528800.0000000005</v>
      </c>
      <c r="M9" s="55">
        <f>-Logistics!M7-Logistics!M12-Logistics!M20</f>
        <v>-1092000</v>
      </c>
      <c r="N9" s="55">
        <f>-Logistics!N7-Logistics!N12-Logistics!N20</f>
        <v>-655200</v>
      </c>
    </row>
    <row r="10" spans="1:14">
      <c r="A10" s="45" t="s">
        <v>335</v>
      </c>
      <c r="B10" s="46">
        <f>'P&amp;L SwCo Good'!B10</f>
        <v>-240000</v>
      </c>
      <c r="C10" s="55">
        <f>'P&amp;L SwCo Good'!C10</f>
        <v>-24000</v>
      </c>
      <c r="D10" s="55">
        <f>'P&amp;L SwCo Good'!D10</f>
        <v>-33600.000000000007</v>
      </c>
      <c r="E10" s="55">
        <f>'P&amp;L SwCo Good'!E10</f>
        <v>-33600.000000000007</v>
      </c>
      <c r="F10" s="55">
        <f>'P&amp;L SwCo Good'!F10</f>
        <v>-28800</v>
      </c>
      <c r="G10" s="55">
        <f>'P&amp;L SwCo Good'!G10</f>
        <v>-24000</v>
      </c>
      <c r="H10" s="55">
        <f>'P&amp;L SwCo Good'!H10</f>
        <v>-24000</v>
      </c>
      <c r="I10" s="55">
        <f>'P&amp;L SwCo Good'!I10</f>
        <v>-7200</v>
      </c>
      <c r="J10" s="55">
        <f>'P&amp;L SwCo Good'!J10</f>
        <v>-12000</v>
      </c>
      <c r="K10" s="55">
        <f>'P&amp;L SwCo Good'!K10</f>
        <v>-16800.000000000004</v>
      </c>
      <c r="L10" s="55">
        <f>'P&amp;L SwCo Good'!L10</f>
        <v>-16800.000000000004</v>
      </c>
      <c r="M10" s="55">
        <f>'P&amp;L SwCo Good'!M10</f>
        <v>-12000</v>
      </c>
      <c r="N10" s="55">
        <f>'P&amp;L SwCo Good'!N10</f>
        <v>-7200</v>
      </c>
    </row>
    <row r="11" spans="1:14">
      <c r="A11" s="45" t="s">
        <v>336</v>
      </c>
      <c r="B11" s="46">
        <f>'P&amp;L SwCo Good'!B11+'P&amp;L ExCo Good'!B11+'P&amp;L PurCo Good'!B11</f>
        <v>-1260000</v>
      </c>
      <c r="C11" s="55">
        <f>'P&amp;L SwCo Good'!C11+'P&amp;L ExCo Good'!C11+'P&amp;L PurCo Good'!C11</f>
        <v>-105000</v>
      </c>
      <c r="D11" s="55">
        <f>'P&amp;L SwCo Good'!D11+'P&amp;L ExCo Good'!D11+'P&amp;L PurCo Good'!D11</f>
        <v>-105000</v>
      </c>
      <c r="E11" s="55">
        <f>'P&amp;L SwCo Good'!E11+'P&amp;L ExCo Good'!E11+'P&amp;L PurCo Good'!E11</f>
        <v>-105000</v>
      </c>
      <c r="F11" s="55">
        <f>'P&amp;L SwCo Good'!F11+'P&amp;L ExCo Good'!F11+'P&amp;L PurCo Good'!F11</f>
        <v>-105000</v>
      </c>
      <c r="G11" s="55">
        <f>'P&amp;L SwCo Good'!G11+'P&amp;L ExCo Good'!G11+'P&amp;L PurCo Good'!G11</f>
        <v>-105000</v>
      </c>
      <c r="H11" s="55">
        <f>'P&amp;L SwCo Good'!H11+'P&amp;L ExCo Good'!H11+'P&amp;L PurCo Good'!H11</f>
        <v>-105000</v>
      </c>
      <c r="I11" s="55">
        <f>'P&amp;L SwCo Good'!I11+'P&amp;L ExCo Good'!I11+'P&amp;L PurCo Good'!I11</f>
        <v>-105000</v>
      </c>
      <c r="J11" s="55">
        <f>'P&amp;L SwCo Good'!J11+'P&amp;L ExCo Good'!J11+'P&amp;L PurCo Good'!J11</f>
        <v>-105000</v>
      </c>
      <c r="K11" s="55">
        <f>'P&amp;L SwCo Good'!K11+'P&amp;L ExCo Good'!K11+'P&amp;L PurCo Good'!K11</f>
        <v>-105000</v>
      </c>
      <c r="L11" s="55">
        <f>'P&amp;L SwCo Good'!L11+'P&amp;L ExCo Good'!L11+'P&amp;L PurCo Good'!L11</f>
        <v>-105000</v>
      </c>
      <c r="M11" s="55">
        <f>'P&amp;L SwCo Good'!M11+'P&amp;L ExCo Good'!M11+'P&amp;L PurCo Good'!M11</f>
        <v>-105000</v>
      </c>
      <c r="N11" s="55">
        <f>'P&amp;L SwCo Good'!N11+'P&amp;L ExCo Good'!N11+'P&amp;L PurCo Good'!N11</f>
        <v>-105000</v>
      </c>
    </row>
    <row r="12" spans="1:14">
      <c r="A12" s="45" t="s">
        <v>337</v>
      </c>
      <c r="B12" s="46">
        <f>'P&amp;L SwCo Good'!B12+'P&amp;L ExCo Good'!B12+'P&amp;L PurCo Good'!B12</f>
        <v>-301296</v>
      </c>
      <c r="C12" s="55">
        <f>'P&amp;L SwCo Good'!C12+'P&amp;L ExCo Good'!C12+'P&amp;L PurCo Good'!C12</f>
        <v>-25108</v>
      </c>
      <c r="D12" s="55">
        <f>'P&amp;L SwCo Good'!D12+'P&amp;L ExCo Good'!D12+'P&amp;L PurCo Good'!D12</f>
        <v>-25108</v>
      </c>
      <c r="E12" s="55">
        <f>'P&amp;L SwCo Good'!E12+'P&amp;L ExCo Good'!E12+'P&amp;L PurCo Good'!E12</f>
        <v>-25108</v>
      </c>
      <c r="F12" s="55">
        <f>'P&amp;L SwCo Good'!F12+'P&amp;L ExCo Good'!F12+'P&amp;L PurCo Good'!F12</f>
        <v>-25108</v>
      </c>
      <c r="G12" s="55">
        <f>'P&amp;L SwCo Good'!G12+'P&amp;L ExCo Good'!G12+'P&amp;L PurCo Good'!G12</f>
        <v>-25108</v>
      </c>
      <c r="H12" s="55">
        <f>'P&amp;L SwCo Good'!H12+'P&amp;L ExCo Good'!H12+'P&amp;L PurCo Good'!H12</f>
        <v>-25108</v>
      </c>
      <c r="I12" s="55">
        <f>'P&amp;L SwCo Good'!I12+'P&amp;L ExCo Good'!I12+'P&amp;L PurCo Good'!I12</f>
        <v>-25108</v>
      </c>
      <c r="J12" s="55">
        <f>'P&amp;L SwCo Good'!J12+'P&amp;L ExCo Good'!J12+'P&amp;L PurCo Good'!J12</f>
        <v>-25108</v>
      </c>
      <c r="K12" s="55">
        <f>'P&amp;L SwCo Good'!K12+'P&amp;L ExCo Good'!K12+'P&amp;L PurCo Good'!K12</f>
        <v>-25108</v>
      </c>
      <c r="L12" s="55">
        <f>'P&amp;L SwCo Good'!L12+'P&amp;L ExCo Good'!L12+'P&amp;L PurCo Good'!L12</f>
        <v>-25108</v>
      </c>
      <c r="M12" s="55">
        <f>'P&amp;L SwCo Good'!M12+'P&amp;L ExCo Good'!M12+'P&amp;L PurCo Good'!M12</f>
        <v>-25108</v>
      </c>
      <c r="N12" s="55">
        <f>'P&amp;L SwCo Good'!N12+'P&amp;L ExCo Good'!N12+'P&amp;L PurCo Good'!N12</f>
        <v>-25108</v>
      </c>
    </row>
    <row r="13" spans="1:14">
      <c r="A13" s="45" t="s">
        <v>338</v>
      </c>
      <c r="B13" s="46">
        <f>'P&amp;L SwCo Good'!B13</f>
        <v>-68368.000000000015</v>
      </c>
      <c r="C13" s="55">
        <f>'P&amp;L SwCo Good'!C13</f>
        <v>-4000</v>
      </c>
      <c r="D13" s="55">
        <f>'P&amp;L SwCo Good'!D13</f>
        <v>-4000</v>
      </c>
      <c r="E13" s="55">
        <f>'P&amp;L SwCo Good'!E13</f>
        <v>-8000</v>
      </c>
      <c r="F13" s="55">
        <f>'P&amp;L SwCo Good'!F13</f>
        <v>-8000</v>
      </c>
      <c r="G13" s="55">
        <f>'P&amp;L SwCo Good'!G13</f>
        <v>-8000</v>
      </c>
      <c r="H13" s="55">
        <f>'P&amp;L SwCo Good'!H13</f>
        <v>-8000</v>
      </c>
      <c r="I13" s="55">
        <f>'P&amp;L SwCo Good'!I13</f>
        <v>-2836.8</v>
      </c>
      <c r="J13" s="55">
        <f>'P&amp;L SwCo Good'!J13</f>
        <v>-4728</v>
      </c>
      <c r="K13" s="55">
        <f>'P&amp;L SwCo Good'!K13</f>
        <v>-6619.2000000000016</v>
      </c>
      <c r="L13" s="55">
        <f>'P&amp;L SwCo Good'!L13</f>
        <v>-6619.2000000000016</v>
      </c>
      <c r="M13" s="55">
        <f>'P&amp;L SwCo Good'!M13</f>
        <v>-4728</v>
      </c>
      <c r="N13" s="55">
        <f>'P&amp;L SwCo Good'!N13</f>
        <v>-2836.8</v>
      </c>
    </row>
    <row r="14" spans="1:14">
      <c r="A14" s="45" t="s">
        <v>339</v>
      </c>
      <c r="B14" s="46">
        <f>'P&amp;L SwCo Good'!B14</f>
        <v>-352408.66666666663</v>
      </c>
      <c r="C14" s="55">
        <f>'P&amp;L SwCo Good'!C14</f>
        <v>-10666.666666666668</v>
      </c>
      <c r="D14" s="55">
        <f>'P&amp;L SwCo Good'!D14</f>
        <v>-29933.333333333336</v>
      </c>
      <c r="E14" s="55">
        <f>'P&amp;L SwCo Good'!E14</f>
        <v>-29933.333333333336</v>
      </c>
      <c r="F14" s="55">
        <f>'P&amp;L SwCo Good'!F14</f>
        <v>-42800</v>
      </c>
      <c r="G14" s="55">
        <f>'P&amp;L SwCo Good'!G14</f>
        <v>-40666.666666666664</v>
      </c>
      <c r="H14" s="55">
        <f>'P&amp;L SwCo Good'!H14</f>
        <v>-40666.666666666664</v>
      </c>
      <c r="I14" s="55">
        <f>'P&amp;L SwCo Good'!I14</f>
        <v>-33200</v>
      </c>
      <c r="J14" s="55">
        <f>'P&amp;L SwCo Good'!J14</f>
        <v>-15971.333333333334</v>
      </c>
      <c r="K14" s="55">
        <f>'P&amp;L SwCo Good'!K14</f>
        <v>-25196.666666666668</v>
      </c>
      <c r="L14" s="55">
        <f>'P&amp;L SwCo Good'!L14</f>
        <v>-32288.666666666675</v>
      </c>
      <c r="M14" s="55">
        <f>'P&amp;L SwCo Good'!M14</f>
        <v>-30155.333333333339</v>
      </c>
      <c r="N14" s="55">
        <f>'P&amp;L SwCo Good'!N14</f>
        <v>-20930</v>
      </c>
    </row>
    <row r="15" spans="1:14">
      <c r="A15" s="45" t="s">
        <v>340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>
      <c r="A16" s="26" t="s">
        <v>341</v>
      </c>
      <c r="B16" s="44">
        <f t="shared" ref="B16:N16" si="1">B6+B7</f>
        <v>7823402.8888888806</v>
      </c>
      <c r="C16" s="44">
        <f t="shared" si="1"/>
        <v>652304.69841269962</v>
      </c>
      <c r="D16" s="44">
        <f t="shared" si="1"/>
        <v>972758.66666666418</v>
      </c>
      <c r="E16" s="44">
        <f t="shared" si="1"/>
        <v>968758.66666666418</v>
      </c>
      <c r="F16" s="44">
        <f t="shared" si="1"/>
        <v>793492</v>
      </c>
      <c r="G16" s="44">
        <f t="shared" si="1"/>
        <v>633225.33333333395</v>
      </c>
      <c r="H16" s="44">
        <f t="shared" si="1"/>
        <v>633225.33333333395</v>
      </c>
      <c r="I16" s="44">
        <f t="shared" si="1"/>
        <v>77455.200000000186</v>
      </c>
      <c r="J16" s="44">
        <f t="shared" si="1"/>
        <v>255192.66666666698</v>
      </c>
      <c r="K16" s="44">
        <f t="shared" si="1"/>
        <v>406476.13333333191</v>
      </c>
      <c r="L16" s="44">
        <f t="shared" si="1"/>
        <v>399384.13333333191</v>
      </c>
      <c r="M16" s="44">
        <f t="shared" si="1"/>
        <v>241008.66666666698</v>
      </c>
      <c r="N16" s="44">
        <f t="shared" si="1"/>
        <v>89725.200000000186</v>
      </c>
    </row>
    <row r="17" spans="1:14">
      <c r="A17" s="45" t="s">
        <v>342</v>
      </c>
      <c r="B17" s="46">
        <f>'P&amp;L SwCo Good'!B17+'P&amp;L ExCo Good'!B17+'P&amp;L PurCo Good'!B17</f>
        <v>-319400</v>
      </c>
      <c r="C17" s="55">
        <f>'P&amp;L SwCo Good'!C17+'P&amp;L ExCo Good'!C17+'P&amp;L PurCo Good'!C17</f>
        <v>-26616.666666666668</v>
      </c>
      <c r="D17" s="55">
        <f>'P&amp;L SwCo Good'!D17+'P&amp;L ExCo Good'!D17+'P&amp;L PurCo Good'!D17</f>
        <v>-26616.666666666668</v>
      </c>
      <c r="E17" s="55">
        <f>'P&amp;L SwCo Good'!E17+'P&amp;L ExCo Good'!E17+'P&amp;L PurCo Good'!E17</f>
        <v>-26616.666666666668</v>
      </c>
      <c r="F17" s="55">
        <f>'P&amp;L SwCo Good'!F17+'P&amp;L ExCo Good'!F17+'P&amp;L PurCo Good'!F17</f>
        <v>-26616.666666666668</v>
      </c>
      <c r="G17" s="55">
        <f>'P&amp;L SwCo Good'!G17+'P&amp;L ExCo Good'!G17+'P&amp;L PurCo Good'!G17</f>
        <v>-26616.666666666668</v>
      </c>
      <c r="H17" s="55">
        <f>'P&amp;L SwCo Good'!H17+'P&amp;L ExCo Good'!H17+'P&amp;L PurCo Good'!H17</f>
        <v>-26616.666666666668</v>
      </c>
      <c r="I17" s="55">
        <f>'P&amp;L SwCo Good'!I17+'P&amp;L ExCo Good'!I17+'P&amp;L PurCo Good'!I17</f>
        <v>-26616.666666666668</v>
      </c>
      <c r="J17" s="55">
        <f>'P&amp;L SwCo Good'!J17+'P&amp;L ExCo Good'!J17+'P&amp;L PurCo Good'!J17</f>
        <v>-26616.666666666668</v>
      </c>
      <c r="K17" s="55">
        <f>'P&amp;L SwCo Good'!K17+'P&amp;L ExCo Good'!K17+'P&amp;L PurCo Good'!K17</f>
        <v>-26616.666666666668</v>
      </c>
      <c r="L17" s="55">
        <f>'P&amp;L SwCo Good'!L17+'P&amp;L ExCo Good'!L17+'P&amp;L PurCo Good'!L17</f>
        <v>-26616.666666666668</v>
      </c>
      <c r="M17" s="55">
        <f>'P&amp;L SwCo Good'!M17+'P&amp;L ExCo Good'!M17+'P&amp;L PurCo Good'!M17</f>
        <v>-26616.666666666668</v>
      </c>
      <c r="N17" s="55">
        <f>'P&amp;L SwCo Good'!N17+'P&amp;L ExCo Good'!N17+'P&amp;L PurCo Good'!N17</f>
        <v>-26616.666666666668</v>
      </c>
    </row>
    <row r="18" spans="1:14">
      <c r="A18" s="45" t="s">
        <v>343</v>
      </c>
      <c r="B18" s="46">
        <f>'P&amp;L SwCo Good'!B18+'P&amp;L ExCo Good'!B18+'P&amp;L PurCo Good'!B18</f>
        <v>-1615360</v>
      </c>
      <c r="C18" s="55">
        <f>'P&amp;L SwCo Good'!C18+'P&amp;L ExCo Good'!C18+'P&amp;L PurCo Good'!C18</f>
        <v>-146613.33333333331</v>
      </c>
      <c r="D18" s="55">
        <f>'P&amp;L SwCo Good'!D18+'P&amp;L ExCo Good'!D18+'P&amp;L PurCo Good'!D18</f>
        <v>-175413.33333333337</v>
      </c>
      <c r="E18" s="55">
        <f>'P&amp;L SwCo Good'!E18+'P&amp;L ExCo Good'!E18+'P&amp;L PurCo Good'!E18</f>
        <v>-175413.33333333337</v>
      </c>
      <c r="F18" s="55">
        <f>'P&amp;L SwCo Good'!F18+'P&amp;L ExCo Good'!F18+'P&amp;L PurCo Good'!F18</f>
        <v>-161013.33333333331</v>
      </c>
      <c r="G18" s="55">
        <f>'P&amp;L SwCo Good'!G18+'P&amp;L ExCo Good'!G18+'P&amp;L PurCo Good'!G18</f>
        <v>-146613.33333333331</v>
      </c>
      <c r="H18" s="55">
        <f>'P&amp;L SwCo Good'!H18+'P&amp;L ExCo Good'!H18+'P&amp;L PurCo Good'!H18</f>
        <v>-146613.33333333331</v>
      </c>
      <c r="I18" s="55">
        <f>'P&amp;L SwCo Good'!I18+'P&amp;L ExCo Good'!I18+'P&amp;L PurCo Good'!I18</f>
        <v>-96213.333333333328</v>
      </c>
      <c r="J18" s="55">
        <f>'P&amp;L SwCo Good'!J18+'P&amp;L ExCo Good'!J18+'P&amp;L PurCo Good'!J18</f>
        <v>-110613.33333333333</v>
      </c>
      <c r="K18" s="55">
        <f>'P&amp;L SwCo Good'!K18+'P&amp;L ExCo Good'!K18+'P&amp;L PurCo Good'!K18</f>
        <v>-125013.33333333334</v>
      </c>
      <c r="L18" s="55">
        <f>'P&amp;L SwCo Good'!L18+'P&amp;L ExCo Good'!L18+'P&amp;L PurCo Good'!L18</f>
        <v>-125013.33333333334</v>
      </c>
      <c r="M18" s="55">
        <f>'P&amp;L SwCo Good'!M18+'P&amp;L ExCo Good'!M18+'P&amp;L PurCo Good'!M18</f>
        <v>-110613.33333333333</v>
      </c>
      <c r="N18" s="55">
        <f>'P&amp;L SwCo Good'!N18+'P&amp;L ExCo Good'!N18+'P&amp;L PurCo Good'!N18</f>
        <v>-96213.333333333328</v>
      </c>
    </row>
    <row r="19" spans="1:14">
      <c r="A19" s="45" t="s">
        <v>344</v>
      </c>
      <c r="B19" s="46">
        <f>'P&amp;L SwCo Good'!B19+'P&amp;L ExCo Good'!B19+'P&amp;L PurCo Good'!B19</f>
        <v>-432000</v>
      </c>
      <c r="C19" s="55">
        <f>'P&amp;L SwCo Good'!C19+'P&amp;L ExCo Good'!C19+'P&amp;L PurCo Good'!C19</f>
        <v>-36000</v>
      </c>
      <c r="D19" s="55">
        <f>'P&amp;L SwCo Good'!D19+'P&amp;L ExCo Good'!D19+'P&amp;L PurCo Good'!D19</f>
        <v>-36000</v>
      </c>
      <c r="E19" s="55">
        <f>'P&amp;L SwCo Good'!E19+'P&amp;L ExCo Good'!E19+'P&amp;L PurCo Good'!E19</f>
        <v>-36000</v>
      </c>
      <c r="F19" s="55">
        <f>'P&amp;L SwCo Good'!F19+'P&amp;L ExCo Good'!F19+'P&amp;L PurCo Good'!F19</f>
        <v>-36000</v>
      </c>
      <c r="G19" s="55">
        <f>'P&amp;L SwCo Good'!G19+'P&amp;L ExCo Good'!G19+'P&amp;L PurCo Good'!G19</f>
        <v>-36000</v>
      </c>
      <c r="H19" s="55">
        <f>'P&amp;L SwCo Good'!H19+'P&amp;L ExCo Good'!H19+'P&amp;L PurCo Good'!H19</f>
        <v>-36000</v>
      </c>
      <c r="I19" s="55">
        <f>'P&amp;L SwCo Good'!I19+'P&amp;L ExCo Good'!I19+'P&amp;L PurCo Good'!I19</f>
        <v>-36000</v>
      </c>
      <c r="J19" s="55">
        <f>'P&amp;L SwCo Good'!J19+'P&amp;L ExCo Good'!J19+'P&amp;L PurCo Good'!J19</f>
        <v>-36000</v>
      </c>
      <c r="K19" s="55">
        <f>'P&amp;L SwCo Good'!K19+'P&amp;L ExCo Good'!K19+'P&amp;L PurCo Good'!K19</f>
        <v>-36000</v>
      </c>
      <c r="L19" s="55">
        <f>'P&amp;L SwCo Good'!L19+'P&amp;L ExCo Good'!L19+'P&amp;L PurCo Good'!L19</f>
        <v>-36000</v>
      </c>
      <c r="M19" s="55">
        <f>'P&amp;L SwCo Good'!M19+'P&amp;L ExCo Good'!M19+'P&amp;L PurCo Good'!M19</f>
        <v>-36000</v>
      </c>
      <c r="N19" s="55">
        <f>'P&amp;L SwCo Good'!N19+'P&amp;L ExCo Good'!N19+'P&amp;L PurCo Good'!N19</f>
        <v>-36000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5456642.8888888806</v>
      </c>
      <c r="C21" s="44">
        <f t="shared" ref="C21:N21" si="2">C16+C17+C18+C19+C20</f>
        <v>443074.69841269968</v>
      </c>
      <c r="D21" s="44">
        <f t="shared" si="2"/>
        <v>734728.66666666418</v>
      </c>
      <c r="E21" s="44">
        <f t="shared" si="2"/>
        <v>730728.66666666418</v>
      </c>
      <c r="F21" s="44">
        <f t="shared" si="2"/>
        <v>569862</v>
      </c>
      <c r="G21" s="44">
        <f t="shared" si="2"/>
        <v>423995.33333333401</v>
      </c>
      <c r="H21" s="44">
        <f t="shared" si="2"/>
        <v>423995.33333333401</v>
      </c>
      <c r="I21" s="44">
        <f t="shared" si="2"/>
        <v>-81374.799999999814</v>
      </c>
      <c r="J21" s="44">
        <f t="shared" si="2"/>
        <v>81962.666666666992</v>
      </c>
      <c r="K21" s="44">
        <f t="shared" si="2"/>
        <v>218846.13333333188</v>
      </c>
      <c r="L21" s="44">
        <f t="shared" si="2"/>
        <v>211754.13333333188</v>
      </c>
      <c r="M21" s="44">
        <f t="shared" si="2"/>
        <v>67778.666666666992</v>
      </c>
      <c r="N21" s="44">
        <f t="shared" si="2"/>
        <v>-69104.799999999814</v>
      </c>
    </row>
    <row r="22" spans="1:14">
      <c r="A22" s="45" t="s">
        <v>347</v>
      </c>
      <c r="B22" s="46">
        <f t="shared" ref="B22:N22" si="3">B23+B24+B26+B25</f>
        <v>-1800000</v>
      </c>
      <c r="C22" s="46">
        <f t="shared" si="3"/>
        <v>-168000</v>
      </c>
      <c r="D22" s="46">
        <f t="shared" si="3"/>
        <v>-168000</v>
      </c>
      <c r="E22" s="46">
        <f t="shared" si="3"/>
        <v>-126000</v>
      </c>
      <c r="F22" s="46">
        <f t="shared" si="3"/>
        <v>-303000</v>
      </c>
      <c r="G22" s="46">
        <f t="shared" si="3"/>
        <v>0</v>
      </c>
      <c r="H22" s="46">
        <f t="shared" si="3"/>
        <v>0</v>
      </c>
      <c r="I22" s="46">
        <f t="shared" si="3"/>
        <v>-240000</v>
      </c>
      <c r="J22" s="46">
        <f t="shared" si="3"/>
        <v>0</v>
      </c>
      <c r="K22" s="46">
        <f t="shared" si="3"/>
        <v>0</v>
      </c>
      <c r="L22" s="46">
        <f t="shared" si="3"/>
        <v>-240000</v>
      </c>
      <c r="M22" s="46">
        <f t="shared" si="3"/>
        <v>-105000</v>
      </c>
      <c r="N22" s="46">
        <f t="shared" si="3"/>
        <v>-450000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>
      <c r="A24" s="12"/>
      <c r="B24" s="46">
        <f>'P&amp;L SwCo Bad'!B26</f>
        <v>-480000</v>
      </c>
      <c r="C24" s="55">
        <f>'P&amp;L SwCo Bad'!C26</f>
        <v>0</v>
      </c>
      <c r="D24" s="55">
        <f>'P&amp;L SwCo Bad'!D26</f>
        <v>0</v>
      </c>
      <c r="E24" s="55">
        <f>'P&amp;L SwCo Bad'!E26</f>
        <v>0</v>
      </c>
      <c r="F24" s="55">
        <f>'P&amp;L SwCo Bad'!F26</f>
        <v>-120000</v>
      </c>
      <c r="G24" s="55">
        <f>'P&amp;L SwCo Bad'!G26</f>
        <v>0</v>
      </c>
      <c r="H24" s="55">
        <f>'P&amp;L SwCo Bad'!H26</f>
        <v>0</v>
      </c>
      <c r="I24" s="55">
        <f>'P&amp;L SwCo Bad'!I26</f>
        <v>-120000</v>
      </c>
      <c r="J24" s="55">
        <f>'P&amp;L SwCo Bad'!J26</f>
        <v>0</v>
      </c>
      <c r="K24" s="55">
        <f>'P&amp;L SwCo Bad'!K26</f>
        <v>0</v>
      </c>
      <c r="L24" s="55">
        <f>'P&amp;L SwCo Bad'!L26</f>
        <v>-120000</v>
      </c>
      <c r="M24" s="55">
        <f>'P&amp;L SwCo Bad'!M26</f>
        <v>0</v>
      </c>
      <c r="N24" s="55">
        <f>'P&amp;L SwCo Bad'!N26</f>
        <v>-120000</v>
      </c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>
      <c r="A26" s="12" t="s">
        <v>349</v>
      </c>
      <c r="B26" s="46">
        <f>'P&amp;L SwCo Good'!B26+'P&amp;L ExCo Good'!B26+'P&amp;L PurCo Good'!B26</f>
        <v>-1320000</v>
      </c>
      <c r="C26" s="55">
        <f>'P&amp;L SwCo Good'!C26+'P&amp;L ExCo Good'!C26+'P&amp;L PurCo Good'!C26</f>
        <v>-168000</v>
      </c>
      <c r="D26" s="55">
        <f>'P&amp;L SwCo Good'!D26+'P&amp;L ExCo Good'!D26+'P&amp;L PurCo Good'!D26</f>
        <v>-168000</v>
      </c>
      <c r="E26" s="55">
        <f>'P&amp;L SwCo Good'!E26+'P&amp;L ExCo Good'!E26+'P&amp;L PurCo Good'!E26</f>
        <v>-126000</v>
      </c>
      <c r="F26" s="55">
        <f>'P&amp;L SwCo Good'!F26+'P&amp;L ExCo Good'!F26+'P&amp;L PurCo Good'!F26</f>
        <v>-183000</v>
      </c>
      <c r="G26" s="55">
        <f>'P&amp;L SwCo Good'!G26+'P&amp;L ExCo Good'!G26+'P&amp;L PurCo Good'!G26</f>
        <v>0</v>
      </c>
      <c r="H26" s="55">
        <f>'P&amp;L SwCo Good'!H26+'P&amp;L ExCo Good'!H26+'P&amp;L PurCo Good'!H26</f>
        <v>0</v>
      </c>
      <c r="I26" s="55">
        <f>'P&amp;L SwCo Good'!I26+'P&amp;L ExCo Good'!I26+'P&amp;L PurCo Good'!I26</f>
        <v>-120000</v>
      </c>
      <c r="J26" s="55">
        <f>'P&amp;L SwCo Good'!J26+'P&amp;L ExCo Good'!J26+'P&amp;L PurCo Good'!J26</f>
        <v>0</v>
      </c>
      <c r="K26" s="55">
        <f>'P&amp;L SwCo Good'!K26+'P&amp;L ExCo Good'!K26+'P&amp;L PurCo Good'!K26</f>
        <v>0</v>
      </c>
      <c r="L26" s="55">
        <f>'P&amp;L SwCo Good'!L26+'P&amp;L ExCo Good'!L26+'P&amp;L PurCo Good'!L26</f>
        <v>-120000</v>
      </c>
      <c r="M26" s="55">
        <f>'P&amp;L SwCo Good'!M26+'P&amp;L ExCo Good'!M26+'P&amp;L PurCo Good'!M26</f>
        <v>-105000</v>
      </c>
      <c r="N26" s="55">
        <f>'P&amp;L SwCo Good'!N26+'P&amp;L ExCo Good'!N26+'P&amp;L PurCo Good'!N26</f>
        <v>-330000</v>
      </c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4">B21+B22+B27+B28</f>
        <v>3656642.8888888806</v>
      </c>
      <c r="C29" s="44">
        <f t="shared" si="4"/>
        <v>275074.69841269968</v>
      </c>
      <c r="D29" s="44">
        <f t="shared" si="4"/>
        <v>566728.66666666418</v>
      </c>
      <c r="E29" s="44">
        <f t="shared" si="4"/>
        <v>604728.66666666418</v>
      </c>
      <c r="F29" s="44">
        <f t="shared" si="4"/>
        <v>266862</v>
      </c>
      <c r="G29" s="44">
        <f t="shared" si="4"/>
        <v>423995.33333333401</v>
      </c>
      <c r="H29" s="44">
        <f t="shared" si="4"/>
        <v>423995.33333333401</v>
      </c>
      <c r="I29" s="44">
        <f t="shared" si="4"/>
        <v>-321374.79999999981</v>
      </c>
      <c r="J29" s="44">
        <f t="shared" si="4"/>
        <v>81962.666666666992</v>
      </c>
      <c r="K29" s="44">
        <f t="shared" si="4"/>
        <v>218846.13333333188</v>
      </c>
      <c r="L29" s="44">
        <f t="shared" si="4"/>
        <v>-28245.866666668124</v>
      </c>
      <c r="M29" s="44">
        <f t="shared" si="4"/>
        <v>-37221.333333333008</v>
      </c>
      <c r="N29" s="44">
        <f t="shared" si="4"/>
        <v>-519104.79999999981</v>
      </c>
    </row>
    <row r="30" spans="1:14">
      <c r="A30" s="45" t="s">
        <v>359</v>
      </c>
      <c r="B30" s="46">
        <f>'P&amp;L SwCo Good'!B30+'P&amp;L ExCo Good'!B30+'P&amp;L PurCo Good'!B30</f>
        <v>-920871.33808304998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2735771.5508058304</v>
      </c>
      <c r="C31" s="44">
        <f t="shared" ref="C31:N31" si="5">C29+C30</f>
        <v>275074.69841269968</v>
      </c>
      <c r="D31" s="44">
        <f t="shared" si="5"/>
        <v>566728.66666666418</v>
      </c>
      <c r="E31" s="44">
        <f t="shared" si="5"/>
        <v>604728.66666666418</v>
      </c>
      <c r="F31" s="44">
        <f t="shared" si="5"/>
        <v>266862</v>
      </c>
      <c r="G31" s="44">
        <f t="shared" si="5"/>
        <v>423995.33333333401</v>
      </c>
      <c r="H31" s="44">
        <f t="shared" si="5"/>
        <v>423995.33333333401</v>
      </c>
      <c r="I31" s="44">
        <f t="shared" si="5"/>
        <v>-321374.79999999981</v>
      </c>
      <c r="J31" s="44">
        <f t="shared" si="5"/>
        <v>81962.666666666992</v>
      </c>
      <c r="K31" s="44">
        <f t="shared" si="5"/>
        <v>218846.13333333188</v>
      </c>
      <c r="L31" s="44">
        <f t="shared" si="5"/>
        <v>-28245.866666668124</v>
      </c>
      <c r="M31" s="44">
        <f t="shared" si="5"/>
        <v>-37221.333333333008</v>
      </c>
      <c r="N31" s="44">
        <f t="shared" si="5"/>
        <v>-519104.79999999981</v>
      </c>
    </row>
    <row r="32" spans="1:14">
      <c r="A32" s="26" t="s">
        <v>355</v>
      </c>
      <c r="B32" s="50">
        <f>'P&amp;L SwCo Good'!B32+'P&amp;L ExCo Good'!B32+'P&amp;L PurCo Good'!B32</f>
        <v>-2430965.7754029152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6">B31+B32</f>
        <v>304805.7754029152</v>
      </c>
      <c r="C33" s="53">
        <f t="shared" si="6"/>
        <v>275074.69841269968</v>
      </c>
      <c r="D33" s="53">
        <f t="shared" si="6"/>
        <v>566728.66666666418</v>
      </c>
      <c r="E33" s="53">
        <f t="shared" si="6"/>
        <v>604728.66666666418</v>
      </c>
      <c r="F33" s="53">
        <f t="shared" si="6"/>
        <v>266862</v>
      </c>
      <c r="G33" s="53">
        <f t="shared" si="6"/>
        <v>423995.33333333401</v>
      </c>
      <c r="H33" s="53">
        <f t="shared" si="6"/>
        <v>423995.33333333401</v>
      </c>
      <c r="I33" s="53">
        <f t="shared" si="6"/>
        <v>-321374.79999999981</v>
      </c>
      <c r="J33" s="53">
        <f t="shared" si="6"/>
        <v>81962.666666666992</v>
      </c>
      <c r="K33" s="53">
        <f t="shared" si="6"/>
        <v>218846.13333333188</v>
      </c>
      <c r="L33" s="53">
        <f t="shared" si="6"/>
        <v>-28245.866666668124</v>
      </c>
      <c r="M33" s="53">
        <f t="shared" si="6"/>
        <v>-37221.333333333008</v>
      </c>
      <c r="N33" s="53">
        <f t="shared" si="6"/>
        <v>-519104.79999999981</v>
      </c>
    </row>
    <row r="34" spans="1:14">
      <c r="B34" s="51"/>
      <c r="C34" s="51"/>
      <c r="D34" s="51"/>
      <c r="E34" s="5"/>
      <c r="F34" s="5"/>
      <c r="G34" s="5"/>
      <c r="H34" s="5"/>
    </row>
    <row r="35" spans="1:14" ht="33.6">
      <c r="A35" s="76" t="s">
        <v>361</v>
      </c>
      <c r="B35" s="54">
        <f>B31-B32-B24</f>
        <v>5646737.3262087461</v>
      </c>
      <c r="C35" s="51"/>
      <c r="D35" s="51"/>
      <c r="E35" s="5"/>
      <c r="F35" s="5"/>
      <c r="G35" s="5"/>
      <c r="H35" s="5"/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pane xSplit="1" ySplit="5" topLeftCell="B41" activePane="bottomRight" state="frozen"/>
      <selection pane="topRight" activeCell="B1" sqref="B1"/>
      <selection pane="bottomLeft" activeCell="A5" sqref="A5"/>
      <selection pane="bottomRight"/>
    </sheetView>
  </sheetViews>
  <sheetFormatPr defaultRowHeight="18"/>
  <cols>
    <col min="1" max="1" width="79.44140625" style="45" customWidth="1"/>
    <col min="2" max="2" width="18.77734375" style="4" hidden="1" customWidth="1"/>
    <col min="3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362</v>
      </c>
    </row>
    <row r="3" spans="1:14" ht="21">
      <c r="A3" s="43" t="s">
        <v>360</v>
      </c>
    </row>
    <row r="4" spans="1:14" ht="21">
      <c r="A4" s="43" t="s">
        <v>329</v>
      </c>
      <c r="B4" s="19" t="s">
        <v>6</v>
      </c>
      <c r="C4" s="19" t="s">
        <v>328</v>
      </c>
    </row>
    <row r="5" spans="1:14">
      <c r="B5" s="80" t="s">
        <v>9</v>
      </c>
      <c r="C5" s="1" t="s">
        <v>129</v>
      </c>
      <c r="D5" s="1" t="s">
        <v>130</v>
      </c>
      <c r="E5" s="1" t="s">
        <v>131</v>
      </c>
      <c r="F5" s="1" t="s">
        <v>132</v>
      </c>
      <c r="G5" s="1" t="s">
        <v>133</v>
      </c>
      <c r="H5" s="1" t="s">
        <v>134</v>
      </c>
      <c r="I5" s="1" t="s">
        <v>135</v>
      </c>
      <c r="J5" s="1" t="s">
        <v>136</v>
      </c>
      <c r="K5" s="1" t="s">
        <v>137</v>
      </c>
      <c r="L5" s="1" t="s">
        <v>138</v>
      </c>
      <c r="M5" s="1" t="s">
        <v>139</v>
      </c>
      <c r="N5" s="1" t="s">
        <v>140</v>
      </c>
    </row>
    <row r="6" spans="1:14" ht="21">
      <c r="A6" s="43" t="s">
        <v>363</v>
      </c>
    </row>
    <row r="7" spans="1:14" s="16" customFormat="1" ht="15.6">
      <c r="A7" s="16" t="s">
        <v>302</v>
      </c>
      <c r="B7" s="54">
        <f>SUM(C7:N7)</f>
        <v>112093000</v>
      </c>
      <c r="C7" s="54">
        <f>'P&amp;L Cons Bad'!C6*Assumptions!$B$79</f>
        <v>5690000</v>
      </c>
      <c r="D7" s="54">
        <f>('P&amp;L Cons Bad'!D6+'P&amp;L Cons Bad'!C6)*Assumptions!$B$79</f>
        <v>13656000</v>
      </c>
      <c r="E7" s="54">
        <f>('P&amp;L Cons Bad'!E6+'P&amp;L Cons Bad'!D6)*Assumptions!$B$79</f>
        <v>15932000.000000002</v>
      </c>
      <c r="F7" s="54">
        <f>('P&amp;L Cons Bad'!F6+'P&amp;L Cons Bad'!E6)*Assumptions!$B$79</f>
        <v>14794000</v>
      </c>
      <c r="G7" s="54">
        <f>('P&amp;L Cons Bad'!G6+'P&amp;L Cons Bad'!F6)*Assumptions!$B$79</f>
        <v>12518000</v>
      </c>
      <c r="H7" s="54">
        <f>('P&amp;L Cons Bad'!H6+'P&amp;L Cons Bad'!G6)*Assumptions!$B$79</f>
        <v>11380000</v>
      </c>
      <c r="I7" s="54">
        <f>('P&amp;L Cons Bad'!I6+'P&amp;L Cons Bad'!H6)*Assumptions!$B$79</f>
        <v>7397000</v>
      </c>
      <c r="J7" s="54">
        <f>('P&amp;L Cons Bad'!J6+'P&amp;L Cons Bad'!I6)*Assumptions!$B$79</f>
        <v>4552000</v>
      </c>
      <c r="K7" s="54">
        <f>('P&amp;L Cons Bad'!K6+'P&amp;L Cons Bad'!J6)*Assumptions!$B$79</f>
        <v>6828000</v>
      </c>
      <c r="L7" s="54">
        <f>('P&amp;L Cons Bad'!L6+'P&amp;L Cons Bad'!K6)*Assumptions!$B$79</f>
        <v>7966000.0000000009</v>
      </c>
      <c r="M7" s="54">
        <f>('P&amp;L Cons Bad'!M6+'P&amp;L Cons Bad'!L6)*Assumptions!$B$79</f>
        <v>6828000</v>
      </c>
      <c r="N7" s="54">
        <f>('P&amp;L Cons Bad'!N6+'P&amp;L Cons Bad'!M6)*Assumptions!$B$79</f>
        <v>4552000</v>
      </c>
    </row>
    <row r="8" spans="1:14" s="16" customFormat="1" ht="15.6">
      <c r="A8" s="16" t="s">
        <v>380</v>
      </c>
      <c r="B8" s="54">
        <f t="shared" ref="B8:C8" si="0">SUM(B9:B19)</f>
        <v>-113454047.81855926</v>
      </c>
      <c r="C8" s="54">
        <f t="shared" si="0"/>
        <v>-11293772.746031744</v>
      </c>
      <c r="D8" s="54">
        <f t="shared" ref="D8:N8" si="1">SUM(D9:D19)</f>
        <v>-15706178.000000004</v>
      </c>
      <c r="E8" s="54">
        <f t="shared" si="1"/>
        <v>-15710178.000000004</v>
      </c>
      <c r="F8" s="54">
        <f t="shared" si="1"/>
        <v>-13526345.444444444</v>
      </c>
      <c r="G8" s="54">
        <f t="shared" si="1"/>
        <v>-11298191.333333332</v>
      </c>
      <c r="H8" s="54">
        <f t="shared" si="1"/>
        <v>-11298191.333333332</v>
      </c>
      <c r="I8" s="54">
        <f t="shared" si="1"/>
        <v>-3560356.6444444442</v>
      </c>
      <c r="J8" s="54">
        <f t="shared" si="1"/>
        <v>-5741252</v>
      </c>
      <c r="K8" s="54">
        <f t="shared" si="1"/>
        <v>-7963394.1333333356</v>
      </c>
      <c r="L8" s="54">
        <f t="shared" si="1"/>
        <v>-7984882.9111111136</v>
      </c>
      <c r="M8" s="54">
        <f t="shared" si="1"/>
        <v>-5754908</v>
      </c>
      <c r="N8" s="54">
        <f t="shared" si="1"/>
        <v>-3616397.2725274945</v>
      </c>
    </row>
    <row r="9" spans="1:14" s="32" customFormat="1" ht="14.4">
      <c r="A9" s="32" t="s">
        <v>364</v>
      </c>
      <c r="B9" s="50">
        <f t="shared" ref="B9:B18" si="2">SUM(C9:N9)</f>
        <v>-87768000</v>
      </c>
      <c r="C9" s="50">
        <f>'P&amp;L Cons Bad'!C8</f>
        <v>-8776800</v>
      </c>
      <c r="D9" s="50">
        <f>'P&amp;L Cons Bad'!D8</f>
        <v>-12287520.000000004</v>
      </c>
      <c r="E9" s="50">
        <f>'P&amp;L Cons Bad'!E8</f>
        <v>-12287520.000000004</v>
      </c>
      <c r="F9" s="50">
        <f>'P&amp;L Cons Bad'!F8</f>
        <v>-10532160</v>
      </c>
      <c r="G9" s="50">
        <f>'P&amp;L Cons Bad'!G8</f>
        <v>-8776800</v>
      </c>
      <c r="H9" s="50">
        <f>'P&amp;L Cons Bad'!H8</f>
        <v>-8776800</v>
      </c>
      <c r="I9" s="50">
        <f>'P&amp;L Cons Bad'!I8</f>
        <v>-2633040</v>
      </c>
      <c r="J9" s="50">
        <f>'P&amp;L Cons Bad'!J8</f>
        <v>-4388400</v>
      </c>
      <c r="K9" s="50">
        <f>'P&amp;L Cons Bad'!K8</f>
        <v>-6143760.0000000019</v>
      </c>
      <c r="L9" s="50">
        <f>'P&amp;L Cons Bad'!L8</f>
        <v>-6143760.0000000019</v>
      </c>
      <c r="M9" s="50">
        <f>'P&amp;L Cons Bad'!M8</f>
        <v>-4388400</v>
      </c>
      <c r="N9" s="50">
        <f>'P&amp;L Cons Bad'!N8</f>
        <v>-2633040</v>
      </c>
    </row>
    <row r="10" spans="1:14" s="32" customFormat="1" ht="14.4">
      <c r="A10" s="32" t="s">
        <v>365</v>
      </c>
      <c r="B10" s="50">
        <f t="shared" si="2"/>
        <v>-21854920.634920638</v>
      </c>
      <c r="C10" s="50">
        <f>'P&amp;L Cons Bad'!C9</f>
        <v>-2198920.6349206348</v>
      </c>
      <c r="D10" s="50">
        <f>'P&amp;L Cons Bad'!D9</f>
        <v>-3057600.0000000009</v>
      </c>
      <c r="E10" s="50">
        <f>'P&amp;L Cons Bad'!E9</f>
        <v>-3057600.0000000009</v>
      </c>
      <c r="F10" s="50">
        <f>'P&amp;L Cons Bad'!F9</f>
        <v>-2620800</v>
      </c>
      <c r="G10" s="50">
        <f>'P&amp;L Cons Bad'!G9</f>
        <v>-2184000</v>
      </c>
      <c r="H10" s="50">
        <f>'P&amp;L Cons Bad'!H9</f>
        <v>-2184000</v>
      </c>
      <c r="I10" s="50">
        <f>'P&amp;L Cons Bad'!I9</f>
        <v>-655200</v>
      </c>
      <c r="J10" s="50">
        <f>'P&amp;L Cons Bad'!J9</f>
        <v>-1092000</v>
      </c>
      <c r="K10" s="50">
        <f>'P&amp;L Cons Bad'!K9</f>
        <v>-1528800.0000000005</v>
      </c>
      <c r="L10" s="50">
        <f>'P&amp;L Cons Bad'!L9</f>
        <v>-1528800.0000000005</v>
      </c>
      <c r="M10" s="50">
        <f>'P&amp;L Cons Bad'!M9</f>
        <v>-1092000</v>
      </c>
      <c r="N10" s="50">
        <f>'P&amp;L Cons Bad'!N9</f>
        <v>-655200</v>
      </c>
    </row>
    <row r="11" spans="1:14" s="32" customFormat="1" ht="14.4">
      <c r="A11" s="32" t="s">
        <v>336</v>
      </c>
      <c r="B11" s="50">
        <f t="shared" si="2"/>
        <v>-1692000</v>
      </c>
      <c r="C11" s="50">
        <f>'P&amp;L Cons Bad'!C11+'P&amp;L Cons Bad'!C19</f>
        <v>-141000</v>
      </c>
      <c r="D11" s="50">
        <f>'P&amp;L Cons Bad'!D11+'P&amp;L Cons Bad'!D19</f>
        <v>-141000</v>
      </c>
      <c r="E11" s="50">
        <f>'P&amp;L Cons Bad'!E11+'P&amp;L Cons Bad'!E19</f>
        <v>-141000</v>
      </c>
      <c r="F11" s="50">
        <f>'P&amp;L Cons Bad'!F11+'P&amp;L Cons Bad'!F19</f>
        <v>-141000</v>
      </c>
      <c r="G11" s="50">
        <f>'P&amp;L Cons Bad'!G11+'P&amp;L Cons Bad'!G19</f>
        <v>-141000</v>
      </c>
      <c r="H11" s="50">
        <f>'P&amp;L Cons Bad'!H11+'P&amp;L Cons Bad'!H19</f>
        <v>-141000</v>
      </c>
      <c r="I11" s="50">
        <f>'P&amp;L Cons Bad'!I11+'P&amp;L Cons Bad'!I19</f>
        <v>-141000</v>
      </c>
      <c r="J11" s="50">
        <f>'P&amp;L Cons Bad'!J11+'P&amp;L Cons Bad'!J19</f>
        <v>-141000</v>
      </c>
      <c r="K11" s="50">
        <f>'P&amp;L Cons Bad'!K11+'P&amp;L Cons Bad'!K19</f>
        <v>-141000</v>
      </c>
      <c r="L11" s="50">
        <f>'P&amp;L Cons Bad'!L11+'P&amp;L Cons Bad'!L19</f>
        <v>-141000</v>
      </c>
      <c r="M11" s="50">
        <f>'P&amp;L Cons Bad'!M11+'P&amp;L Cons Bad'!M19</f>
        <v>-141000</v>
      </c>
      <c r="N11" s="50">
        <f>'P&amp;L Cons Bad'!N11+'P&amp;L Cons Bad'!N19</f>
        <v>-141000</v>
      </c>
    </row>
    <row r="12" spans="1:14" s="32" customFormat="1" ht="14.4">
      <c r="A12" s="32" t="s">
        <v>337</v>
      </c>
      <c r="B12" s="50">
        <f t="shared" si="2"/>
        <v>-301296</v>
      </c>
      <c r="C12" s="50">
        <f>'P&amp;L Cons Bad'!C12</f>
        <v>-25108</v>
      </c>
      <c r="D12" s="50">
        <f>'P&amp;L Cons Bad'!D12</f>
        <v>-25108</v>
      </c>
      <c r="E12" s="50">
        <f>'P&amp;L Cons Bad'!E12</f>
        <v>-25108</v>
      </c>
      <c r="F12" s="50">
        <f>'P&amp;L Cons Bad'!F12</f>
        <v>-25108</v>
      </c>
      <c r="G12" s="50">
        <f>'P&amp;L Cons Bad'!G12</f>
        <v>-25108</v>
      </c>
      <c r="H12" s="50">
        <f>'P&amp;L Cons Bad'!H12</f>
        <v>-25108</v>
      </c>
      <c r="I12" s="50">
        <f>'P&amp;L Cons Bad'!I12</f>
        <v>-25108</v>
      </c>
      <c r="J12" s="50">
        <f>'P&amp;L Cons Bad'!J12</f>
        <v>-25108</v>
      </c>
      <c r="K12" s="50">
        <f>'P&amp;L Cons Bad'!K12</f>
        <v>-25108</v>
      </c>
      <c r="L12" s="50">
        <f>'P&amp;L Cons Bad'!L12</f>
        <v>-25108</v>
      </c>
      <c r="M12" s="50">
        <f>'P&amp;L Cons Bad'!M12</f>
        <v>-25108</v>
      </c>
      <c r="N12" s="50">
        <f>'P&amp;L Cons Bad'!N12</f>
        <v>-25108</v>
      </c>
    </row>
    <row r="13" spans="1:14" s="32" customFormat="1" ht="14.4">
      <c r="A13" s="32" t="s">
        <v>335</v>
      </c>
      <c r="B13" s="50">
        <f t="shared" si="2"/>
        <v>-240000</v>
      </c>
      <c r="C13" s="50">
        <f>'P&amp;L Cons Bad'!C10</f>
        <v>-24000</v>
      </c>
      <c r="D13" s="50">
        <f>'P&amp;L Cons Bad'!D10</f>
        <v>-33600.000000000007</v>
      </c>
      <c r="E13" s="50">
        <f>'P&amp;L Cons Bad'!E10</f>
        <v>-33600.000000000007</v>
      </c>
      <c r="F13" s="50">
        <f>'P&amp;L Cons Bad'!F10</f>
        <v>-28800</v>
      </c>
      <c r="G13" s="50">
        <f>'P&amp;L Cons Bad'!G10</f>
        <v>-24000</v>
      </c>
      <c r="H13" s="50">
        <f>'P&amp;L Cons Bad'!H10</f>
        <v>-24000</v>
      </c>
      <c r="I13" s="50">
        <f>'P&amp;L Cons Bad'!I10</f>
        <v>-7200</v>
      </c>
      <c r="J13" s="50">
        <f>'P&amp;L Cons Bad'!J10</f>
        <v>-12000</v>
      </c>
      <c r="K13" s="50">
        <f>'P&amp;L Cons Bad'!K10</f>
        <v>-16800.000000000004</v>
      </c>
      <c r="L13" s="50">
        <f>'P&amp;L Cons Bad'!L10</f>
        <v>-16800.000000000004</v>
      </c>
      <c r="M13" s="50">
        <f>'P&amp;L Cons Bad'!M10</f>
        <v>-12000</v>
      </c>
      <c r="N13" s="50">
        <f>'P&amp;L Cons Bad'!N10</f>
        <v>-7200</v>
      </c>
    </row>
    <row r="14" spans="1:14" s="32" customFormat="1" ht="14.4">
      <c r="A14" s="32" t="s">
        <v>338</v>
      </c>
      <c r="B14" s="50">
        <f t="shared" si="2"/>
        <v>-67312</v>
      </c>
      <c r="C14" s="50">
        <f>'P&amp;L Cons Bad'!C13</f>
        <v>-4000</v>
      </c>
      <c r="D14" s="50">
        <f>'P&amp;L Cons Bad'!D13</f>
        <v>-4000</v>
      </c>
      <c r="E14" s="50">
        <f>'P&amp;L Cons Bad'!E13</f>
        <v>-8000</v>
      </c>
      <c r="F14" s="50">
        <f>'P&amp;L Cons Bad'!F13</f>
        <v>-8000</v>
      </c>
      <c r="G14" s="50">
        <f>'P&amp;L Cons Bad'!G13</f>
        <v>-8000</v>
      </c>
      <c r="H14" s="50">
        <f>'P&amp;L Cons Bad'!H13</f>
        <v>-8000</v>
      </c>
      <c r="I14" s="50">
        <f>'P&amp;L Cons Bad'!I13</f>
        <v>-2731.2000000000003</v>
      </c>
      <c r="J14" s="50">
        <f>'P&amp;L Cons Bad'!J13</f>
        <v>-4552</v>
      </c>
      <c r="K14" s="50">
        <f>'P&amp;L Cons Bad'!K13</f>
        <v>-6372.8000000000011</v>
      </c>
      <c r="L14" s="50">
        <f>'P&amp;L Cons Bad'!L13</f>
        <v>-6372.8000000000011</v>
      </c>
      <c r="M14" s="50">
        <f>'P&amp;L Cons Bad'!M13</f>
        <v>-4552</v>
      </c>
      <c r="N14" s="50">
        <f>'P&amp;L Cons Bad'!N13</f>
        <v>-2731.2000000000003</v>
      </c>
    </row>
    <row r="15" spans="1:14" s="32" customFormat="1" ht="14.4">
      <c r="A15" s="32" t="s">
        <v>366</v>
      </c>
      <c r="B15" s="50">
        <f t="shared" si="2"/>
        <v>-63388.294749717272</v>
      </c>
      <c r="C15" s="50">
        <f>0.25*('P&amp;L PurCo Bad'!B30+'P&amp;L ExCo Bad'!B30)</f>
        <v>-14660.777777777614</v>
      </c>
      <c r="D15" s="50"/>
      <c r="E15" s="50"/>
      <c r="F15" s="50">
        <f>C15</f>
        <v>-14660.777777777614</v>
      </c>
      <c r="G15" s="50"/>
      <c r="H15" s="50"/>
      <c r="I15" s="50">
        <f>F15</f>
        <v>-14660.777777777614</v>
      </c>
      <c r="J15" s="50"/>
      <c r="K15" s="50"/>
      <c r="L15" s="50">
        <f>I15</f>
        <v>-14660.777777777614</v>
      </c>
      <c r="M15" s="50"/>
      <c r="N15" s="50">
        <f>'P&amp;L SwCo Bad'!B30</f>
        <v>-4745.1836386068135</v>
      </c>
    </row>
    <row r="16" spans="1:14" s="32" customFormat="1" ht="14.4">
      <c r="A16" s="32" t="s">
        <v>339</v>
      </c>
      <c r="B16" s="50">
        <f t="shared" si="2"/>
        <v>-348844.66666666669</v>
      </c>
      <c r="C16" s="50">
        <f>'P&amp;L Cons Bad'!C14</f>
        <v>-10666.666666666668</v>
      </c>
      <c r="D16" s="50">
        <f>'P&amp;L Cons Bad'!D14</f>
        <v>-29933.333333333336</v>
      </c>
      <c r="E16" s="50">
        <f>'P&amp;L Cons Bad'!E14</f>
        <v>-29933.333333333336</v>
      </c>
      <c r="F16" s="50">
        <f>'P&amp;L Cons Bad'!F14</f>
        <v>-42800</v>
      </c>
      <c r="G16" s="50">
        <f>'P&amp;L Cons Bad'!G14</f>
        <v>-40666.666666666664</v>
      </c>
      <c r="H16" s="50">
        <f>'P&amp;L Cons Bad'!H14</f>
        <v>-40666.666666666664</v>
      </c>
      <c r="I16" s="50">
        <f>'P&amp;L Cons Bad'!I14</f>
        <v>-33200</v>
      </c>
      <c r="J16" s="50">
        <f>'P&amp;L Cons Bad'!J14</f>
        <v>-15575.333333333334</v>
      </c>
      <c r="K16" s="50">
        <f>'P&amp;L Cons Bad'!K14</f>
        <v>-24536.666666666668</v>
      </c>
      <c r="L16" s="50">
        <f>'P&amp;L Cons Bad'!L14</f>
        <v>-31364.666666666672</v>
      </c>
      <c r="M16" s="50">
        <f>'P&amp;L Cons Bad'!M14</f>
        <v>-29231.333333333336</v>
      </c>
      <c r="N16" s="50">
        <f>'P&amp;L Cons Bad'!N14</f>
        <v>-20270</v>
      </c>
    </row>
    <row r="17" spans="1:14" s="32" customFormat="1" ht="14.4">
      <c r="A17" s="32" t="s">
        <v>342</v>
      </c>
      <c r="B17" s="50">
        <f t="shared" si="2"/>
        <v>-319400</v>
      </c>
      <c r="C17" s="50">
        <f>'P&amp;L Cons Bad'!C17</f>
        <v>-26616.666666666668</v>
      </c>
      <c r="D17" s="50">
        <f>'P&amp;L Cons Bad'!D17</f>
        <v>-26616.666666666668</v>
      </c>
      <c r="E17" s="50">
        <f>'P&amp;L Cons Bad'!E17</f>
        <v>-26616.666666666668</v>
      </c>
      <c r="F17" s="50">
        <f>'P&amp;L Cons Bad'!F17</f>
        <v>-26616.666666666668</v>
      </c>
      <c r="G17" s="50">
        <f>'P&amp;L Cons Bad'!G17</f>
        <v>-26616.666666666668</v>
      </c>
      <c r="H17" s="50">
        <f>'P&amp;L Cons Bad'!H17</f>
        <v>-26616.666666666668</v>
      </c>
      <c r="I17" s="50">
        <f>'P&amp;L Cons Bad'!I17</f>
        <v>-26616.666666666668</v>
      </c>
      <c r="J17" s="50">
        <f>'P&amp;L Cons Bad'!J17</f>
        <v>-26616.666666666668</v>
      </c>
      <c r="K17" s="50">
        <f>'P&amp;L Cons Bad'!K17</f>
        <v>-26616.666666666668</v>
      </c>
      <c r="L17" s="50">
        <f>'P&amp;L Cons Bad'!L17</f>
        <v>-26616.666666666668</v>
      </c>
      <c r="M17" s="50">
        <f>'P&amp;L Cons Bad'!M17</f>
        <v>-26616.666666666668</v>
      </c>
      <c r="N17" s="50">
        <f>'P&amp;L Cons Bad'!N17</f>
        <v>-26616.666666666668</v>
      </c>
    </row>
    <row r="18" spans="1:14" s="32" customFormat="1" ht="14.4">
      <c r="A18" s="32" t="s">
        <v>343</v>
      </c>
      <c r="B18" s="50">
        <f t="shared" si="2"/>
        <v>-720000</v>
      </c>
      <c r="C18" s="50">
        <f>'P&amp;L SwCo Bad'!C18</f>
        <v>-72000</v>
      </c>
      <c r="D18" s="50">
        <f>'P&amp;L SwCo Bad'!D18</f>
        <v>-100800.00000000003</v>
      </c>
      <c r="E18" s="50">
        <f>'P&amp;L SwCo Bad'!E18</f>
        <v>-100800.00000000003</v>
      </c>
      <c r="F18" s="50">
        <f>'P&amp;L SwCo Bad'!F18</f>
        <v>-86400</v>
      </c>
      <c r="G18" s="50">
        <f>'P&amp;L SwCo Bad'!G18</f>
        <v>-72000</v>
      </c>
      <c r="H18" s="50">
        <f>'P&amp;L SwCo Bad'!H18</f>
        <v>-72000</v>
      </c>
      <c r="I18" s="50">
        <f>'P&amp;L SwCo Bad'!I18</f>
        <v>-21600</v>
      </c>
      <c r="J18" s="50">
        <f>'P&amp;L SwCo Bad'!J18</f>
        <v>-36000</v>
      </c>
      <c r="K18" s="50">
        <f>'P&amp;L SwCo Bad'!K18</f>
        <v>-50400.000000000015</v>
      </c>
      <c r="L18" s="50">
        <f>'P&amp;L SwCo Bad'!L18</f>
        <v>-50400.000000000015</v>
      </c>
      <c r="M18" s="50">
        <f>'P&amp;L SwCo Bad'!M18</f>
        <v>-36000</v>
      </c>
      <c r="N18" s="50">
        <f>'P&amp;L SwCo Bad'!N18</f>
        <v>-21600</v>
      </c>
    </row>
    <row r="19" spans="1:14" s="32" customFormat="1" ht="14.4">
      <c r="A19" s="32" t="s">
        <v>355</v>
      </c>
      <c r="B19" s="50">
        <f>SUM(C19:N19)</f>
        <v>-78886.222222220895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>
        <f>'P&amp;L Cons Bad'!B32</f>
        <v>-78886.222222220895</v>
      </c>
    </row>
    <row r="20" spans="1:14" s="47" customFormat="1" ht="15.6">
      <c r="A20" s="16" t="s">
        <v>327</v>
      </c>
      <c r="B20" s="50">
        <f>SUM(C20:N20)</f>
        <v>7745125.3333333321</v>
      </c>
      <c r="C20" s="54">
        <f>Debtors!C39</f>
        <v>14689128.666666666</v>
      </c>
      <c r="D20" s="54">
        <f>Debtors!D39</f>
        <v>7386589.3333333377</v>
      </c>
      <c r="E20" s="54">
        <f>Debtors!E39</f>
        <v>-244704</v>
      </c>
      <c r="F20" s="54">
        <f>Debtors!F39</f>
        <v>-2012178.6666666716</v>
      </c>
      <c r="G20" s="54">
        <f>Debtors!G39</f>
        <v>-2011706.6666666642</v>
      </c>
      <c r="H20" s="54">
        <f>Debtors!H39</f>
        <v>896640</v>
      </c>
      <c r="I20" s="54">
        <f>Debtors!I39</f>
        <v>-8460981.333333334</v>
      </c>
      <c r="J20" s="54">
        <f>Debtors!J39</f>
        <v>3001784.666666666</v>
      </c>
      <c r="K20" s="54">
        <f>Debtors!K39</f>
        <v>1450910.666666666</v>
      </c>
      <c r="L20" s="54">
        <f>Debtors!L39</f>
        <v>-508946.39999999851</v>
      </c>
      <c r="M20" s="54">
        <f>Debtors!M39</f>
        <v>-3215153.0666666683</v>
      </c>
      <c r="N20" s="54">
        <f>Debtors!N39</f>
        <v>-3226257.8666666672</v>
      </c>
    </row>
    <row r="21" spans="1:14">
      <c r="A21" s="76" t="s">
        <v>367</v>
      </c>
      <c r="B21" s="44">
        <f>B7+B8-B20</f>
        <v>-9106173.1518925913</v>
      </c>
      <c r="C21" s="44">
        <f>C7+C8-C20</f>
        <v>-20292901.41269841</v>
      </c>
      <c r="D21" s="44">
        <f t="shared" ref="D21:N21" si="3">D7+D8-D20</f>
        <v>-9436767.3333333414</v>
      </c>
      <c r="E21" s="44">
        <f t="shared" si="3"/>
        <v>466525.99999999814</v>
      </c>
      <c r="F21" s="44">
        <f t="shared" si="3"/>
        <v>3279833.2222222276</v>
      </c>
      <c r="G21" s="44">
        <f t="shared" si="3"/>
        <v>3231515.3333333321</v>
      </c>
      <c r="H21" s="44">
        <f t="shared" si="3"/>
        <v>-814831.33333333209</v>
      </c>
      <c r="I21" s="44">
        <f t="shared" si="3"/>
        <v>12297624.688888889</v>
      </c>
      <c r="J21" s="44">
        <f t="shared" si="3"/>
        <v>-4191036.666666666</v>
      </c>
      <c r="K21" s="44">
        <f t="shared" si="3"/>
        <v>-2586304.8000000017</v>
      </c>
      <c r="L21" s="44">
        <f t="shared" si="3"/>
        <v>490063.48888888583</v>
      </c>
      <c r="M21" s="44">
        <f t="shared" si="3"/>
        <v>4288245.0666666683</v>
      </c>
      <c r="N21" s="44">
        <f t="shared" si="3"/>
        <v>4161860.5941391727</v>
      </c>
    </row>
    <row r="22" spans="1:14">
      <c r="A22" s="76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ht="21">
      <c r="A23" s="43" t="s">
        <v>368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s="32" customFormat="1" ht="14.4">
      <c r="A24" s="77" t="s">
        <v>369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s="32" customFormat="1" ht="14.4">
      <c r="A25" s="77" t="s">
        <v>370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s="32" customFormat="1" ht="14.4">
      <c r="A26" s="77" t="s">
        <v>371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s="32" customFormat="1" ht="14.4">
      <c r="A27" s="77" t="s">
        <v>372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s="32" customFormat="1" ht="14.4">
      <c r="A28" s="77" t="s">
        <v>373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s="32" customFormat="1" ht="14.4">
      <c r="A29" s="77" t="s">
        <v>374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s="32" customFormat="1" ht="14.4">
      <c r="A30" s="77" t="s">
        <v>375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4" s="32" customFormat="1" ht="14.4">
      <c r="A31" s="77" t="s">
        <v>376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4" s="26" customFormat="1">
      <c r="A32" s="76" t="s">
        <v>377</v>
      </c>
      <c r="B32" s="44">
        <f>SUM(B24:B31)</f>
        <v>0</v>
      </c>
      <c r="C32" s="44">
        <f t="shared" ref="C32:N32" si="4">SUM(C24:C31)</f>
        <v>0</v>
      </c>
      <c r="D32" s="44">
        <f t="shared" si="4"/>
        <v>0</v>
      </c>
      <c r="E32" s="44">
        <f t="shared" si="4"/>
        <v>0</v>
      </c>
      <c r="F32" s="44">
        <f t="shared" si="4"/>
        <v>0</v>
      </c>
      <c r="G32" s="44">
        <f t="shared" si="4"/>
        <v>0</v>
      </c>
      <c r="H32" s="44">
        <f t="shared" si="4"/>
        <v>0</v>
      </c>
      <c r="I32" s="44">
        <f t="shared" si="4"/>
        <v>0</v>
      </c>
      <c r="J32" s="44">
        <f t="shared" si="4"/>
        <v>0</v>
      </c>
      <c r="K32" s="44">
        <f t="shared" si="4"/>
        <v>0</v>
      </c>
      <c r="L32" s="44">
        <f t="shared" si="4"/>
        <v>0</v>
      </c>
      <c r="M32" s="44">
        <f t="shared" si="4"/>
        <v>0</v>
      </c>
      <c r="N32" s="44">
        <f t="shared" si="4"/>
        <v>0</v>
      </c>
    </row>
    <row r="33" spans="1:14" s="47" customFormat="1">
      <c r="A33" s="76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1:14" ht="21">
      <c r="A34" s="43" t="s">
        <v>378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s="16" customFormat="1" ht="15.6">
      <c r="A35" s="78" t="s">
        <v>379</v>
      </c>
      <c r="B35" s="54">
        <f>SUM(C35:N35)</f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</row>
    <row r="36" spans="1:14" s="16" customFormat="1" ht="15.6">
      <c r="A36" s="78" t="s">
        <v>381</v>
      </c>
      <c r="B36" s="54">
        <f t="shared" ref="B36:B46" si="5">SUM(C36:N36)</f>
        <v>-2170500</v>
      </c>
      <c r="C36" s="54">
        <f t="shared" ref="C36:N36" si="6">C37++C39+C38</f>
        <v>-210000</v>
      </c>
      <c r="D36" s="54">
        <f t="shared" si="6"/>
        <v>-210000</v>
      </c>
      <c r="E36" s="54">
        <f t="shared" si="6"/>
        <v>-210000</v>
      </c>
      <c r="F36" s="54">
        <f t="shared" si="6"/>
        <v>-267000</v>
      </c>
      <c r="G36" s="54">
        <f t="shared" si="6"/>
        <v>-105000</v>
      </c>
      <c r="H36" s="54">
        <f t="shared" si="6"/>
        <v>-126000</v>
      </c>
      <c r="I36" s="54">
        <f t="shared" si="6"/>
        <v>-183000</v>
      </c>
      <c r="J36" s="54">
        <f t="shared" si="6"/>
        <v>-73499.999999999985</v>
      </c>
      <c r="K36" s="54">
        <f t="shared" si="6"/>
        <v>-84000</v>
      </c>
      <c r="L36" s="54">
        <f t="shared" si="6"/>
        <v>-204000</v>
      </c>
      <c r="M36" s="54">
        <f t="shared" si="6"/>
        <v>-168000</v>
      </c>
      <c r="N36" s="54">
        <f t="shared" si="6"/>
        <v>-330000</v>
      </c>
    </row>
    <row r="37" spans="1:14" s="32" customFormat="1" ht="14.4" hidden="1">
      <c r="B37" s="50">
        <f t="shared" si="5"/>
        <v>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s="32" customFormat="1" ht="14.4">
      <c r="A38" s="32" t="s">
        <v>382</v>
      </c>
      <c r="B38" s="50">
        <f t="shared" si="5"/>
        <v>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1:14" s="32" customFormat="1" ht="14.4">
      <c r="A39" s="32" t="s">
        <v>383</v>
      </c>
      <c r="B39" s="50">
        <f t="shared" si="5"/>
        <v>-2170500</v>
      </c>
      <c r="C39" s="50">
        <f>'P&amp;L SwCo Bad'!C26+'P&amp;L ExCo Bad'!C26+'P&amp;L PurCo Bad'!C26</f>
        <v>-210000</v>
      </c>
      <c r="D39" s="50">
        <f>'P&amp;L SwCo Bad'!D26+'P&amp;L ExCo Bad'!D26+'P&amp;L PurCo Bad'!D26</f>
        <v>-210000</v>
      </c>
      <c r="E39" s="50">
        <f>'P&amp;L SwCo Bad'!E26+'P&amp;L ExCo Bad'!E26+'P&amp;L PurCo Bad'!E26</f>
        <v>-210000</v>
      </c>
      <c r="F39" s="50">
        <f>'P&amp;L SwCo Bad'!F26+'P&amp;L ExCo Bad'!F26+'P&amp;L PurCo Bad'!F26</f>
        <v>-267000</v>
      </c>
      <c r="G39" s="50">
        <f>'P&amp;L SwCo Bad'!G26+'P&amp;L ExCo Bad'!G26+'P&amp;L PurCo Bad'!G26</f>
        <v>-105000</v>
      </c>
      <c r="H39" s="50">
        <f>'P&amp;L SwCo Bad'!H26+'P&amp;L ExCo Bad'!H26+'P&amp;L PurCo Bad'!H26</f>
        <v>-126000</v>
      </c>
      <c r="I39" s="50">
        <f>'P&amp;L SwCo Bad'!I26+'P&amp;L ExCo Bad'!I26+'P&amp;L PurCo Bad'!I26</f>
        <v>-183000</v>
      </c>
      <c r="J39" s="50">
        <f>'P&amp;L SwCo Bad'!J26+'P&amp;L ExCo Bad'!J26+'P&amp;L PurCo Bad'!J26</f>
        <v>-73499.999999999985</v>
      </c>
      <c r="K39" s="50">
        <f>'P&amp;L SwCo Bad'!K26+'P&amp;L ExCo Bad'!K26+'P&amp;L PurCo Bad'!K26</f>
        <v>-84000</v>
      </c>
      <c r="L39" s="50">
        <f>'P&amp;L SwCo Bad'!L26+'P&amp;L ExCo Bad'!L26+'P&amp;L PurCo Bad'!L26</f>
        <v>-204000</v>
      </c>
      <c r="M39" s="50">
        <f>'P&amp;L SwCo Bad'!M26+'P&amp;L ExCo Bad'!M26+'P&amp;L PurCo Bad'!M26</f>
        <v>-168000</v>
      </c>
      <c r="N39" s="50">
        <f>'P&amp;L SwCo Bad'!N26+'P&amp;L ExCo Bad'!N26+'P&amp;L PurCo Bad'!N26</f>
        <v>-330000</v>
      </c>
    </row>
    <row r="40" spans="1:14" s="47" customFormat="1" ht="15.6">
      <c r="A40" s="78" t="s">
        <v>384</v>
      </c>
      <c r="B40" s="54">
        <f t="shared" si="5"/>
        <v>37800000</v>
      </c>
      <c r="C40" s="50">
        <f>Financing!C6</f>
        <v>21000000</v>
      </c>
      <c r="D40" s="50">
        <f>Financing!D6</f>
        <v>0</v>
      </c>
      <c r="E40" s="50">
        <f>Financing!E6</f>
        <v>0</v>
      </c>
      <c r="F40" s="50">
        <f>Financing!F6</f>
        <v>0</v>
      </c>
      <c r="G40" s="50">
        <f>Financing!G6</f>
        <v>0</v>
      </c>
      <c r="H40" s="50">
        <f>Financing!H6</f>
        <v>2100000</v>
      </c>
      <c r="I40" s="50">
        <f>Financing!I6</f>
        <v>0</v>
      </c>
      <c r="J40" s="50">
        <f>Financing!J6</f>
        <v>1049999.9999999991</v>
      </c>
      <c r="K40" s="50">
        <f>Financing!K6</f>
        <v>1050000.0000000009</v>
      </c>
      <c r="L40" s="50">
        <f>Financing!L6</f>
        <v>0</v>
      </c>
      <c r="M40" s="50">
        <f>Financing!M6</f>
        <v>8400000</v>
      </c>
      <c r="N40" s="50">
        <f>Financing!N6</f>
        <v>4200000</v>
      </c>
    </row>
    <row r="41" spans="1:14" s="47" customFormat="1" ht="15.6">
      <c r="A41" s="78" t="s">
        <v>385</v>
      </c>
      <c r="B41" s="54">
        <f t="shared" si="5"/>
        <v>-23300000</v>
      </c>
      <c r="C41" s="50">
        <f>-Financing!C7</f>
        <v>0</v>
      </c>
      <c r="D41" s="50">
        <f>-Financing!D7</f>
        <v>0</v>
      </c>
      <c r="E41" s="50">
        <f>-Financing!E7</f>
        <v>0</v>
      </c>
      <c r="F41" s="50">
        <f>-Financing!F7</f>
        <v>-6300000.0000000019</v>
      </c>
      <c r="G41" s="50">
        <f>-Financing!G7</f>
        <v>-4199999.9999999981</v>
      </c>
      <c r="H41" s="50">
        <f>-Financing!H7</f>
        <v>0</v>
      </c>
      <c r="I41" s="50">
        <f>-Financing!I7</f>
        <v>-6300000</v>
      </c>
      <c r="J41" s="50">
        <f>-Financing!J7</f>
        <v>0</v>
      </c>
      <c r="K41" s="50">
        <f>-Financing!K7</f>
        <v>0</v>
      </c>
      <c r="L41" s="50">
        <f>-Financing!L7</f>
        <v>0</v>
      </c>
      <c r="M41" s="50">
        <f>-Financing!M7</f>
        <v>0</v>
      </c>
      <c r="N41" s="50">
        <f>-Financing!N7</f>
        <v>-6500000</v>
      </c>
    </row>
    <row r="42" spans="1:14" s="47" customFormat="1" ht="15.6">
      <c r="A42" s="78" t="s">
        <v>386</v>
      </c>
      <c r="B42" s="54">
        <f t="shared" si="5"/>
        <v>94634380</v>
      </c>
      <c r="C42" s="50">
        <f>Financing!C28+Financing!C29</f>
        <v>5000000</v>
      </c>
      <c r="D42" s="50">
        <f>Financing!D28+Financing!D29+Debtors!C26</f>
        <v>5650000</v>
      </c>
      <c r="E42" s="50">
        <f>Financing!E28+Financing!E29+Debtors!D26</f>
        <v>10650000</v>
      </c>
      <c r="F42" s="50">
        <f>Financing!F28+Financing!F29+Debtors!E26</f>
        <v>11300000</v>
      </c>
      <c r="G42" s="50">
        <f>Financing!G28+Financing!G29+Debtors!F26</f>
        <v>11300000</v>
      </c>
      <c r="H42" s="50">
        <f>Financing!H28+Financing!H29+Debtors!G26</f>
        <v>11300000</v>
      </c>
      <c r="I42" s="50">
        <f>Financing!I28+Financing!I29+Debtors!H26</f>
        <v>4714000</v>
      </c>
      <c r="J42" s="50">
        <f>Financing!J28+Financing!J29+Debtors!I26</f>
        <v>6133820</v>
      </c>
      <c r="K42" s="50">
        <f>Financing!K28+Financing!K29+Debtors!J26</f>
        <v>8705700</v>
      </c>
      <c r="L42" s="50">
        <f>Financing!L28+Financing!L29+Debtors!K26</f>
        <v>9001580</v>
      </c>
      <c r="M42" s="50">
        <f>Financing!M28+Financing!M29+Debtors!L26</f>
        <v>6725580</v>
      </c>
      <c r="N42" s="50">
        <f>Financing!N28+Financing!N29+Debtors!M26</f>
        <v>4153700</v>
      </c>
    </row>
    <row r="43" spans="1:14" s="47" customFormat="1" ht="15.6">
      <c r="A43" s="78" t="s">
        <v>387</v>
      </c>
      <c r="B43" s="54">
        <f t="shared" si="5"/>
        <v>-91664200</v>
      </c>
      <c r="C43" s="50">
        <f>-(Financing!C31+Financing!C32)-Debtors!C26</f>
        <v>-650000.00000000012</v>
      </c>
      <c r="D43" s="50">
        <f>-(Financing!D31+Financing!D32)-Debtors!D26</f>
        <v>-5650000</v>
      </c>
      <c r="E43" s="50">
        <f>-(Financing!E31+Financing!E32)-Debtors!E26</f>
        <v>-6300000</v>
      </c>
      <c r="F43" s="50">
        <f>-(Financing!F31+Financing!F32)-Debtors!F26</f>
        <v>-11300000</v>
      </c>
      <c r="G43" s="50">
        <f>-(Financing!G31+Financing!G32)-Debtors!G26</f>
        <v>-11300000</v>
      </c>
      <c r="H43" s="50">
        <f>-(Financing!H31+Financing!H32)-Debtors!H26</f>
        <v>-11300000</v>
      </c>
      <c r="I43" s="50">
        <f>-(Financing!I31+Financing!I32)-Debtors!I26</f>
        <v>-10443820</v>
      </c>
      <c r="J43" s="50">
        <f>-(Financing!J31+Financing!J32)-Debtors!J26</f>
        <v>-4153700</v>
      </c>
      <c r="K43" s="50">
        <f>-(Financing!K31+Financing!K32)-Debtors!K26</f>
        <v>-6725580</v>
      </c>
      <c r="L43" s="50">
        <f>-(Financing!L31+Financing!L32)-Debtors!L26</f>
        <v>-9001580</v>
      </c>
      <c r="M43" s="50">
        <f>-(Financing!M31+Financing!M32)-Debtors!M26</f>
        <v>-8705700</v>
      </c>
      <c r="N43" s="50">
        <f>-(Financing!N31+Financing!N32)-Debtors!N26</f>
        <v>-6133820</v>
      </c>
    </row>
    <row r="44" spans="1:14" s="47" customFormat="1" ht="15.6">
      <c r="A44" s="78" t="s">
        <v>388</v>
      </c>
      <c r="B44" s="54"/>
      <c r="C44" s="50">
        <f>Assumptions!B129</f>
        <v>4000000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4" s="47" customFormat="1" ht="15.6">
      <c r="A45" s="78" t="s">
        <v>389</v>
      </c>
      <c r="B45" s="54"/>
      <c r="C45" s="50">
        <f>-Financing!C98+Financing!C97</f>
        <v>0</v>
      </c>
      <c r="D45" s="50">
        <f>-Financing!D98+Financing!D97</f>
        <v>0</v>
      </c>
      <c r="E45" s="50">
        <f>-Financing!E98+Financing!E97</f>
        <v>0</v>
      </c>
      <c r="F45" s="50">
        <f>-Financing!F98+Financing!F97</f>
        <v>-120000</v>
      </c>
      <c r="G45" s="50">
        <f>-Financing!G98+Financing!G97</f>
        <v>0</v>
      </c>
      <c r="H45" s="50">
        <f>-Financing!H98+Financing!H97</f>
        <v>0</v>
      </c>
      <c r="I45" s="50">
        <f>-Financing!I98+Financing!I97</f>
        <v>-120000</v>
      </c>
      <c r="J45" s="50">
        <f>-Financing!J98+Financing!J97</f>
        <v>0</v>
      </c>
      <c r="K45" s="50">
        <f>-Financing!K98+Financing!K97</f>
        <v>0</v>
      </c>
      <c r="L45" s="50">
        <f>-Financing!L98+Financing!L97</f>
        <v>-120000</v>
      </c>
      <c r="M45" s="50">
        <f>-Financing!M98+Financing!M97</f>
        <v>0</v>
      </c>
      <c r="N45" s="50">
        <f>-Financing!N98+Financing!N97</f>
        <v>-4120000</v>
      </c>
    </row>
    <row r="46" spans="1:14" s="47" customFormat="1">
      <c r="A46" s="49" t="s">
        <v>351</v>
      </c>
      <c r="B46" s="50">
        <f t="shared" si="5"/>
        <v>0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14">
      <c r="A47" s="76" t="s">
        <v>390</v>
      </c>
      <c r="B47" s="44">
        <f t="shared" ref="B47:N47" si="7">B35+B36+SUM(B40:B46)</f>
        <v>15299680</v>
      </c>
      <c r="C47" s="44">
        <f t="shared" si="7"/>
        <v>29140000</v>
      </c>
      <c r="D47" s="44">
        <f t="shared" si="7"/>
        <v>-210000</v>
      </c>
      <c r="E47" s="44">
        <f t="shared" si="7"/>
        <v>4140000</v>
      </c>
      <c r="F47" s="44">
        <f t="shared" si="7"/>
        <v>-6687000.0000000019</v>
      </c>
      <c r="G47" s="44">
        <f t="shared" si="7"/>
        <v>-4304999.9999999981</v>
      </c>
      <c r="H47" s="44">
        <f t="shared" si="7"/>
        <v>1974000</v>
      </c>
      <c r="I47" s="44">
        <f t="shared" si="7"/>
        <v>-12332820</v>
      </c>
      <c r="J47" s="44">
        <f t="shared" si="7"/>
        <v>2956619.9999999991</v>
      </c>
      <c r="K47" s="44">
        <f t="shared" si="7"/>
        <v>2946120</v>
      </c>
      <c r="L47" s="44">
        <f t="shared" si="7"/>
        <v>-324000</v>
      </c>
      <c r="M47" s="44">
        <f t="shared" si="7"/>
        <v>6251880</v>
      </c>
      <c r="N47" s="44">
        <f t="shared" si="7"/>
        <v>-8730120</v>
      </c>
    </row>
    <row r="48" spans="1:14">
      <c r="A48" s="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1:14" s="79" customFormat="1" ht="21">
      <c r="A49" s="52" t="s">
        <v>391</v>
      </c>
      <c r="B49" s="53">
        <f t="shared" ref="B49:N49" si="8">B47+B32+B21</f>
        <v>6193506.8481074087</v>
      </c>
      <c r="C49" s="53">
        <f t="shared" si="8"/>
        <v>8847098.5873015895</v>
      </c>
      <c r="D49" s="53">
        <f t="shared" si="8"/>
        <v>-9646767.3333333414</v>
      </c>
      <c r="E49" s="53">
        <f t="shared" si="8"/>
        <v>4606525.9999999981</v>
      </c>
      <c r="F49" s="53">
        <f t="shared" si="8"/>
        <v>-3407166.7777777743</v>
      </c>
      <c r="G49" s="53">
        <f t="shared" si="8"/>
        <v>-1073484.666666666</v>
      </c>
      <c r="H49" s="53">
        <f t="shared" si="8"/>
        <v>1159168.6666666679</v>
      </c>
      <c r="I49" s="53">
        <f t="shared" si="8"/>
        <v>-35195.311111111194</v>
      </c>
      <c r="J49" s="53">
        <f t="shared" si="8"/>
        <v>-1234416.666666667</v>
      </c>
      <c r="K49" s="53">
        <f t="shared" si="8"/>
        <v>359815.19999999832</v>
      </c>
      <c r="L49" s="53">
        <f t="shared" si="8"/>
        <v>166063.48888888583</v>
      </c>
      <c r="M49" s="53">
        <f t="shared" si="8"/>
        <v>10540125.066666668</v>
      </c>
      <c r="N49" s="53">
        <f t="shared" si="8"/>
        <v>-4568259.4058608273</v>
      </c>
    </row>
    <row r="50" spans="1:14">
      <c r="B50" s="51"/>
      <c r="C50" s="51"/>
      <c r="D50" s="51"/>
      <c r="E50" s="5"/>
      <c r="F50" s="5"/>
      <c r="G50" s="5"/>
      <c r="H50" s="5"/>
    </row>
    <row r="51" spans="1:14">
      <c r="A51" s="76" t="s">
        <v>393</v>
      </c>
      <c r="B51" s="44">
        <f>C51</f>
        <v>1053700</v>
      </c>
      <c r="C51" s="44">
        <f>Assumptions!B128*Assumptions!B5</f>
        <v>1053700</v>
      </c>
      <c r="D51" s="44">
        <f t="shared" ref="D51:N51" si="9">C52</f>
        <v>9900798.5873015895</v>
      </c>
      <c r="E51" s="44">
        <f t="shared" si="9"/>
        <v>254031.25396824814</v>
      </c>
      <c r="F51" s="44">
        <f t="shared" si="9"/>
        <v>4860557.2539682463</v>
      </c>
      <c r="G51" s="44">
        <f t="shared" si="9"/>
        <v>1453390.476190472</v>
      </c>
      <c r="H51" s="44">
        <f t="shared" si="9"/>
        <v>379905.80952380598</v>
      </c>
      <c r="I51" s="44">
        <f t="shared" si="9"/>
        <v>1539074.4761904739</v>
      </c>
      <c r="J51" s="44">
        <f t="shared" si="9"/>
        <v>1503879.1650793627</v>
      </c>
      <c r="K51" s="44">
        <f t="shared" si="9"/>
        <v>269462.49841269571</v>
      </c>
      <c r="L51" s="44">
        <f t="shared" si="9"/>
        <v>629277.69841269404</v>
      </c>
      <c r="M51" s="44">
        <f t="shared" si="9"/>
        <v>795341.18730157986</v>
      </c>
      <c r="N51" s="44">
        <f t="shared" si="9"/>
        <v>11335466.253968248</v>
      </c>
    </row>
    <row r="52" spans="1:14">
      <c r="A52" s="76" t="s">
        <v>392</v>
      </c>
      <c r="B52" s="44">
        <f>N52</f>
        <v>6767206.8481074208</v>
      </c>
      <c r="C52" s="44">
        <f>C51+C49</f>
        <v>9900798.5873015895</v>
      </c>
      <c r="D52" s="44">
        <f t="shared" ref="D52:N52" si="10">D51+D49</f>
        <v>254031.25396824814</v>
      </c>
      <c r="E52" s="44">
        <f t="shared" si="10"/>
        <v>4860557.2539682463</v>
      </c>
      <c r="F52" s="44">
        <f t="shared" si="10"/>
        <v>1453390.476190472</v>
      </c>
      <c r="G52" s="44">
        <f t="shared" si="10"/>
        <v>379905.80952380598</v>
      </c>
      <c r="H52" s="44">
        <f t="shared" si="10"/>
        <v>1539074.4761904739</v>
      </c>
      <c r="I52" s="44">
        <f t="shared" si="10"/>
        <v>1503879.1650793627</v>
      </c>
      <c r="J52" s="44">
        <f t="shared" si="10"/>
        <v>269462.49841269571</v>
      </c>
      <c r="K52" s="44">
        <f t="shared" si="10"/>
        <v>629277.69841269404</v>
      </c>
      <c r="L52" s="44">
        <f t="shared" si="10"/>
        <v>795341.18730157986</v>
      </c>
      <c r="M52" s="44">
        <f t="shared" si="10"/>
        <v>11335466.253968248</v>
      </c>
      <c r="N52" s="44">
        <f t="shared" si="10"/>
        <v>6767206.8481074208</v>
      </c>
    </row>
    <row r="53" spans="1:14">
      <c r="B53" s="51"/>
      <c r="C53" s="51"/>
      <c r="D53" s="51"/>
      <c r="E53" s="5"/>
      <c r="F53" s="5"/>
      <c r="G53" s="5"/>
      <c r="H53" s="5"/>
    </row>
    <row r="54" spans="1:14">
      <c r="B54" s="51"/>
      <c r="C54" s="51"/>
      <c r="D54" s="51"/>
    </row>
    <row r="55" spans="1:14">
      <c r="B55" s="51"/>
      <c r="C55" s="51"/>
      <c r="D55" s="51"/>
    </row>
    <row r="56" spans="1:14">
      <c r="B56" s="51"/>
      <c r="C56" s="51"/>
      <c r="D56" s="51"/>
    </row>
    <row r="57" spans="1:14">
      <c r="B57" s="51"/>
      <c r="C57" s="51"/>
      <c r="D57" s="51"/>
    </row>
    <row r="58" spans="1:14">
      <c r="B58" s="51"/>
      <c r="C58" s="51"/>
      <c r="D58" s="51"/>
    </row>
    <row r="59" spans="1:14">
      <c r="B59" s="51"/>
      <c r="C59" s="51"/>
      <c r="D59" s="51"/>
    </row>
    <row r="60" spans="1:14">
      <c r="B60" s="51"/>
      <c r="C60" s="51"/>
      <c r="D60" s="51"/>
    </row>
    <row r="61" spans="1:14">
      <c r="B61" s="51"/>
      <c r="C61" s="51"/>
      <c r="D61" s="51"/>
    </row>
    <row r="62" spans="1:14">
      <c r="B62" s="51"/>
      <c r="C62" s="51"/>
      <c r="D62" s="51"/>
    </row>
    <row r="63" spans="1:14" ht="14.4">
      <c r="A63" s="4"/>
      <c r="B63" s="51"/>
      <c r="C63" s="51"/>
      <c r="D63" s="51"/>
    </row>
    <row r="64" spans="1:14" ht="14.4">
      <c r="A64" s="4"/>
      <c r="B64" s="51"/>
      <c r="C64" s="51"/>
      <c r="D64" s="51"/>
    </row>
    <row r="65" spans="1:4" ht="14.4">
      <c r="A65" s="4"/>
      <c r="B65" s="51"/>
      <c r="C65" s="51"/>
      <c r="D65" s="5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/>
    </sheetView>
  </sheetViews>
  <sheetFormatPr defaultRowHeight="18"/>
  <cols>
    <col min="1" max="1" width="79.44140625" style="45" customWidth="1"/>
    <col min="2" max="2" width="18.77734375" style="4" hidden="1" customWidth="1"/>
    <col min="3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362</v>
      </c>
    </row>
    <row r="3" spans="1:14" ht="21">
      <c r="A3" s="43" t="s">
        <v>360</v>
      </c>
    </row>
    <row r="4" spans="1:14" ht="21">
      <c r="A4" s="43" t="s">
        <v>357</v>
      </c>
      <c r="B4" s="19" t="s">
        <v>6</v>
      </c>
      <c r="C4" s="19" t="s">
        <v>328</v>
      </c>
    </row>
    <row r="5" spans="1:14">
      <c r="B5" s="80" t="s">
        <v>9</v>
      </c>
      <c r="C5" s="1" t="s">
        <v>129</v>
      </c>
      <c r="D5" s="1" t="s">
        <v>130</v>
      </c>
      <c r="E5" s="1" t="s">
        <v>131</v>
      </c>
      <c r="F5" s="1" t="s">
        <v>132</v>
      </c>
      <c r="G5" s="1" t="s">
        <v>133</v>
      </c>
      <c r="H5" s="1" t="s">
        <v>134</v>
      </c>
      <c r="I5" s="1" t="s">
        <v>135</v>
      </c>
      <c r="J5" s="1" t="s">
        <v>136</v>
      </c>
      <c r="K5" s="1" t="s">
        <v>137</v>
      </c>
      <c r="L5" s="1" t="s">
        <v>138</v>
      </c>
      <c r="M5" s="1" t="s">
        <v>139</v>
      </c>
      <c r="N5" s="1" t="s">
        <v>140</v>
      </c>
    </row>
    <row r="6" spans="1:14" ht="21">
      <c r="A6" s="43" t="s">
        <v>363</v>
      </c>
    </row>
    <row r="7" spans="1:14" s="16" customFormat="1" ht="15.6">
      <c r="A7" s="16" t="s">
        <v>302</v>
      </c>
      <c r="B7" s="54">
        <f>SUM(C7:N7)</f>
        <v>114654000</v>
      </c>
      <c r="C7" s="54">
        <f>'P&amp;L Cons Mid'!C6*Assumptions!$B$79</f>
        <v>5820000</v>
      </c>
      <c r="D7" s="54">
        <f>('P&amp;L Cons Mid'!D6+'P&amp;L Cons Mid'!C6)*Assumptions!$B$79</f>
        <v>13968000</v>
      </c>
      <c r="E7" s="54">
        <f>('P&amp;L Cons Mid'!E6+'P&amp;L Cons Mid'!D6)*Assumptions!$B$79</f>
        <v>16296000.000000002</v>
      </c>
      <c r="F7" s="54">
        <f>('P&amp;L Cons Mid'!F6+'P&amp;L Cons Mid'!E6)*Assumptions!$B$79</f>
        <v>15132000</v>
      </c>
      <c r="G7" s="54">
        <f>('P&amp;L Cons Mid'!G6+'P&amp;L Cons Mid'!F6)*Assumptions!$B$79</f>
        <v>12804000</v>
      </c>
      <c r="H7" s="54">
        <f>('P&amp;L Cons Mid'!H6+'P&amp;L Cons Mid'!G6)*Assumptions!$B$79</f>
        <v>11640000</v>
      </c>
      <c r="I7" s="54">
        <f>('P&amp;L Cons Mid'!I6+'P&amp;L Cons Mid'!H6)*Assumptions!$B$79</f>
        <v>7566000</v>
      </c>
      <c r="J7" s="54">
        <f>('P&amp;L Cons Mid'!J6+'P&amp;L Cons Mid'!I6)*Assumptions!$B$79</f>
        <v>4656000</v>
      </c>
      <c r="K7" s="54">
        <f>('P&amp;L Cons Mid'!K6+'P&amp;L Cons Mid'!J6)*Assumptions!$B$79</f>
        <v>6984000</v>
      </c>
      <c r="L7" s="54">
        <f>('P&amp;L Cons Mid'!L6+'P&amp;L Cons Mid'!K6)*Assumptions!$B$79</f>
        <v>8148000.0000000009</v>
      </c>
      <c r="M7" s="54">
        <f>('P&amp;L Cons Mid'!M6+'P&amp;L Cons Mid'!L6)*Assumptions!$B$79</f>
        <v>6984000</v>
      </c>
      <c r="N7" s="54">
        <f>('P&amp;L Cons Mid'!N6+'P&amp;L Cons Mid'!M6)*Assumptions!$B$79</f>
        <v>4656000</v>
      </c>
    </row>
    <row r="8" spans="1:14" s="16" customFormat="1" ht="15.6">
      <c r="A8" s="16" t="s">
        <v>380</v>
      </c>
      <c r="B8" s="54">
        <f t="shared" ref="B8:N8" si="0">SUM(B9:B19)</f>
        <v>-114240631.77007328</v>
      </c>
      <c r="C8" s="54">
        <f t="shared" si="0"/>
        <v>-11280631.079365078</v>
      </c>
      <c r="D8" s="54">
        <f t="shared" si="0"/>
        <v>-15611244.66666667</v>
      </c>
      <c r="E8" s="54">
        <f t="shared" si="0"/>
        <v>-15619244.66666667</v>
      </c>
      <c r="F8" s="54">
        <f t="shared" si="0"/>
        <v>-13503070.444444444</v>
      </c>
      <c r="G8" s="54">
        <f t="shared" si="0"/>
        <v>-11235524.666666666</v>
      </c>
      <c r="H8" s="54">
        <f t="shared" si="0"/>
        <v>-11235524.666666666</v>
      </c>
      <c r="I8" s="54">
        <f t="shared" si="0"/>
        <v>-3595475.2444444443</v>
      </c>
      <c r="J8" s="54">
        <f t="shared" si="0"/>
        <v>-5710808.666666667</v>
      </c>
      <c r="K8" s="54">
        <f t="shared" si="0"/>
        <v>-7920835.866666669</v>
      </c>
      <c r="L8" s="54">
        <f t="shared" si="0"/>
        <v>-7996005.644444447</v>
      </c>
      <c r="M8" s="54">
        <f t="shared" si="0"/>
        <v>-5724776.666666667</v>
      </c>
      <c r="N8" s="54">
        <f t="shared" si="0"/>
        <v>-4807489.4907081909</v>
      </c>
    </row>
    <row r="9" spans="1:14" s="32" customFormat="1" ht="14.4">
      <c r="A9" s="32" t="s">
        <v>364</v>
      </c>
      <c r="B9" s="50">
        <f t="shared" ref="B9:B18" si="1">SUM(C9:N9)</f>
        <v>-87128000</v>
      </c>
      <c r="C9" s="50">
        <f>'P&amp;L Cons Mid'!C8</f>
        <v>-8712800</v>
      </c>
      <c r="D9" s="50">
        <f>'P&amp;L Cons Mid'!D8</f>
        <v>-12197920.000000004</v>
      </c>
      <c r="E9" s="50">
        <f>'P&amp;L Cons Mid'!E8</f>
        <v>-12197920.000000004</v>
      </c>
      <c r="F9" s="50">
        <f>'P&amp;L Cons Mid'!F8</f>
        <v>-10455360</v>
      </c>
      <c r="G9" s="50">
        <f>'P&amp;L Cons Mid'!G8</f>
        <v>-8712800</v>
      </c>
      <c r="H9" s="50">
        <f>'P&amp;L Cons Mid'!H8</f>
        <v>-8712800</v>
      </c>
      <c r="I9" s="50">
        <f>'P&amp;L Cons Mid'!I8</f>
        <v>-2613840</v>
      </c>
      <c r="J9" s="50">
        <f>'P&amp;L Cons Mid'!J8</f>
        <v>-4356400</v>
      </c>
      <c r="K9" s="50">
        <f>'P&amp;L Cons Mid'!K8</f>
        <v>-6098960.0000000019</v>
      </c>
      <c r="L9" s="50">
        <f>'P&amp;L Cons Mid'!L8</f>
        <v>-6098960.0000000019</v>
      </c>
      <c r="M9" s="50">
        <f>'P&amp;L Cons Mid'!M8</f>
        <v>-4356400</v>
      </c>
      <c r="N9" s="50">
        <f>'P&amp;L Cons Mid'!N8</f>
        <v>-2613840</v>
      </c>
    </row>
    <row r="10" spans="1:14" s="32" customFormat="1" ht="14.4">
      <c r="A10" s="32" t="s">
        <v>365</v>
      </c>
      <c r="B10" s="50">
        <f t="shared" si="1"/>
        <v>-21854920.634920638</v>
      </c>
      <c r="C10" s="50">
        <f>'P&amp;L Cons Mid'!C9</f>
        <v>-2198920.6349206348</v>
      </c>
      <c r="D10" s="50">
        <f>'P&amp;L Cons Mid'!D9</f>
        <v>-3057600.0000000009</v>
      </c>
      <c r="E10" s="50">
        <f>'P&amp;L Cons Mid'!E9</f>
        <v>-3057600.0000000009</v>
      </c>
      <c r="F10" s="50">
        <f>'P&amp;L Cons Mid'!F9</f>
        <v>-2620800</v>
      </c>
      <c r="G10" s="50">
        <f>'P&amp;L Cons Mid'!G9</f>
        <v>-2184000</v>
      </c>
      <c r="H10" s="50">
        <f>'P&amp;L Cons Mid'!H9</f>
        <v>-2184000</v>
      </c>
      <c r="I10" s="50">
        <f>'P&amp;L Cons Mid'!I9</f>
        <v>-655200</v>
      </c>
      <c r="J10" s="50">
        <f>'P&amp;L Cons Mid'!J9</f>
        <v>-1092000</v>
      </c>
      <c r="K10" s="50">
        <f>'P&amp;L Cons Mid'!K9</f>
        <v>-1528800.0000000005</v>
      </c>
      <c r="L10" s="50">
        <f>'P&amp;L Cons Mid'!L9</f>
        <v>-1528800.0000000005</v>
      </c>
      <c r="M10" s="50">
        <f>'P&amp;L Cons Mid'!M9</f>
        <v>-1092000</v>
      </c>
      <c r="N10" s="50">
        <f>'P&amp;L Cons Mid'!N9</f>
        <v>-655200</v>
      </c>
    </row>
    <row r="11" spans="1:14" s="32" customFormat="1" ht="14.4">
      <c r="A11" s="32" t="s">
        <v>336</v>
      </c>
      <c r="B11" s="50">
        <f t="shared" si="1"/>
        <v>-1692000</v>
      </c>
      <c r="C11" s="50">
        <f>'P&amp;L Cons Mid'!C11+'P&amp;L Cons Mid'!C19</f>
        <v>-141000</v>
      </c>
      <c r="D11" s="50">
        <f>'P&amp;L Cons Mid'!D11+'P&amp;L Cons Mid'!D19</f>
        <v>-141000</v>
      </c>
      <c r="E11" s="50">
        <f>'P&amp;L Cons Mid'!E11+'P&amp;L Cons Mid'!E19</f>
        <v>-141000</v>
      </c>
      <c r="F11" s="50">
        <f>'P&amp;L Cons Mid'!F11+'P&amp;L Cons Mid'!F19</f>
        <v>-141000</v>
      </c>
      <c r="G11" s="50">
        <f>'P&amp;L Cons Mid'!G11+'P&amp;L Cons Mid'!G19</f>
        <v>-141000</v>
      </c>
      <c r="H11" s="50">
        <f>'P&amp;L Cons Mid'!H11+'P&amp;L Cons Mid'!H19</f>
        <v>-141000</v>
      </c>
      <c r="I11" s="50">
        <f>'P&amp;L Cons Mid'!I11+'P&amp;L Cons Mid'!I19</f>
        <v>-141000</v>
      </c>
      <c r="J11" s="50">
        <f>'P&amp;L Cons Mid'!J11+'P&amp;L Cons Mid'!J19</f>
        <v>-141000</v>
      </c>
      <c r="K11" s="50">
        <f>'P&amp;L Cons Mid'!K11+'P&amp;L Cons Mid'!K19</f>
        <v>-141000</v>
      </c>
      <c r="L11" s="50">
        <f>'P&amp;L Cons Mid'!L11+'P&amp;L Cons Mid'!L19</f>
        <v>-141000</v>
      </c>
      <c r="M11" s="50">
        <f>'P&amp;L Cons Mid'!M11+'P&amp;L Cons Mid'!M19</f>
        <v>-141000</v>
      </c>
      <c r="N11" s="50">
        <f>'P&amp;L Cons Mid'!N11+'P&amp;L Cons Mid'!N19</f>
        <v>-141000</v>
      </c>
    </row>
    <row r="12" spans="1:14" s="32" customFormat="1" ht="14.4">
      <c r="A12" s="32" t="s">
        <v>337</v>
      </c>
      <c r="B12" s="50">
        <f t="shared" si="1"/>
        <v>-301296</v>
      </c>
      <c r="C12" s="50">
        <f>'P&amp;L Cons Mid'!C12</f>
        <v>-25108</v>
      </c>
      <c r="D12" s="50">
        <f>'P&amp;L Cons Mid'!D12</f>
        <v>-25108</v>
      </c>
      <c r="E12" s="50">
        <f>'P&amp;L Cons Mid'!E12</f>
        <v>-25108</v>
      </c>
      <c r="F12" s="50">
        <f>'P&amp;L Cons Mid'!F12</f>
        <v>-25108</v>
      </c>
      <c r="G12" s="50">
        <f>'P&amp;L Cons Mid'!G12</f>
        <v>-25108</v>
      </c>
      <c r="H12" s="50">
        <f>'P&amp;L Cons Mid'!H12</f>
        <v>-25108</v>
      </c>
      <c r="I12" s="50">
        <f>'P&amp;L Cons Mid'!I12</f>
        <v>-25108</v>
      </c>
      <c r="J12" s="50">
        <f>'P&amp;L Cons Mid'!J12</f>
        <v>-25108</v>
      </c>
      <c r="K12" s="50">
        <f>'P&amp;L Cons Mid'!K12</f>
        <v>-25108</v>
      </c>
      <c r="L12" s="50">
        <f>'P&amp;L Cons Mid'!L12</f>
        <v>-25108</v>
      </c>
      <c r="M12" s="50">
        <f>'P&amp;L Cons Mid'!M12</f>
        <v>-25108</v>
      </c>
      <c r="N12" s="50">
        <f>'P&amp;L Cons Mid'!N12</f>
        <v>-25108</v>
      </c>
    </row>
    <row r="13" spans="1:14" s="32" customFormat="1" ht="14.4">
      <c r="A13" s="32" t="s">
        <v>335</v>
      </c>
      <c r="B13" s="50">
        <f t="shared" si="1"/>
        <v>-240000</v>
      </c>
      <c r="C13" s="50">
        <f>'P&amp;L Cons Mid'!C10</f>
        <v>-24000</v>
      </c>
      <c r="D13" s="50">
        <f>'P&amp;L Cons Mid'!D10</f>
        <v>-33600.000000000007</v>
      </c>
      <c r="E13" s="50">
        <f>'P&amp;L Cons Mid'!E10</f>
        <v>-33600.000000000007</v>
      </c>
      <c r="F13" s="50">
        <f>'P&amp;L Cons Mid'!F10</f>
        <v>-28800</v>
      </c>
      <c r="G13" s="50">
        <f>'P&amp;L Cons Mid'!G10</f>
        <v>-24000</v>
      </c>
      <c r="H13" s="50">
        <f>'P&amp;L Cons Mid'!H10</f>
        <v>-24000</v>
      </c>
      <c r="I13" s="50">
        <f>'P&amp;L Cons Mid'!I10</f>
        <v>-7200</v>
      </c>
      <c r="J13" s="50">
        <f>'P&amp;L Cons Mid'!J10</f>
        <v>-12000</v>
      </c>
      <c r="K13" s="50">
        <f>'P&amp;L Cons Mid'!K10</f>
        <v>-16800.000000000004</v>
      </c>
      <c r="L13" s="50">
        <f>'P&amp;L Cons Mid'!L10</f>
        <v>-16800.000000000004</v>
      </c>
      <c r="M13" s="50">
        <f>'P&amp;L Cons Mid'!M10</f>
        <v>-12000</v>
      </c>
      <c r="N13" s="50">
        <f>'P&amp;L Cons Mid'!N10</f>
        <v>-7200</v>
      </c>
    </row>
    <row r="14" spans="1:14" s="32" customFormat="1" ht="14.4">
      <c r="A14" s="32" t="s">
        <v>338</v>
      </c>
      <c r="B14" s="50">
        <f t="shared" si="1"/>
        <v>-67312</v>
      </c>
      <c r="C14" s="50">
        <f>'P&amp;L Cons Mid'!C13</f>
        <v>-4000</v>
      </c>
      <c r="D14" s="50">
        <f>'P&amp;L Cons Bad'!D13</f>
        <v>-4000</v>
      </c>
      <c r="E14" s="50">
        <f>'P&amp;L Cons Bad'!E13</f>
        <v>-8000</v>
      </c>
      <c r="F14" s="50">
        <f>'P&amp;L Cons Bad'!F13</f>
        <v>-8000</v>
      </c>
      <c r="G14" s="50">
        <f>'P&amp;L Cons Bad'!G13</f>
        <v>-8000</v>
      </c>
      <c r="H14" s="50">
        <f>'P&amp;L Cons Bad'!H13</f>
        <v>-8000</v>
      </c>
      <c r="I14" s="50">
        <f>'P&amp;L Cons Bad'!I13</f>
        <v>-2731.2000000000003</v>
      </c>
      <c r="J14" s="50">
        <f>'P&amp;L Cons Bad'!J13</f>
        <v>-4552</v>
      </c>
      <c r="K14" s="50">
        <f>'P&amp;L Cons Bad'!K13</f>
        <v>-6372.8000000000011</v>
      </c>
      <c r="L14" s="50">
        <f>'P&amp;L Cons Bad'!L13</f>
        <v>-6372.8000000000011</v>
      </c>
      <c r="M14" s="50">
        <f>'P&amp;L Cons Bad'!M13</f>
        <v>-4552</v>
      </c>
      <c r="N14" s="50">
        <f>'P&amp;L Cons Bad'!N13</f>
        <v>-2731.2000000000003</v>
      </c>
    </row>
    <row r="15" spans="1:14" s="32" customFormat="1" ht="14.4">
      <c r="A15" s="32" t="s">
        <v>366</v>
      </c>
      <c r="B15" s="50">
        <f t="shared" si="1"/>
        <v>-444342.71474971727</v>
      </c>
      <c r="C15" s="50">
        <f>0.25*('P&amp;L PurCo Mid'!B30+'P&amp;L ExCo Mid'!B30)</f>
        <v>-68185.777777777606</v>
      </c>
      <c r="D15" s="50"/>
      <c r="E15" s="50"/>
      <c r="F15" s="50">
        <f>C15</f>
        <v>-68185.777777777606</v>
      </c>
      <c r="G15" s="50"/>
      <c r="H15" s="50"/>
      <c r="I15" s="50">
        <f>F15</f>
        <v>-68185.777777777606</v>
      </c>
      <c r="J15" s="50"/>
      <c r="K15" s="50"/>
      <c r="L15" s="50">
        <f>I15</f>
        <v>-68185.777777777606</v>
      </c>
      <c r="M15" s="50"/>
      <c r="N15" s="50">
        <f>'P&amp;L SwCo Mid'!B30</f>
        <v>-171599.60363860682</v>
      </c>
    </row>
    <row r="16" spans="1:14" s="32" customFormat="1" ht="14.4">
      <c r="A16" s="32" t="s">
        <v>339</v>
      </c>
      <c r="B16" s="50">
        <f t="shared" si="1"/>
        <v>-352220</v>
      </c>
      <c r="C16" s="50">
        <f>'P&amp;L Cons Mid'!C14</f>
        <v>-8000</v>
      </c>
      <c r="D16" s="50">
        <f>'P&amp;L Cons Mid'!D14</f>
        <v>-24600</v>
      </c>
      <c r="E16" s="50">
        <f>'P&amp;L Cons Mid'!E14</f>
        <v>-28600</v>
      </c>
      <c r="F16" s="50">
        <f>'P&amp;L Cons Mid'!F14</f>
        <v>-42800</v>
      </c>
      <c r="G16" s="50">
        <f>'P&amp;L Cons Mid'!G14</f>
        <v>-42000</v>
      </c>
      <c r="H16" s="50">
        <f>'P&amp;L Cons Mid'!H14</f>
        <v>-42000</v>
      </c>
      <c r="I16" s="50">
        <f>'P&amp;L Cons Mid'!I14</f>
        <v>-33993.600000000006</v>
      </c>
      <c r="J16" s="50">
        <f>'P&amp;L Cons Mid'!J14</f>
        <v>-17132</v>
      </c>
      <c r="K16" s="50">
        <f>'P&amp;L Cons Mid'!K14</f>
        <v>-26778.400000000001</v>
      </c>
      <c r="L16" s="50">
        <f>'P&amp;L Cons Mid'!L14</f>
        <v>-33762.400000000009</v>
      </c>
      <c r="M16" s="50">
        <f>'P&amp;L Cons Mid'!M14</f>
        <v>-31100.000000000004</v>
      </c>
      <c r="N16" s="50">
        <f>'P&amp;L Cons Mid'!N14</f>
        <v>-21453.599999999999</v>
      </c>
    </row>
    <row r="17" spans="1:14" s="32" customFormat="1" ht="14.4">
      <c r="A17" s="32" t="s">
        <v>342</v>
      </c>
      <c r="B17" s="50">
        <f t="shared" si="1"/>
        <v>-319400</v>
      </c>
      <c r="C17" s="50">
        <f>'P&amp;L Cons Mid'!C17</f>
        <v>-26616.666666666668</v>
      </c>
      <c r="D17" s="50">
        <f>'P&amp;L Cons Mid'!D17</f>
        <v>-26616.666666666668</v>
      </c>
      <c r="E17" s="50">
        <f>'P&amp;L Cons Mid'!E17</f>
        <v>-26616.666666666668</v>
      </c>
      <c r="F17" s="50">
        <f>'P&amp;L Cons Mid'!F17</f>
        <v>-26616.666666666668</v>
      </c>
      <c r="G17" s="50">
        <f>'P&amp;L Cons Mid'!G17</f>
        <v>-26616.666666666668</v>
      </c>
      <c r="H17" s="50">
        <f>'P&amp;L Cons Mid'!H17</f>
        <v>-26616.666666666668</v>
      </c>
      <c r="I17" s="50">
        <f>'P&amp;L Cons Mid'!I17</f>
        <v>-26616.666666666668</v>
      </c>
      <c r="J17" s="50">
        <f>'P&amp;L Cons Mid'!J17</f>
        <v>-26616.666666666668</v>
      </c>
      <c r="K17" s="50">
        <f>'P&amp;L Cons Mid'!K17</f>
        <v>-26616.666666666668</v>
      </c>
      <c r="L17" s="50">
        <f>'P&amp;L Cons Mid'!L17</f>
        <v>-26616.666666666668</v>
      </c>
      <c r="M17" s="50">
        <f>'P&amp;L Cons Mid'!M17</f>
        <v>-26616.666666666668</v>
      </c>
      <c r="N17" s="50">
        <f>'P&amp;L Cons Mid'!N17</f>
        <v>-26616.666666666668</v>
      </c>
    </row>
    <row r="18" spans="1:14" s="32" customFormat="1" ht="14.4">
      <c r="A18" s="32" t="s">
        <v>343</v>
      </c>
      <c r="B18" s="50">
        <f t="shared" si="1"/>
        <v>-720000</v>
      </c>
      <c r="C18" s="50">
        <f>'P&amp;L SwCo Mid'!C18</f>
        <v>-72000</v>
      </c>
      <c r="D18" s="50">
        <f>'P&amp;L SwCo Mid'!D18</f>
        <v>-100800.00000000003</v>
      </c>
      <c r="E18" s="50">
        <f>'P&amp;L SwCo Mid'!E18</f>
        <v>-100800.00000000003</v>
      </c>
      <c r="F18" s="50">
        <f>'P&amp;L SwCo Mid'!F18</f>
        <v>-86400</v>
      </c>
      <c r="G18" s="50">
        <f>'P&amp;L SwCo Mid'!G18</f>
        <v>-72000</v>
      </c>
      <c r="H18" s="50">
        <f>'P&amp;L SwCo Mid'!H18</f>
        <v>-72000</v>
      </c>
      <c r="I18" s="50">
        <f>'P&amp;L SwCo Mid'!I18</f>
        <v>-21600</v>
      </c>
      <c r="J18" s="50">
        <f>'P&amp;L SwCo Mid'!J18</f>
        <v>-36000</v>
      </c>
      <c r="K18" s="50">
        <f>'P&amp;L SwCo Mid'!K18</f>
        <v>-50400.000000000015</v>
      </c>
      <c r="L18" s="50">
        <f>'P&amp;L SwCo Mid'!L18</f>
        <v>-50400.000000000015</v>
      </c>
      <c r="M18" s="50">
        <f>'P&amp;L SwCo Mid'!M18</f>
        <v>-36000</v>
      </c>
      <c r="N18" s="50">
        <f>'P&amp;L SwCo Mid'!N18</f>
        <v>-21600</v>
      </c>
    </row>
    <row r="19" spans="1:14" s="32" customFormat="1" ht="14.4">
      <c r="A19" s="32" t="s">
        <v>355</v>
      </c>
      <c r="B19" s="50">
        <f>SUM(C19:N19)</f>
        <v>-1121140.4204029175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>
        <f>'P&amp;L Cons Mid'!B32</f>
        <v>-1121140.4204029175</v>
      </c>
    </row>
    <row r="20" spans="1:14" s="47" customFormat="1" ht="15.6">
      <c r="A20" s="16" t="s">
        <v>327</v>
      </c>
      <c r="B20" s="50">
        <f>SUM(C20:N20)</f>
        <v>7774613.7333333334</v>
      </c>
      <c r="C20" s="54">
        <f>Debtors!C78</f>
        <v>14773795.333333332</v>
      </c>
      <c r="D20" s="54">
        <f>Debtors!D78</f>
        <v>7421416.0000000037</v>
      </c>
      <c r="E20" s="54">
        <f>Debtors!E78</f>
        <v>-249600</v>
      </c>
      <c r="F20" s="54">
        <f>Debtors!F78</f>
        <v>-2030808.0000000037</v>
      </c>
      <c r="G20" s="54">
        <f>Debtors!G78</f>
        <v>-2027008</v>
      </c>
      <c r="H20" s="54">
        <f>Debtors!H78</f>
        <v>896000</v>
      </c>
      <c r="I20" s="54">
        <f>Debtors!I78</f>
        <v>-8512921.5999999978</v>
      </c>
      <c r="J20" s="54">
        <f>Debtors!J78</f>
        <v>3023069.5999999978</v>
      </c>
      <c r="K20" s="54">
        <f>Debtors!K78</f>
        <v>1473361.6000000015</v>
      </c>
      <c r="L20" s="54">
        <f>Debtors!L78</f>
        <v>-508743.99999999814</v>
      </c>
      <c r="M20" s="54">
        <f>Debtors!M78</f>
        <v>-3236505.6000000015</v>
      </c>
      <c r="N20" s="54">
        <f>Debtors!N78</f>
        <v>-3247441.6000000006</v>
      </c>
    </row>
    <row r="21" spans="1:14">
      <c r="A21" s="76" t="s">
        <v>367</v>
      </c>
      <c r="B21" s="44">
        <f>B7+B8-B20</f>
        <v>-7361245.5034066131</v>
      </c>
      <c r="C21" s="44">
        <f t="shared" ref="C21:M21" si="2">D7+C8-C20</f>
        <v>-12086426.41269841</v>
      </c>
      <c r="D21" s="44">
        <f t="shared" si="2"/>
        <v>-6736660.6666666716</v>
      </c>
      <c r="E21" s="44">
        <f t="shared" si="2"/>
        <v>-237644.66666666977</v>
      </c>
      <c r="F21" s="44">
        <f t="shared" si="2"/>
        <v>1331737.5555555597</v>
      </c>
      <c r="G21" s="44">
        <f t="shared" si="2"/>
        <v>2431483.333333334</v>
      </c>
      <c r="H21" s="44">
        <f t="shared" si="2"/>
        <v>-4565524.666666666</v>
      </c>
      <c r="I21" s="44">
        <f t="shared" si="2"/>
        <v>9573446.355555553</v>
      </c>
      <c r="J21" s="44">
        <f t="shared" si="2"/>
        <v>-1749878.2666666647</v>
      </c>
      <c r="K21" s="44">
        <f t="shared" si="2"/>
        <v>-1246197.4666666696</v>
      </c>
      <c r="L21" s="44">
        <f t="shared" si="2"/>
        <v>-503261.64444444887</v>
      </c>
      <c r="M21" s="44">
        <f t="shared" si="2"/>
        <v>2167728.9333333345</v>
      </c>
      <c r="N21" s="44">
        <f>N7+N8-N20</f>
        <v>3095952.1092918096</v>
      </c>
    </row>
    <row r="22" spans="1:14">
      <c r="A22" s="76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ht="21">
      <c r="A23" s="43" t="s">
        <v>368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s="32" customFormat="1" ht="14.4">
      <c r="A24" s="77" t="s">
        <v>369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s="32" customFormat="1" ht="14.4">
      <c r="A25" s="77" t="s">
        <v>370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s="32" customFormat="1" ht="14.4">
      <c r="A26" s="77" t="s">
        <v>371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s="32" customFormat="1" ht="14.4">
      <c r="A27" s="77" t="s">
        <v>372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s="32" customFormat="1" ht="14.4">
      <c r="A28" s="77" t="s">
        <v>373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s="32" customFormat="1" ht="14.4">
      <c r="A29" s="77" t="s">
        <v>374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s="32" customFormat="1" ht="14.4">
      <c r="A30" s="77" t="s">
        <v>375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4" s="32" customFormat="1" ht="14.4">
      <c r="A31" s="77" t="s">
        <v>376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4" s="26" customFormat="1">
      <c r="A32" s="76" t="s">
        <v>377</v>
      </c>
      <c r="B32" s="44">
        <f>SUM(B24:B31)</f>
        <v>0</v>
      </c>
      <c r="C32" s="44">
        <f t="shared" ref="C32:N32" si="3">SUM(C24:C31)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s="47" customFormat="1">
      <c r="A33" s="76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1:14" ht="21">
      <c r="A34" s="43" t="s">
        <v>378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s="16" customFormat="1" ht="15.6">
      <c r="A35" s="78" t="s">
        <v>379</v>
      </c>
      <c r="B35" s="54">
        <f>SUM(C35:N35)</f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</row>
    <row r="36" spans="1:14" s="16" customFormat="1" ht="15.6">
      <c r="A36" s="78" t="s">
        <v>381</v>
      </c>
      <c r="B36" s="54">
        <f t="shared" ref="B36:B46" si="4">SUM(C36:N36)</f>
        <v>-1740000</v>
      </c>
      <c r="C36" s="54">
        <f>C37+C39+C38</f>
        <v>-168000</v>
      </c>
      <c r="D36" s="54">
        <f t="shared" ref="D36:N36" si="5">D37+D39+D38</f>
        <v>-168000</v>
      </c>
      <c r="E36" s="54">
        <f t="shared" si="5"/>
        <v>-146999.99999999997</v>
      </c>
      <c r="F36" s="54">
        <f t="shared" si="5"/>
        <v>-225000</v>
      </c>
      <c r="G36" s="54">
        <f t="shared" si="5"/>
        <v>-63000</v>
      </c>
      <c r="H36" s="54">
        <f t="shared" si="5"/>
        <v>-84000</v>
      </c>
      <c r="I36" s="54">
        <f t="shared" si="5"/>
        <v>-162000</v>
      </c>
      <c r="J36" s="54">
        <f t="shared" si="5"/>
        <v>-42000</v>
      </c>
      <c r="K36" s="54">
        <f t="shared" si="5"/>
        <v>-63000</v>
      </c>
      <c r="L36" s="54">
        <f t="shared" si="5"/>
        <v>-183000</v>
      </c>
      <c r="M36" s="54">
        <f t="shared" si="5"/>
        <v>-105000</v>
      </c>
      <c r="N36" s="54">
        <f t="shared" si="5"/>
        <v>-330000</v>
      </c>
    </row>
    <row r="37" spans="1:14" s="32" customFormat="1" ht="14.4" hidden="1">
      <c r="B37" s="50">
        <f t="shared" si="4"/>
        <v>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s="32" customFormat="1" ht="14.4">
      <c r="A38" s="32" t="s">
        <v>382</v>
      </c>
      <c r="B38" s="50">
        <f t="shared" si="4"/>
        <v>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1:14" s="32" customFormat="1" ht="14.4">
      <c r="A39" s="32" t="s">
        <v>383</v>
      </c>
      <c r="B39" s="50">
        <f t="shared" si="4"/>
        <v>-1740000</v>
      </c>
      <c r="C39" s="50">
        <f>'P&amp;L SwCo Mid'!C26+'P&amp;L ExCo Mid'!C26+'P&amp;L PurCo Mid'!C26</f>
        <v>-168000</v>
      </c>
      <c r="D39" s="50">
        <f>'P&amp;L SwCo Mid'!D26+'P&amp;L ExCo Mid'!D26+'P&amp;L PurCo Mid'!D26</f>
        <v>-168000</v>
      </c>
      <c r="E39" s="50">
        <f>'P&amp;L SwCo Mid'!E26+'P&amp;L ExCo Mid'!E26+'P&amp;L PurCo Mid'!E26</f>
        <v>-146999.99999999997</v>
      </c>
      <c r="F39" s="50">
        <f>'P&amp;L SwCo Mid'!F26+'P&amp;L ExCo Mid'!F26+'P&amp;L PurCo Mid'!F26</f>
        <v>-225000</v>
      </c>
      <c r="G39" s="50">
        <f>'P&amp;L SwCo Mid'!G26+'P&amp;L ExCo Mid'!G26+'P&amp;L PurCo Mid'!G26</f>
        <v>-63000</v>
      </c>
      <c r="H39" s="50">
        <f>'P&amp;L SwCo Mid'!H26+'P&amp;L ExCo Mid'!H26+'P&amp;L PurCo Mid'!H26</f>
        <v>-84000</v>
      </c>
      <c r="I39" s="50">
        <f>'P&amp;L SwCo Mid'!I26+'P&amp;L ExCo Mid'!I26+'P&amp;L PurCo Mid'!I26</f>
        <v>-162000</v>
      </c>
      <c r="J39" s="50">
        <f>'P&amp;L SwCo Mid'!J26+'P&amp;L ExCo Mid'!J26+'P&amp;L PurCo Mid'!J26</f>
        <v>-42000</v>
      </c>
      <c r="K39" s="50">
        <f>'P&amp;L SwCo Mid'!K26+'P&amp;L ExCo Mid'!K26+'P&amp;L PurCo Mid'!K26</f>
        <v>-63000</v>
      </c>
      <c r="L39" s="50">
        <f>'P&amp;L SwCo Mid'!L26+'P&amp;L ExCo Mid'!L26+'P&amp;L PurCo Mid'!L26</f>
        <v>-183000</v>
      </c>
      <c r="M39" s="50">
        <f>'P&amp;L SwCo Mid'!M26+'P&amp;L ExCo Mid'!M26+'P&amp;L PurCo Mid'!M26</f>
        <v>-105000</v>
      </c>
      <c r="N39" s="50">
        <f>'P&amp;L SwCo Mid'!N26+'P&amp;L ExCo Mid'!N26+'P&amp;L PurCo Mid'!N26</f>
        <v>-330000</v>
      </c>
    </row>
    <row r="40" spans="1:14" s="47" customFormat="1" ht="15.6">
      <c r="A40" s="78" t="s">
        <v>384</v>
      </c>
      <c r="B40" s="54">
        <f t="shared" si="4"/>
        <v>35700000</v>
      </c>
      <c r="C40" s="50">
        <f>Financing!C11</f>
        <v>16800000</v>
      </c>
      <c r="D40" s="50">
        <f>Financing!D11</f>
        <v>0</v>
      </c>
      <c r="E40" s="50">
        <f>Financing!E11</f>
        <v>0</v>
      </c>
      <c r="F40" s="50">
        <f>Financing!F11</f>
        <v>0</v>
      </c>
      <c r="G40" s="50">
        <f>Financing!G11</f>
        <v>0</v>
      </c>
      <c r="H40" s="50">
        <f>Financing!H11</f>
        <v>2100000</v>
      </c>
      <c r="I40" s="50">
        <f>Financing!I11</f>
        <v>0</v>
      </c>
      <c r="J40" s="50">
        <f>Financing!J11</f>
        <v>0</v>
      </c>
      <c r="K40" s="50">
        <f>Financing!K11</f>
        <v>2100000</v>
      </c>
      <c r="L40" s="50">
        <f>Financing!L11</f>
        <v>0</v>
      </c>
      <c r="M40" s="50">
        <f>Financing!M11</f>
        <v>4200000</v>
      </c>
      <c r="N40" s="50">
        <f>Financing!N11</f>
        <v>10500000</v>
      </c>
    </row>
    <row r="41" spans="1:14" s="47" customFormat="1" ht="15.6">
      <c r="A41" s="78" t="s">
        <v>385</v>
      </c>
      <c r="B41" s="54">
        <f t="shared" si="4"/>
        <v>-14700000</v>
      </c>
      <c r="C41" s="50">
        <f>-Financing!C12</f>
        <v>0</v>
      </c>
      <c r="D41" s="50">
        <f>-Financing!D12</f>
        <v>0</v>
      </c>
      <c r="E41" s="50">
        <f>-Financing!E12</f>
        <v>-2100000.0000000019</v>
      </c>
      <c r="F41" s="50">
        <f>-Financing!F12</f>
        <v>-4199999.9999999981</v>
      </c>
      <c r="G41" s="50">
        <f>-Financing!G12</f>
        <v>-4200000</v>
      </c>
      <c r="H41" s="50">
        <f>-Financing!H12</f>
        <v>0</v>
      </c>
      <c r="I41" s="50">
        <f>-Financing!I12</f>
        <v>-4200000</v>
      </c>
      <c r="J41" s="50">
        <f>-Financing!J12</f>
        <v>0</v>
      </c>
      <c r="K41" s="50">
        <f>-Financing!K12</f>
        <v>0</v>
      </c>
      <c r="L41" s="50">
        <f>-Financing!L12</f>
        <v>0</v>
      </c>
      <c r="M41" s="50">
        <f>-Financing!M12</f>
        <v>0</v>
      </c>
      <c r="N41" s="50">
        <f>-Financing!N12</f>
        <v>0</v>
      </c>
    </row>
    <row r="42" spans="1:14" s="47" customFormat="1" ht="15.6">
      <c r="A42" s="78" t="s">
        <v>386</v>
      </c>
      <c r="B42" s="54">
        <f t="shared" si="4"/>
        <v>95505640</v>
      </c>
      <c r="C42" s="50">
        <f>Financing!C43+Financing!C44</f>
        <v>5000000</v>
      </c>
      <c r="D42" s="50">
        <f>Financing!D43+Financing!D44+Debtors!C65</f>
        <v>5650000</v>
      </c>
      <c r="E42" s="50">
        <f>Financing!E43+Financing!E44+Debtors!D65</f>
        <v>10650000</v>
      </c>
      <c r="F42" s="50">
        <f>Financing!F43+Financing!F44+Debtors!E65</f>
        <v>11300000</v>
      </c>
      <c r="G42" s="50">
        <f>Financing!G43+Financing!G44+Debtors!F65</f>
        <v>11300000</v>
      </c>
      <c r="H42" s="50">
        <f>Financing!H43+Financing!H44+Debtors!G65</f>
        <v>11300000</v>
      </c>
      <c r="I42" s="50">
        <f>Financing!I43+Financing!I44+Debtors!H65</f>
        <v>4792000</v>
      </c>
      <c r="J42" s="50">
        <f>Financing!J43+Financing!J44+Debtors!I65</f>
        <v>6273960</v>
      </c>
      <c r="K42" s="50">
        <f>Financing!K43+Financing!K44+Debtors!J65</f>
        <v>8904600</v>
      </c>
      <c r="L42" s="50">
        <f>Financing!L43+Financing!L44+Debtors!K65</f>
        <v>9207240</v>
      </c>
      <c r="M42" s="50">
        <f>Financing!M43+Financing!M44+Debtors!L65</f>
        <v>6879240</v>
      </c>
      <c r="N42" s="50">
        <f>Financing!N43+Financing!N44+Debtors!M65</f>
        <v>4248600</v>
      </c>
    </row>
    <row r="43" spans="1:14" s="47" customFormat="1" ht="15.6">
      <c r="A43" s="78" t="s">
        <v>387</v>
      </c>
      <c r="B43" s="54">
        <f t="shared" si="4"/>
        <v>-92467600</v>
      </c>
      <c r="C43" s="50">
        <f>-(Financing!C46+Financing!C47)-Debtors!C65</f>
        <v>-650000.00000000012</v>
      </c>
      <c r="D43" s="50">
        <f>-(Financing!D46+Financing!D47)-Debtors!D65</f>
        <v>-5650000</v>
      </c>
      <c r="E43" s="50">
        <f>-(Financing!E46+Financing!E47)-Debtors!E65</f>
        <v>-6300000</v>
      </c>
      <c r="F43" s="50">
        <f>-(Financing!F46+Financing!F47)-Debtors!F65</f>
        <v>-11300000</v>
      </c>
      <c r="G43" s="50">
        <f>-(Financing!G46+Financing!G47)-Debtors!G65</f>
        <v>-11300000</v>
      </c>
      <c r="H43" s="50">
        <f>-(Financing!H46+Financing!H47)-Debtors!H65</f>
        <v>-11300000</v>
      </c>
      <c r="I43" s="50">
        <f>-(Financing!I46+Financing!I47)-Debtors!I65</f>
        <v>-10453960</v>
      </c>
      <c r="J43" s="50">
        <f>-(Financing!J46+Financing!J47)-Debtors!J65</f>
        <v>-4248600</v>
      </c>
      <c r="K43" s="50">
        <f>-(Financing!K46+Financing!K47)-Debtors!K65</f>
        <v>-6879240</v>
      </c>
      <c r="L43" s="50">
        <f>-(Financing!L46+Financing!L47)-Debtors!L65</f>
        <v>-9207240</v>
      </c>
      <c r="M43" s="50">
        <f>-(Financing!M46+Financing!M47)-Debtors!M65</f>
        <v>-8904600</v>
      </c>
      <c r="N43" s="50">
        <f>-(Financing!N46+Financing!N47)-Debtors!N65</f>
        <v>-6273960</v>
      </c>
    </row>
    <row r="44" spans="1:14" s="47" customFormat="1" ht="15.6">
      <c r="A44" s="78" t="s">
        <v>388</v>
      </c>
      <c r="B44" s="54"/>
      <c r="C44" s="50">
        <f>Assumptions!B129</f>
        <v>4000000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4" ht="15.6">
      <c r="A45" s="78" t="s">
        <v>389</v>
      </c>
      <c r="B45" s="54"/>
      <c r="C45" s="50">
        <f>-Financing!C98+Financing!C97</f>
        <v>0</v>
      </c>
      <c r="D45" s="50">
        <f>-Financing!D98+Financing!D97</f>
        <v>0</v>
      </c>
      <c r="E45" s="50">
        <f>-Financing!E98+Financing!E97</f>
        <v>0</v>
      </c>
      <c r="F45" s="50">
        <f>-Financing!F98+Financing!F97</f>
        <v>-120000</v>
      </c>
      <c r="G45" s="50">
        <f>-Financing!G98+Financing!G97</f>
        <v>0</v>
      </c>
      <c r="H45" s="50">
        <f>-Financing!H98+Financing!H97</f>
        <v>0</v>
      </c>
      <c r="I45" s="50">
        <f>-Financing!I98+Financing!I97</f>
        <v>-120000</v>
      </c>
      <c r="J45" s="50">
        <f>-Financing!J98+Financing!J97</f>
        <v>0</v>
      </c>
      <c r="K45" s="50">
        <f>-Financing!K98+Financing!K97</f>
        <v>0</v>
      </c>
      <c r="L45" s="50">
        <f>-Financing!L98+Financing!L97</f>
        <v>-120000</v>
      </c>
      <c r="M45" s="50">
        <f>-Financing!M98+Financing!M97</f>
        <v>0</v>
      </c>
      <c r="N45" s="50">
        <f>-Financing!N98+Financing!N97</f>
        <v>-4120000</v>
      </c>
    </row>
    <row r="46" spans="1:14">
      <c r="A46" s="49" t="s">
        <v>351</v>
      </c>
      <c r="B46" s="50">
        <f t="shared" si="4"/>
        <v>0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14" s="79" customFormat="1" ht="21">
      <c r="A47" s="76" t="s">
        <v>390</v>
      </c>
      <c r="B47" s="44">
        <f t="shared" ref="B47:N47" si="6">B35+B36+SUM(B40:B46)</f>
        <v>22298040</v>
      </c>
      <c r="C47" s="44">
        <f t="shared" si="6"/>
        <v>24982000</v>
      </c>
      <c r="D47" s="44">
        <f t="shared" si="6"/>
        <v>-168000</v>
      </c>
      <c r="E47" s="44">
        <f t="shared" si="6"/>
        <v>2102999.9999999981</v>
      </c>
      <c r="F47" s="44">
        <f t="shared" si="6"/>
        <v>-4544999.9999999981</v>
      </c>
      <c r="G47" s="44">
        <f t="shared" si="6"/>
        <v>-4263000</v>
      </c>
      <c r="H47" s="44">
        <f t="shared" si="6"/>
        <v>2016000</v>
      </c>
      <c r="I47" s="44">
        <f t="shared" si="6"/>
        <v>-10143960</v>
      </c>
      <c r="J47" s="44">
        <f t="shared" si="6"/>
        <v>1983360</v>
      </c>
      <c r="K47" s="44">
        <f t="shared" si="6"/>
        <v>4062360</v>
      </c>
      <c r="L47" s="44">
        <f t="shared" si="6"/>
        <v>-303000</v>
      </c>
      <c r="M47" s="44">
        <f t="shared" si="6"/>
        <v>2069640</v>
      </c>
      <c r="N47" s="44">
        <f t="shared" si="6"/>
        <v>4024640</v>
      </c>
    </row>
    <row r="48" spans="1:14">
      <c r="A48" s="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1:14" ht="21">
      <c r="A49" s="52" t="s">
        <v>391</v>
      </c>
      <c r="B49" s="53">
        <f t="shared" ref="B49:N49" si="7">B47+B32+B21</f>
        <v>14936794.496593386</v>
      </c>
      <c r="C49" s="53">
        <f t="shared" si="7"/>
        <v>12895573.58730159</v>
      </c>
      <c r="D49" s="53">
        <f t="shared" si="7"/>
        <v>-6904660.6666666716</v>
      </c>
      <c r="E49" s="53">
        <f t="shared" si="7"/>
        <v>1865355.3333333284</v>
      </c>
      <c r="F49" s="53">
        <f t="shared" si="7"/>
        <v>-3213262.4444444384</v>
      </c>
      <c r="G49" s="53">
        <f t="shared" si="7"/>
        <v>-1831516.666666666</v>
      </c>
      <c r="H49" s="53">
        <f t="shared" si="7"/>
        <v>-2549524.666666666</v>
      </c>
      <c r="I49" s="53">
        <f t="shared" si="7"/>
        <v>-570513.64444444701</v>
      </c>
      <c r="J49" s="53">
        <f t="shared" si="7"/>
        <v>233481.73333333526</v>
      </c>
      <c r="K49" s="53">
        <f t="shared" si="7"/>
        <v>2816162.5333333304</v>
      </c>
      <c r="L49" s="53">
        <f t="shared" si="7"/>
        <v>-806261.64444444887</v>
      </c>
      <c r="M49" s="53">
        <f t="shared" si="7"/>
        <v>4237368.9333333345</v>
      </c>
      <c r="N49" s="53">
        <f t="shared" si="7"/>
        <v>7120592.1092918096</v>
      </c>
    </row>
    <row r="50" spans="1:14">
      <c r="B50" s="51"/>
      <c r="C50" s="51"/>
      <c r="D50" s="51"/>
      <c r="E50" s="5"/>
      <c r="F50" s="5"/>
      <c r="G50" s="5"/>
      <c r="H50" s="5"/>
    </row>
    <row r="51" spans="1:14">
      <c r="A51" s="76" t="s">
        <v>393</v>
      </c>
      <c r="B51" s="44">
        <f>C51</f>
        <v>1053700</v>
      </c>
      <c r="C51" s="44">
        <f>Assumptions!B128*Assumptions!B5</f>
        <v>1053700</v>
      </c>
      <c r="D51" s="44">
        <f t="shared" ref="D51:N51" si="8">C52</f>
        <v>13949273.58730159</v>
      </c>
      <c r="E51" s="44">
        <f t="shared" si="8"/>
        <v>7044612.9206349179</v>
      </c>
      <c r="F51" s="44">
        <f t="shared" si="8"/>
        <v>8909968.2539682463</v>
      </c>
      <c r="G51" s="44">
        <f t="shared" si="8"/>
        <v>5696705.8095238078</v>
      </c>
      <c r="H51" s="44">
        <f t="shared" si="8"/>
        <v>3865189.1428571418</v>
      </c>
      <c r="I51" s="44">
        <f t="shared" si="8"/>
        <v>1315664.4761904757</v>
      </c>
      <c r="J51" s="44">
        <f t="shared" si="8"/>
        <v>745150.83174602874</v>
      </c>
      <c r="K51" s="44">
        <f t="shared" si="8"/>
        <v>978632.56507936399</v>
      </c>
      <c r="L51" s="44">
        <f t="shared" si="8"/>
        <v>3794795.0984126944</v>
      </c>
      <c r="M51" s="44">
        <f t="shared" si="8"/>
        <v>2988533.4539682455</v>
      </c>
      <c r="N51" s="44">
        <f t="shared" si="8"/>
        <v>7225902.38730158</v>
      </c>
    </row>
    <row r="52" spans="1:14">
      <c r="A52" s="76" t="s">
        <v>392</v>
      </c>
      <c r="B52" s="44">
        <f>N52</f>
        <v>14346494.49659339</v>
      </c>
      <c r="C52" s="44">
        <f>C51+C49</f>
        <v>13949273.58730159</v>
      </c>
      <c r="D52" s="44">
        <f t="shared" ref="D52:N52" si="9">D51+D49</f>
        <v>7044612.9206349179</v>
      </c>
      <c r="E52" s="44">
        <f t="shared" si="9"/>
        <v>8909968.2539682463</v>
      </c>
      <c r="F52" s="44">
        <f t="shared" si="9"/>
        <v>5696705.8095238078</v>
      </c>
      <c r="G52" s="44">
        <f t="shared" si="9"/>
        <v>3865189.1428571418</v>
      </c>
      <c r="H52" s="44">
        <f t="shared" si="9"/>
        <v>1315664.4761904757</v>
      </c>
      <c r="I52" s="44">
        <f t="shared" si="9"/>
        <v>745150.83174602874</v>
      </c>
      <c r="J52" s="44">
        <f t="shared" si="9"/>
        <v>978632.56507936399</v>
      </c>
      <c r="K52" s="44">
        <f t="shared" si="9"/>
        <v>3794795.0984126944</v>
      </c>
      <c r="L52" s="44">
        <f t="shared" si="9"/>
        <v>2988533.4539682455</v>
      </c>
      <c r="M52" s="44">
        <f t="shared" si="9"/>
        <v>7225902.38730158</v>
      </c>
      <c r="N52" s="44">
        <f t="shared" si="9"/>
        <v>14346494.49659339</v>
      </c>
    </row>
    <row r="53" spans="1:14">
      <c r="B53" s="51"/>
      <c r="C53" s="51"/>
      <c r="D53" s="51"/>
      <c r="E53" s="5"/>
      <c r="F53" s="5"/>
      <c r="G53" s="5"/>
      <c r="H53" s="5"/>
    </row>
    <row r="54" spans="1:14">
      <c r="B54" s="51"/>
      <c r="C54" s="51"/>
      <c r="D54" s="51"/>
    </row>
    <row r="55" spans="1:14">
      <c r="B55" s="51"/>
      <c r="C55" s="51"/>
      <c r="D55" s="51"/>
    </row>
    <row r="56" spans="1:14">
      <c r="B56" s="51"/>
      <c r="C56" s="51"/>
      <c r="D56" s="51"/>
    </row>
    <row r="57" spans="1:14">
      <c r="B57" s="51"/>
      <c r="C57" s="51"/>
      <c r="D57" s="51"/>
    </row>
    <row r="58" spans="1:14">
      <c r="B58" s="51"/>
      <c r="C58" s="51"/>
      <c r="D58" s="51"/>
    </row>
    <row r="59" spans="1:14">
      <c r="B59" s="51"/>
      <c r="C59" s="51"/>
      <c r="D59" s="51"/>
    </row>
    <row r="60" spans="1:14">
      <c r="B60" s="51"/>
      <c r="C60" s="51"/>
      <c r="D60" s="51"/>
    </row>
    <row r="61" spans="1:14">
      <c r="B61" s="51"/>
      <c r="C61" s="51"/>
      <c r="D61" s="51"/>
    </row>
    <row r="62" spans="1:14">
      <c r="B62" s="51"/>
      <c r="C62" s="51"/>
      <c r="D62" s="51"/>
    </row>
    <row r="63" spans="1:14" ht="14.4">
      <c r="A63" s="4"/>
      <c r="B63" s="51"/>
      <c r="C63" s="51"/>
      <c r="D63" s="51"/>
    </row>
    <row r="64" spans="1:14" ht="14.4">
      <c r="A64" s="4"/>
      <c r="B64" s="51"/>
      <c r="C64" s="51"/>
      <c r="D64" s="51"/>
    </row>
    <row r="65" spans="1:4" ht="14.4">
      <c r="A65" s="4"/>
      <c r="B65" s="51"/>
      <c r="C65" s="51"/>
      <c r="D65" s="5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/>
    </sheetView>
  </sheetViews>
  <sheetFormatPr defaultRowHeight="18"/>
  <cols>
    <col min="1" max="1" width="79.44140625" style="45" customWidth="1"/>
    <col min="2" max="2" width="18.77734375" style="4" hidden="1" customWidth="1"/>
    <col min="3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362</v>
      </c>
    </row>
    <row r="3" spans="1:14" ht="21">
      <c r="A3" s="43" t="s">
        <v>360</v>
      </c>
    </row>
    <row r="4" spans="1:14" ht="21">
      <c r="A4" s="43" t="s">
        <v>358</v>
      </c>
      <c r="B4" s="19" t="s">
        <v>6</v>
      </c>
      <c r="C4" s="19" t="s">
        <v>328</v>
      </c>
    </row>
    <row r="5" spans="1:14">
      <c r="B5" s="80" t="s">
        <v>9</v>
      </c>
      <c r="C5" s="1" t="s">
        <v>129</v>
      </c>
      <c r="D5" s="1" t="s">
        <v>130</v>
      </c>
      <c r="E5" s="1" t="s">
        <v>131</v>
      </c>
      <c r="F5" s="1" t="s">
        <v>132</v>
      </c>
      <c r="G5" s="1" t="s">
        <v>133</v>
      </c>
      <c r="H5" s="1" t="s">
        <v>134</v>
      </c>
      <c r="I5" s="1" t="s">
        <v>135</v>
      </c>
      <c r="J5" s="1" t="s">
        <v>136</v>
      </c>
      <c r="K5" s="1" t="s">
        <v>137</v>
      </c>
      <c r="L5" s="1" t="s">
        <v>138</v>
      </c>
      <c r="M5" s="1" t="s">
        <v>139</v>
      </c>
      <c r="N5" s="1" t="s">
        <v>140</v>
      </c>
    </row>
    <row r="6" spans="1:14" ht="21">
      <c r="A6" s="43" t="s">
        <v>363</v>
      </c>
    </row>
    <row r="7" spans="1:14" s="16" customFormat="1" ht="15.6">
      <c r="A7" s="16" t="s">
        <v>302</v>
      </c>
      <c r="B7" s="54">
        <f>SUM(C7:N7)</f>
        <v>114654000</v>
      </c>
      <c r="C7" s="54">
        <f>'P&amp;L Cons Good'!C6*Assumptions!$B$79</f>
        <v>5820000</v>
      </c>
      <c r="D7" s="54">
        <f>('P&amp;L Cons Good'!D6+'P&amp;L Cons Good'!C6)*Assumptions!$B$79</f>
        <v>13968000</v>
      </c>
      <c r="E7" s="54">
        <f>('P&amp;L Cons Good'!E6+'P&amp;L Cons Good'!D6)*Assumptions!$B$79</f>
        <v>16296000.000000002</v>
      </c>
      <c r="F7" s="54">
        <f>('P&amp;L Cons Good'!F6+'P&amp;L Cons Good'!E6)*Assumptions!$B$79</f>
        <v>15132000</v>
      </c>
      <c r="G7" s="54">
        <f>('P&amp;L Cons Good'!G6+'P&amp;L Cons Good'!F6)*Assumptions!$B$79</f>
        <v>12804000</v>
      </c>
      <c r="H7" s="54">
        <f>('P&amp;L Cons Good'!H6+'P&amp;L Cons Good'!G6)*Assumptions!$B$79</f>
        <v>11640000</v>
      </c>
      <c r="I7" s="54">
        <f>('P&amp;L Cons Good'!I6+'P&amp;L Cons Good'!H6)*Assumptions!$B$79</f>
        <v>7566000</v>
      </c>
      <c r="J7" s="54">
        <f>('P&amp;L Cons Good'!J6+'P&amp;L Cons Good'!I6)*Assumptions!$B$79</f>
        <v>4656000</v>
      </c>
      <c r="K7" s="54">
        <f>('P&amp;L Cons Good'!K6+'P&amp;L Cons Good'!J6)*Assumptions!$B$79</f>
        <v>6984000</v>
      </c>
      <c r="L7" s="54">
        <f>('P&amp;L Cons Good'!L6+'P&amp;L Cons Good'!K6)*Assumptions!$B$79</f>
        <v>8148000.0000000009</v>
      </c>
      <c r="M7" s="54">
        <f>('P&amp;L Cons Good'!M6+'P&amp;L Cons Good'!L6)*Assumptions!$B$79</f>
        <v>6984000</v>
      </c>
      <c r="N7" s="54">
        <f>('P&amp;L Cons Good'!N6+'P&amp;L Cons Good'!M6)*Assumptions!$B$79</f>
        <v>4656000</v>
      </c>
    </row>
    <row r="8" spans="1:14" s="16" customFormat="1" ht="15.6">
      <c r="A8" s="16" t="s">
        <v>380</v>
      </c>
      <c r="B8" s="54">
        <f t="shared" ref="B8:N8" si="0">SUM(B9:B19)</f>
        <v>-115117030.41507328</v>
      </c>
      <c r="C8" s="54">
        <f t="shared" si="0"/>
        <v>-11257897.746031744</v>
      </c>
      <c r="D8" s="54">
        <f t="shared" si="0"/>
        <v>-15477058.000000004</v>
      </c>
      <c r="E8" s="54">
        <f t="shared" si="0"/>
        <v>-15490658.000000004</v>
      </c>
      <c r="F8" s="54">
        <f t="shared" si="0"/>
        <v>-13463910.444444444</v>
      </c>
      <c r="G8" s="54">
        <f t="shared" si="0"/>
        <v>-11146191.333333332</v>
      </c>
      <c r="H8" s="54">
        <f t="shared" si="0"/>
        <v>-11141391.333333332</v>
      </c>
      <c r="I8" s="54">
        <f t="shared" si="0"/>
        <v>-3651147.2444444438</v>
      </c>
      <c r="J8" s="54">
        <f t="shared" si="0"/>
        <v>-5658624</v>
      </c>
      <c r="K8" s="54">
        <f t="shared" si="0"/>
        <v>-7849740.533333336</v>
      </c>
      <c r="L8" s="54">
        <f t="shared" si="0"/>
        <v>-7997218.311111114</v>
      </c>
      <c r="M8" s="54">
        <f t="shared" si="0"/>
        <v>-5682408</v>
      </c>
      <c r="N8" s="54">
        <f t="shared" si="0"/>
        <v>-6300785.4690415207</v>
      </c>
    </row>
    <row r="9" spans="1:14" s="32" customFormat="1" ht="14.4">
      <c r="A9" s="32" t="s">
        <v>364</v>
      </c>
      <c r="B9" s="50">
        <f t="shared" ref="B9:B18" si="1">SUM(C9:N9)</f>
        <v>-86200000</v>
      </c>
      <c r="C9" s="50">
        <f>'P&amp;L Cons Good'!C8</f>
        <v>-8620000</v>
      </c>
      <c r="D9" s="50">
        <f>'P&amp;L Cons Good'!D8</f>
        <v>-12068000.000000004</v>
      </c>
      <c r="E9" s="50">
        <f>'P&amp;L Cons Good'!E8</f>
        <v>-12068000.000000004</v>
      </c>
      <c r="F9" s="50">
        <f>'P&amp;L Cons Good'!F8</f>
        <v>-10344000</v>
      </c>
      <c r="G9" s="50">
        <f>'P&amp;L Cons Good'!G8</f>
        <v>-8620000</v>
      </c>
      <c r="H9" s="50">
        <f>'P&amp;L Cons Good'!H8</f>
        <v>-8620000</v>
      </c>
      <c r="I9" s="50">
        <f>'P&amp;L Cons Good'!I8</f>
        <v>-2586000</v>
      </c>
      <c r="J9" s="50">
        <f>'P&amp;L Cons Good'!J8</f>
        <v>-4310000</v>
      </c>
      <c r="K9" s="50">
        <f>'P&amp;L Cons Good'!K8</f>
        <v>-6034000.0000000019</v>
      </c>
      <c r="L9" s="50">
        <f>'P&amp;L Cons Good'!L8</f>
        <v>-6034000.0000000019</v>
      </c>
      <c r="M9" s="50">
        <f>'P&amp;L Cons Good'!M8</f>
        <v>-4310000</v>
      </c>
      <c r="N9" s="50">
        <f>'P&amp;L Cons Good'!N8</f>
        <v>-2586000</v>
      </c>
    </row>
    <row r="10" spans="1:14" s="32" customFormat="1" ht="14.4">
      <c r="A10" s="32" t="s">
        <v>365</v>
      </c>
      <c r="B10" s="50">
        <f t="shared" si="1"/>
        <v>-21854920.634920638</v>
      </c>
      <c r="C10" s="50">
        <f>'P&amp;L Cons Good'!C9</f>
        <v>-2198920.6349206348</v>
      </c>
      <c r="D10" s="50">
        <f>'P&amp;L Cons Good'!D9</f>
        <v>-3057600.0000000009</v>
      </c>
      <c r="E10" s="50">
        <f>'P&amp;L Cons Good'!E9</f>
        <v>-3057600.0000000009</v>
      </c>
      <c r="F10" s="50">
        <f>'P&amp;L Cons Good'!F9</f>
        <v>-2620800</v>
      </c>
      <c r="G10" s="50">
        <f>'P&amp;L Cons Good'!G9</f>
        <v>-2184000</v>
      </c>
      <c r="H10" s="50">
        <f>'P&amp;L Cons Good'!H9</f>
        <v>-2184000</v>
      </c>
      <c r="I10" s="50">
        <f>'P&amp;L Cons Good'!I9</f>
        <v>-655200</v>
      </c>
      <c r="J10" s="50">
        <f>'P&amp;L Cons Good'!J9</f>
        <v>-1092000</v>
      </c>
      <c r="K10" s="50">
        <f>'P&amp;L Cons Good'!K9</f>
        <v>-1528800.0000000005</v>
      </c>
      <c r="L10" s="50">
        <f>'P&amp;L Cons Good'!L9</f>
        <v>-1528800.0000000005</v>
      </c>
      <c r="M10" s="50">
        <f>'P&amp;L Cons Good'!M9</f>
        <v>-1092000</v>
      </c>
      <c r="N10" s="50">
        <f>'P&amp;L Cons Good'!N9</f>
        <v>-655200</v>
      </c>
    </row>
    <row r="11" spans="1:14" s="32" customFormat="1" ht="14.4">
      <c r="A11" s="32" t="s">
        <v>336</v>
      </c>
      <c r="B11" s="50">
        <f t="shared" si="1"/>
        <v>-1692000</v>
      </c>
      <c r="C11" s="50">
        <f>'P&amp;L Cons Good'!C11+'P&amp;L Cons Good'!C19</f>
        <v>-141000</v>
      </c>
      <c r="D11" s="50">
        <f>'P&amp;L Cons Good'!D11+'P&amp;L Cons Good'!D19</f>
        <v>-141000</v>
      </c>
      <c r="E11" s="50">
        <f>'P&amp;L Cons Good'!E11+'P&amp;L Cons Good'!E19</f>
        <v>-141000</v>
      </c>
      <c r="F11" s="50">
        <f>'P&amp;L Cons Good'!F11+'P&amp;L Cons Good'!F19</f>
        <v>-141000</v>
      </c>
      <c r="G11" s="50">
        <f>'P&amp;L Cons Good'!G11+'P&amp;L Cons Good'!G19</f>
        <v>-141000</v>
      </c>
      <c r="H11" s="50">
        <f>'P&amp;L Cons Good'!H11+'P&amp;L Cons Good'!H19</f>
        <v>-141000</v>
      </c>
      <c r="I11" s="50">
        <f>'P&amp;L Cons Good'!I11+'P&amp;L Cons Good'!I19</f>
        <v>-141000</v>
      </c>
      <c r="J11" s="50">
        <f>'P&amp;L Cons Good'!J11+'P&amp;L Cons Good'!J19</f>
        <v>-141000</v>
      </c>
      <c r="K11" s="50">
        <f>'P&amp;L Cons Good'!K11+'P&amp;L Cons Good'!K19</f>
        <v>-141000</v>
      </c>
      <c r="L11" s="50">
        <f>'P&amp;L Cons Good'!L11+'P&amp;L Cons Good'!L19</f>
        <v>-141000</v>
      </c>
      <c r="M11" s="50">
        <f>'P&amp;L Cons Good'!M11+'P&amp;L Cons Good'!M19</f>
        <v>-141000</v>
      </c>
      <c r="N11" s="50">
        <f>'P&amp;L Cons Good'!N11+'P&amp;L Cons Good'!N19</f>
        <v>-141000</v>
      </c>
    </row>
    <row r="12" spans="1:14" s="32" customFormat="1" ht="14.4">
      <c r="A12" s="32" t="s">
        <v>337</v>
      </c>
      <c r="B12" s="50">
        <f t="shared" si="1"/>
        <v>-301296</v>
      </c>
      <c r="C12" s="50">
        <f>'P&amp;L Cons Good'!C12</f>
        <v>-25108</v>
      </c>
      <c r="D12" s="50">
        <f>'P&amp;L Cons Good'!D12</f>
        <v>-25108</v>
      </c>
      <c r="E12" s="50">
        <f>'P&amp;L Cons Good'!E12</f>
        <v>-25108</v>
      </c>
      <c r="F12" s="50">
        <f>'P&amp;L Cons Good'!F12</f>
        <v>-25108</v>
      </c>
      <c r="G12" s="50">
        <f>'P&amp;L Cons Good'!G12</f>
        <v>-25108</v>
      </c>
      <c r="H12" s="50">
        <f>'P&amp;L Cons Good'!H12</f>
        <v>-25108</v>
      </c>
      <c r="I12" s="50">
        <f>'P&amp;L Cons Good'!I12</f>
        <v>-25108</v>
      </c>
      <c r="J12" s="50">
        <f>'P&amp;L Cons Good'!J12</f>
        <v>-25108</v>
      </c>
      <c r="K12" s="50">
        <f>'P&amp;L Cons Good'!K12</f>
        <v>-25108</v>
      </c>
      <c r="L12" s="50">
        <f>'P&amp;L Cons Good'!L12</f>
        <v>-25108</v>
      </c>
      <c r="M12" s="50">
        <f>'P&amp;L Cons Good'!M12</f>
        <v>-25108</v>
      </c>
      <c r="N12" s="50">
        <f>'P&amp;L Cons Good'!N12</f>
        <v>-25108</v>
      </c>
    </row>
    <row r="13" spans="1:14" s="32" customFormat="1" ht="14.4">
      <c r="A13" s="32" t="s">
        <v>335</v>
      </c>
      <c r="B13" s="50">
        <f t="shared" si="1"/>
        <v>-256800</v>
      </c>
      <c r="C13" s="50">
        <f>'P&amp;L Cons Good'!C10</f>
        <v>-24000</v>
      </c>
      <c r="D13" s="50">
        <f>'P&amp;L Cons Good'!C10</f>
        <v>-24000</v>
      </c>
      <c r="E13" s="50">
        <f>'P&amp;L Cons Good'!D10</f>
        <v>-33600.000000000007</v>
      </c>
      <c r="F13" s="50">
        <f>'P&amp;L Cons Good'!E10</f>
        <v>-33600.000000000007</v>
      </c>
      <c r="G13" s="50">
        <f>'P&amp;L Cons Good'!F10</f>
        <v>-28800</v>
      </c>
      <c r="H13" s="50">
        <f>'P&amp;L Cons Good'!G10</f>
        <v>-24000</v>
      </c>
      <c r="I13" s="50">
        <f>'P&amp;L Cons Good'!H10</f>
        <v>-24000</v>
      </c>
      <c r="J13" s="50">
        <f>'P&amp;L Cons Good'!I10</f>
        <v>-7200</v>
      </c>
      <c r="K13" s="50">
        <f>'P&amp;L Cons Good'!J10</f>
        <v>-12000</v>
      </c>
      <c r="L13" s="50">
        <f>'P&amp;L Cons Good'!K10</f>
        <v>-16800.000000000004</v>
      </c>
      <c r="M13" s="50">
        <f>'P&amp;L Cons Good'!L10</f>
        <v>-16800.000000000004</v>
      </c>
      <c r="N13" s="50">
        <f>'P&amp;L Cons Good'!M10</f>
        <v>-12000</v>
      </c>
    </row>
    <row r="14" spans="1:14" s="32" customFormat="1" ht="14.4">
      <c r="A14" s="32" t="s">
        <v>338</v>
      </c>
      <c r="B14" s="50">
        <f t="shared" si="1"/>
        <v>-68368.000000000015</v>
      </c>
      <c r="C14" s="50">
        <f>'P&amp;L Cons Good'!C13</f>
        <v>-4000</v>
      </c>
      <c r="D14" s="50">
        <f>'P&amp;L Cons Good'!D13</f>
        <v>-4000</v>
      </c>
      <c r="E14" s="50">
        <f>'P&amp;L Cons Good'!E13</f>
        <v>-8000</v>
      </c>
      <c r="F14" s="50">
        <f>'P&amp;L Cons Good'!F13</f>
        <v>-8000</v>
      </c>
      <c r="G14" s="50">
        <f>'P&amp;L Cons Good'!G13</f>
        <v>-8000</v>
      </c>
      <c r="H14" s="50">
        <f>'P&amp;L Cons Good'!H13</f>
        <v>-8000</v>
      </c>
      <c r="I14" s="50">
        <f>'P&amp;L Cons Good'!I13</f>
        <v>-2836.8</v>
      </c>
      <c r="J14" s="50">
        <f>'P&amp;L Cons Good'!J13</f>
        <v>-4728</v>
      </c>
      <c r="K14" s="50">
        <f>'P&amp;L Cons Good'!K13</f>
        <v>-6619.2000000000016</v>
      </c>
      <c r="L14" s="50">
        <f>'P&amp;L Cons Good'!L13</f>
        <v>-6619.2000000000016</v>
      </c>
      <c r="M14" s="50">
        <f>'P&amp;L Cons Good'!M13</f>
        <v>-4728</v>
      </c>
      <c r="N14" s="50">
        <f>'P&amp;L Cons Good'!N13</f>
        <v>-2836.8</v>
      </c>
    </row>
    <row r="15" spans="1:14" s="32" customFormat="1" ht="14.4">
      <c r="A15" s="32" t="s">
        <v>366</v>
      </c>
      <c r="B15" s="50">
        <f t="shared" si="1"/>
        <v>-920871.3380830501</v>
      </c>
      <c r="C15" s="50">
        <f>0.25*('P&amp;L PurCo Good'!B30+'P&amp;L ExCo Good'!B30)</f>
        <v>-135585.77777777764</v>
      </c>
      <c r="D15" s="50"/>
      <c r="E15" s="50"/>
      <c r="F15" s="50">
        <f>C15</f>
        <v>-135585.77777777764</v>
      </c>
      <c r="G15" s="50"/>
      <c r="H15" s="50"/>
      <c r="I15" s="50">
        <f>F15</f>
        <v>-135585.77777777764</v>
      </c>
      <c r="J15" s="50"/>
      <c r="K15" s="50"/>
      <c r="L15" s="50">
        <f>I15</f>
        <v>-135585.77777777764</v>
      </c>
      <c r="M15" s="50"/>
      <c r="N15" s="50">
        <f>'P&amp;L SwCo Good'!B30</f>
        <v>-378528.22697193956</v>
      </c>
    </row>
    <row r="16" spans="1:14" s="32" customFormat="1" ht="14.4">
      <c r="A16" s="32" t="s">
        <v>339</v>
      </c>
      <c r="B16" s="50">
        <f t="shared" si="1"/>
        <v>-352408.66666666669</v>
      </c>
      <c r="C16" s="50">
        <f>'P&amp;L Cons Good'!C14</f>
        <v>-10666.666666666668</v>
      </c>
      <c r="D16" s="50">
        <f>'P&amp;L Cons Good'!D14</f>
        <v>-29933.333333333336</v>
      </c>
      <c r="E16" s="50">
        <f>'P&amp;L Cons Good'!E14</f>
        <v>-29933.333333333336</v>
      </c>
      <c r="F16" s="50">
        <f>'P&amp;L Cons Good'!F14</f>
        <v>-42800</v>
      </c>
      <c r="G16" s="50">
        <f>'P&amp;L Cons Good'!G14</f>
        <v>-40666.666666666664</v>
      </c>
      <c r="H16" s="50">
        <f>'P&amp;L Cons Good'!H14</f>
        <v>-40666.666666666664</v>
      </c>
      <c r="I16" s="50">
        <f>'P&amp;L Cons Good'!I14</f>
        <v>-33200</v>
      </c>
      <c r="J16" s="50">
        <f>'P&amp;L Cons Good'!J14</f>
        <v>-15971.333333333334</v>
      </c>
      <c r="K16" s="50">
        <f>'P&amp;L Cons Good'!K14</f>
        <v>-25196.666666666668</v>
      </c>
      <c r="L16" s="50">
        <f>'P&amp;L Cons Good'!L14</f>
        <v>-32288.666666666675</v>
      </c>
      <c r="M16" s="50">
        <f>'P&amp;L Cons Good'!M14</f>
        <v>-30155.333333333339</v>
      </c>
      <c r="N16" s="50">
        <f>'P&amp;L Cons Good'!N14</f>
        <v>-20930</v>
      </c>
    </row>
    <row r="17" spans="1:14" s="32" customFormat="1" ht="14.4">
      <c r="A17" s="32" t="s">
        <v>342</v>
      </c>
      <c r="B17" s="50">
        <f t="shared" si="1"/>
        <v>-319400</v>
      </c>
      <c r="C17" s="50">
        <f>'P&amp;L Cons Good'!C17</f>
        <v>-26616.666666666668</v>
      </c>
      <c r="D17" s="50">
        <f>'P&amp;L Cons Good'!D17</f>
        <v>-26616.666666666668</v>
      </c>
      <c r="E17" s="50">
        <f>'P&amp;L Cons Good'!E17</f>
        <v>-26616.666666666668</v>
      </c>
      <c r="F17" s="50">
        <f>'P&amp;L Cons Good'!F17</f>
        <v>-26616.666666666668</v>
      </c>
      <c r="G17" s="50">
        <f>'P&amp;L Cons Good'!G17</f>
        <v>-26616.666666666668</v>
      </c>
      <c r="H17" s="50">
        <f>'P&amp;L Cons Good'!H17</f>
        <v>-26616.666666666668</v>
      </c>
      <c r="I17" s="50">
        <f>'P&amp;L Cons Good'!I17</f>
        <v>-26616.666666666668</v>
      </c>
      <c r="J17" s="50">
        <f>'P&amp;L Cons Good'!J17</f>
        <v>-26616.666666666668</v>
      </c>
      <c r="K17" s="50">
        <f>'P&amp;L Cons Good'!K17</f>
        <v>-26616.666666666668</v>
      </c>
      <c r="L17" s="50">
        <f>'P&amp;L Cons Good'!L17</f>
        <v>-26616.666666666668</v>
      </c>
      <c r="M17" s="50">
        <f>'P&amp;L Cons Good'!M17</f>
        <v>-26616.666666666668</v>
      </c>
      <c r="N17" s="50">
        <f>'P&amp;L Cons Good'!N17</f>
        <v>-26616.666666666668</v>
      </c>
    </row>
    <row r="18" spans="1:14" s="32" customFormat="1" ht="14.4">
      <c r="A18" s="32" t="s">
        <v>343</v>
      </c>
      <c r="B18" s="50">
        <f t="shared" si="1"/>
        <v>-720000</v>
      </c>
      <c r="C18" s="50">
        <f>'P&amp;L SwCo Good'!C18</f>
        <v>-72000</v>
      </c>
      <c r="D18" s="50">
        <f>'P&amp;L SwCo Good'!D18</f>
        <v>-100800.00000000003</v>
      </c>
      <c r="E18" s="50">
        <f>'P&amp;L SwCo Good'!E18</f>
        <v>-100800.00000000003</v>
      </c>
      <c r="F18" s="50">
        <f>'P&amp;L SwCo Good'!F18</f>
        <v>-86400</v>
      </c>
      <c r="G18" s="50">
        <f>'P&amp;L SwCo Good'!G18</f>
        <v>-72000</v>
      </c>
      <c r="H18" s="50">
        <f>'P&amp;L SwCo Good'!H18</f>
        <v>-72000</v>
      </c>
      <c r="I18" s="50">
        <f>'P&amp;L SwCo Good'!I18</f>
        <v>-21600</v>
      </c>
      <c r="J18" s="50">
        <f>'P&amp;L SwCo Good'!J18</f>
        <v>-36000</v>
      </c>
      <c r="K18" s="50">
        <f>'P&amp;L SwCo Good'!K18</f>
        <v>-50400.000000000015</v>
      </c>
      <c r="L18" s="50">
        <f>'P&amp;L SwCo Good'!L18</f>
        <v>-50400.000000000015</v>
      </c>
      <c r="M18" s="50">
        <f>'P&amp;L SwCo Good'!M18</f>
        <v>-36000</v>
      </c>
      <c r="N18" s="50">
        <f>'P&amp;L SwCo Good'!N18</f>
        <v>-21600</v>
      </c>
    </row>
    <row r="19" spans="1:14" s="32" customFormat="1" ht="14.4">
      <c r="A19" s="32" t="s">
        <v>355</v>
      </c>
      <c r="B19" s="50">
        <f>SUM(C19:N19)</f>
        <v>-2430965.7754029152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>
        <f>'P&amp;L Cons Good'!B32</f>
        <v>-2430965.7754029152</v>
      </c>
    </row>
    <row r="20" spans="1:14" s="47" customFormat="1" ht="15.6">
      <c r="A20" s="16" t="s">
        <v>327</v>
      </c>
      <c r="B20" s="50">
        <f>SUM(C20:N20)</f>
        <v>7784497.3333333321</v>
      </c>
      <c r="C20" s="54">
        <f>Debtors!C118</f>
        <v>14790088.666666666</v>
      </c>
      <c r="D20" s="54">
        <f>Debtors!D118</f>
        <v>7425693.3333333414</v>
      </c>
      <c r="E20" s="54">
        <f>Debtors!E118</f>
        <v>-246496</v>
      </c>
      <c r="F20" s="54">
        <f>Debtors!F118</f>
        <v>-2034162.6666666754</v>
      </c>
      <c r="G20" s="54">
        <f>Debtors!G118</f>
        <v>-2027034.6666666642</v>
      </c>
      <c r="H20" s="54">
        <f>Debtors!H118</f>
        <v>895360</v>
      </c>
      <c r="I20" s="54">
        <f>Debtors!I118</f>
        <v>-8524213.333333334</v>
      </c>
      <c r="J20" s="54">
        <f>Debtors!J118</f>
        <v>3031276.666666666</v>
      </c>
      <c r="K20" s="54">
        <f>Debtors!K118</f>
        <v>1482710.666666666</v>
      </c>
      <c r="L20" s="54">
        <f>Debtors!L118</f>
        <v>-508493.59999999776</v>
      </c>
      <c r="M20" s="54">
        <f>Debtors!M118</f>
        <v>-3244708.2666666694</v>
      </c>
      <c r="N20" s="54">
        <f>Debtors!N118</f>
        <v>-3255523.4666666668</v>
      </c>
    </row>
    <row r="21" spans="1:14">
      <c r="A21" s="76" t="s">
        <v>367</v>
      </c>
      <c r="B21" s="44">
        <f>B7+B8-B20</f>
        <v>-8247527.7484066077</v>
      </c>
      <c r="C21" s="44">
        <f t="shared" ref="C21:M21" si="2">D7+C8-C20</f>
        <v>-12079986.41269841</v>
      </c>
      <c r="D21" s="44">
        <f t="shared" si="2"/>
        <v>-6606751.3333333433</v>
      </c>
      <c r="E21" s="44">
        <f t="shared" si="2"/>
        <v>-112162.00000000373</v>
      </c>
      <c r="F21" s="44">
        <f t="shared" si="2"/>
        <v>1374252.2222222313</v>
      </c>
      <c r="G21" s="44">
        <f t="shared" si="2"/>
        <v>2520843.3333333321</v>
      </c>
      <c r="H21" s="44">
        <f t="shared" si="2"/>
        <v>-4470751.3333333321</v>
      </c>
      <c r="I21" s="44">
        <f t="shared" si="2"/>
        <v>9529066.088888891</v>
      </c>
      <c r="J21" s="44">
        <f t="shared" si="2"/>
        <v>-1705900.666666666</v>
      </c>
      <c r="K21" s="44">
        <f t="shared" si="2"/>
        <v>-1184451.2000000011</v>
      </c>
      <c r="L21" s="44">
        <f t="shared" si="2"/>
        <v>-504724.71111111622</v>
      </c>
      <c r="M21" s="44">
        <f t="shared" si="2"/>
        <v>2218300.2666666694</v>
      </c>
      <c r="N21" s="44">
        <f>N7+N8-N20</f>
        <v>1610737.9976251461</v>
      </c>
    </row>
    <row r="22" spans="1:14">
      <c r="A22" s="76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ht="21">
      <c r="A23" s="43" t="s">
        <v>368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s="32" customFormat="1" ht="14.4">
      <c r="A24" s="77" t="s">
        <v>369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s="32" customFormat="1" ht="14.4">
      <c r="A25" s="77" t="s">
        <v>370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s="32" customFormat="1" ht="14.4">
      <c r="A26" s="77" t="s">
        <v>371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s="32" customFormat="1" ht="14.4">
      <c r="A27" s="77" t="s">
        <v>372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s="32" customFormat="1" ht="14.4">
      <c r="A28" s="77" t="s">
        <v>373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s="32" customFormat="1" ht="14.4">
      <c r="A29" s="77" t="s">
        <v>374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s="32" customFormat="1" ht="14.4">
      <c r="A30" s="77" t="s">
        <v>375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4" s="32" customFormat="1" ht="14.4">
      <c r="A31" s="77" t="s">
        <v>376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4" s="26" customFormat="1">
      <c r="A32" s="76" t="s">
        <v>377</v>
      </c>
      <c r="B32" s="44">
        <f>SUM(B24:B31)</f>
        <v>0</v>
      </c>
      <c r="C32" s="44">
        <f t="shared" ref="C32:N32" si="3">SUM(C24:C31)</f>
        <v>0</v>
      </c>
      <c r="D32" s="44">
        <f t="shared" si="3"/>
        <v>0</v>
      </c>
      <c r="E32" s="44">
        <f t="shared" si="3"/>
        <v>0</v>
      </c>
      <c r="F32" s="44">
        <f t="shared" si="3"/>
        <v>0</v>
      </c>
      <c r="G32" s="44">
        <f t="shared" si="3"/>
        <v>0</v>
      </c>
      <c r="H32" s="44">
        <f t="shared" si="3"/>
        <v>0</v>
      </c>
      <c r="I32" s="44">
        <f t="shared" si="3"/>
        <v>0</v>
      </c>
      <c r="J32" s="44">
        <f t="shared" si="3"/>
        <v>0</v>
      </c>
      <c r="K32" s="44">
        <f t="shared" si="3"/>
        <v>0</v>
      </c>
      <c r="L32" s="44">
        <f t="shared" si="3"/>
        <v>0</v>
      </c>
      <c r="M32" s="44">
        <f t="shared" si="3"/>
        <v>0</v>
      </c>
      <c r="N32" s="44">
        <f t="shared" si="3"/>
        <v>0</v>
      </c>
    </row>
    <row r="33" spans="1:14" s="47" customFormat="1">
      <c r="A33" s="76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1:14" ht="21">
      <c r="A34" s="43" t="s">
        <v>378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s="16" customFormat="1" ht="15.6">
      <c r="A35" s="78" t="s">
        <v>379</v>
      </c>
      <c r="B35" s="54">
        <f>SUM(C35:N35)</f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</row>
    <row r="36" spans="1:14" s="16" customFormat="1" ht="15.6">
      <c r="A36" s="78" t="s">
        <v>381</v>
      </c>
      <c r="B36" s="54">
        <f t="shared" ref="B36:B46" si="4">SUM(C36:N36)</f>
        <v>-1320000</v>
      </c>
      <c r="C36" s="54">
        <f>C37+C39+C38</f>
        <v>-168000</v>
      </c>
      <c r="D36" s="54">
        <f t="shared" ref="D36:N36" si="5">D37+D39+D38</f>
        <v>-168000</v>
      </c>
      <c r="E36" s="54">
        <f t="shared" si="5"/>
        <v>-126000</v>
      </c>
      <c r="F36" s="54">
        <f t="shared" si="5"/>
        <v>-183000</v>
      </c>
      <c r="G36" s="54">
        <f t="shared" si="5"/>
        <v>0</v>
      </c>
      <c r="H36" s="54">
        <f t="shared" si="5"/>
        <v>0</v>
      </c>
      <c r="I36" s="54">
        <f t="shared" si="5"/>
        <v>-120000</v>
      </c>
      <c r="J36" s="54">
        <f t="shared" si="5"/>
        <v>0</v>
      </c>
      <c r="K36" s="54">
        <f t="shared" si="5"/>
        <v>0</v>
      </c>
      <c r="L36" s="54">
        <f t="shared" si="5"/>
        <v>-120000</v>
      </c>
      <c r="M36" s="54">
        <f t="shared" si="5"/>
        <v>-105000</v>
      </c>
      <c r="N36" s="54">
        <f t="shared" si="5"/>
        <v>-330000</v>
      </c>
    </row>
    <row r="37" spans="1:14" s="32" customFormat="1" ht="14.4" hidden="1">
      <c r="B37" s="50">
        <f t="shared" si="4"/>
        <v>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s="32" customFormat="1" ht="14.4">
      <c r="A38" s="32" t="s">
        <v>382</v>
      </c>
      <c r="B38" s="50">
        <f t="shared" si="4"/>
        <v>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1:14" s="32" customFormat="1" ht="14.4">
      <c r="A39" s="32" t="s">
        <v>383</v>
      </c>
      <c r="B39" s="50">
        <f t="shared" si="4"/>
        <v>-1320000</v>
      </c>
      <c r="C39" s="50">
        <f>'P&amp;L SwCo Good'!C26+'P&amp;L ExCo Good'!C26+'P&amp;L PurCo Good'!C26</f>
        <v>-168000</v>
      </c>
      <c r="D39" s="50">
        <f>'P&amp;L SwCo Good'!D26+'P&amp;L ExCo Good'!D26+'P&amp;L PurCo Good'!D26</f>
        <v>-168000</v>
      </c>
      <c r="E39" s="50">
        <f>'P&amp;L SwCo Good'!E26+'P&amp;L ExCo Good'!E26+'P&amp;L PurCo Good'!E26</f>
        <v>-126000</v>
      </c>
      <c r="F39" s="50">
        <f>'P&amp;L SwCo Good'!F26+'P&amp;L ExCo Good'!F26+'P&amp;L PurCo Good'!F26</f>
        <v>-183000</v>
      </c>
      <c r="G39" s="50">
        <f>'P&amp;L SwCo Good'!G26+'P&amp;L ExCo Good'!G26+'P&amp;L PurCo Good'!G26</f>
        <v>0</v>
      </c>
      <c r="H39" s="50">
        <f>'P&amp;L SwCo Good'!H26+'P&amp;L ExCo Good'!H26+'P&amp;L PurCo Good'!H26</f>
        <v>0</v>
      </c>
      <c r="I39" s="50">
        <f>'P&amp;L SwCo Good'!I26+'P&amp;L ExCo Good'!I26+'P&amp;L PurCo Good'!I26</f>
        <v>-120000</v>
      </c>
      <c r="J39" s="50">
        <f>'P&amp;L SwCo Good'!J26+'P&amp;L ExCo Good'!J26+'P&amp;L PurCo Good'!J26</f>
        <v>0</v>
      </c>
      <c r="K39" s="50">
        <f>'P&amp;L SwCo Good'!K26+'P&amp;L ExCo Good'!K26+'P&amp;L PurCo Good'!K26</f>
        <v>0</v>
      </c>
      <c r="L39" s="50">
        <f>'P&amp;L SwCo Good'!L26+'P&amp;L ExCo Good'!L26+'P&amp;L PurCo Good'!L26</f>
        <v>-120000</v>
      </c>
      <c r="M39" s="50">
        <f>'P&amp;L SwCo Good'!M26+'P&amp;L ExCo Good'!M26+'P&amp;L PurCo Good'!M26</f>
        <v>-105000</v>
      </c>
      <c r="N39" s="50">
        <f>'P&amp;L SwCo Good'!N26+'P&amp;L ExCo Good'!N26+'P&amp;L PurCo Good'!N26</f>
        <v>-330000</v>
      </c>
    </row>
    <row r="40" spans="1:14" s="47" customFormat="1" ht="15.6">
      <c r="A40" s="78" t="s">
        <v>384</v>
      </c>
      <c r="B40" s="54">
        <f t="shared" si="4"/>
        <v>37800000</v>
      </c>
      <c r="C40" s="50">
        <f>Financing!C16</f>
        <v>16800000</v>
      </c>
      <c r="D40" s="50">
        <f>Financing!D16</f>
        <v>0</v>
      </c>
      <c r="E40" s="50">
        <f>Financing!E16</f>
        <v>0</v>
      </c>
      <c r="F40" s="50">
        <f>Financing!F16</f>
        <v>0</v>
      </c>
      <c r="G40" s="50">
        <f>Financing!G16</f>
        <v>0</v>
      </c>
      <c r="H40" s="50">
        <f>Financing!H16</f>
        <v>0</v>
      </c>
      <c r="I40" s="50">
        <f>Financing!I16</f>
        <v>0</v>
      </c>
      <c r="J40" s="50">
        <f>Financing!J16</f>
        <v>0</v>
      </c>
      <c r="K40" s="50">
        <f>Financing!K16</f>
        <v>0</v>
      </c>
      <c r="L40" s="50">
        <f>Financing!L16</f>
        <v>0</v>
      </c>
      <c r="M40" s="50">
        <f>Financing!M16</f>
        <v>10500000</v>
      </c>
      <c r="N40" s="50">
        <f>Financing!N16</f>
        <v>10500000</v>
      </c>
    </row>
    <row r="41" spans="1:14" s="47" customFormat="1" ht="15.6">
      <c r="A41" s="78" t="s">
        <v>385</v>
      </c>
      <c r="B41" s="54">
        <f t="shared" si="4"/>
        <v>-16800000</v>
      </c>
      <c r="C41" s="50">
        <f>-Financing!C17</f>
        <v>0</v>
      </c>
      <c r="D41" s="50">
        <f>-Financing!D17</f>
        <v>0</v>
      </c>
      <c r="E41" s="50">
        <f>-Financing!E17</f>
        <v>-4200000</v>
      </c>
      <c r="F41" s="50">
        <f>-Financing!F17</f>
        <v>-6300000</v>
      </c>
      <c r="G41" s="50">
        <f>-Financing!G17</f>
        <v>-6300000</v>
      </c>
      <c r="H41" s="50">
        <f>-Financing!H17</f>
        <v>0</v>
      </c>
      <c r="I41" s="50">
        <f>-Financing!I17</f>
        <v>0</v>
      </c>
      <c r="J41" s="50">
        <f>-Financing!J17</f>
        <v>0</v>
      </c>
      <c r="K41" s="50">
        <f>-Financing!K17</f>
        <v>0</v>
      </c>
      <c r="L41" s="50">
        <f>-Financing!L17</f>
        <v>0</v>
      </c>
      <c r="M41" s="50">
        <f>-Financing!M17</f>
        <v>0</v>
      </c>
      <c r="N41" s="50">
        <f>-Financing!N17</f>
        <v>0</v>
      </c>
    </row>
    <row r="42" spans="1:14" s="47" customFormat="1" ht="15.6">
      <c r="A42" s="78" t="s">
        <v>386</v>
      </c>
      <c r="B42" s="54">
        <f t="shared" si="4"/>
        <v>85460000</v>
      </c>
      <c r="C42" s="50">
        <f>Financing!C58+Financing!C59</f>
        <v>5000000</v>
      </c>
      <c r="D42" s="50">
        <f>Financing!D58+Financing!D59</f>
        <v>5000000</v>
      </c>
      <c r="E42" s="50">
        <f>Financing!E58+Financing!E59</f>
        <v>10000000</v>
      </c>
      <c r="F42" s="50">
        <f>Financing!F58+Financing!F59</f>
        <v>10000000</v>
      </c>
      <c r="G42" s="50">
        <f>Financing!G58+Financing!G59</f>
        <v>10000000</v>
      </c>
      <c r="H42" s="50">
        <f>Financing!H58+Financing!H59</f>
        <v>10000000</v>
      </c>
      <c r="I42" s="50">
        <f>Financing!I58+Financing!I59</f>
        <v>3546000</v>
      </c>
      <c r="J42" s="50">
        <f>Financing!J58+Financing!J59</f>
        <v>5910000</v>
      </c>
      <c r="K42" s="50">
        <f>Financing!K58+Financing!K59</f>
        <v>8274000.0000000019</v>
      </c>
      <c r="L42" s="50">
        <f>Financing!L58+Financing!L59</f>
        <v>8274000.0000000019</v>
      </c>
      <c r="M42" s="50">
        <f>Financing!M58+Financing!M59</f>
        <v>5910000</v>
      </c>
      <c r="N42" s="50">
        <f>Financing!N58+Financing!N59</f>
        <v>3546000</v>
      </c>
    </row>
    <row r="43" spans="1:14" s="47" customFormat="1" ht="15.6">
      <c r="A43" s="78" t="s">
        <v>387</v>
      </c>
      <c r="B43" s="54">
        <f t="shared" si="4"/>
        <v>-65531200</v>
      </c>
      <c r="C43" s="50">
        <f>-(Financing!C61+Financing!C61)</f>
        <v>0</v>
      </c>
      <c r="D43" s="50">
        <f>-(Financing!D61+Financing!D61)</f>
        <v>-4000000</v>
      </c>
      <c r="E43" s="50">
        <f>-(Financing!E61+Financing!E61)</f>
        <v>-4000000</v>
      </c>
      <c r="F43" s="50">
        <f>-(Financing!F61+Financing!F61)</f>
        <v>-8000000</v>
      </c>
      <c r="G43" s="50">
        <f>-(Financing!G61+Financing!G61)</f>
        <v>-8000000</v>
      </c>
      <c r="H43" s="50">
        <f>-(Financing!H61+Financing!H61)</f>
        <v>-8000000</v>
      </c>
      <c r="I43" s="50">
        <f>-(Financing!I61+Financing!I61)</f>
        <v>-8000000</v>
      </c>
      <c r="J43" s="50">
        <f>-(Financing!J61+Financing!J61)</f>
        <v>-2836800</v>
      </c>
      <c r="K43" s="50">
        <f>-(Financing!K61+Financing!K61)</f>
        <v>-4728000</v>
      </c>
      <c r="L43" s="50">
        <f>-(Financing!L61+Financing!L61)</f>
        <v>-6619200.0000000019</v>
      </c>
      <c r="M43" s="50">
        <f>-(Financing!M61+Financing!M61)</f>
        <v>-6619200.0000000019</v>
      </c>
      <c r="N43" s="50">
        <f>-(Financing!N61+Financing!N61)</f>
        <v>-4728000</v>
      </c>
    </row>
    <row r="44" spans="1:14" s="47" customFormat="1" ht="15.6">
      <c r="A44" s="78" t="s">
        <v>388</v>
      </c>
      <c r="B44" s="54"/>
      <c r="C44" s="50">
        <f>Assumptions!B129</f>
        <v>4000000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4" ht="15.6">
      <c r="A45" s="78" t="s">
        <v>389</v>
      </c>
      <c r="B45" s="54"/>
      <c r="C45" s="50">
        <f>-Financing!C98+Financing!C97</f>
        <v>0</v>
      </c>
      <c r="D45" s="50">
        <f>-Financing!D98+Financing!D97</f>
        <v>0</v>
      </c>
      <c r="E45" s="50">
        <f>-Financing!E98+Financing!E97</f>
        <v>0</v>
      </c>
      <c r="F45" s="50">
        <f>-Financing!F98+Financing!F97</f>
        <v>-120000</v>
      </c>
      <c r="G45" s="50">
        <f>-Financing!G98+Financing!G97</f>
        <v>0</v>
      </c>
      <c r="H45" s="50">
        <f>-Financing!H98+Financing!H97</f>
        <v>0</v>
      </c>
      <c r="I45" s="50">
        <f>-Financing!I98+Financing!I97</f>
        <v>-120000</v>
      </c>
      <c r="J45" s="50">
        <f>-Financing!J98+Financing!J97</f>
        <v>0</v>
      </c>
      <c r="K45" s="50">
        <f>-Financing!K98+Financing!K97</f>
        <v>0</v>
      </c>
      <c r="L45" s="50">
        <f>-Financing!L98+Financing!L97</f>
        <v>-120000</v>
      </c>
      <c r="M45" s="50">
        <f>-Financing!M98+Financing!M97</f>
        <v>0</v>
      </c>
      <c r="N45" s="50">
        <f>-Financing!N98+Financing!N97</f>
        <v>-4120000</v>
      </c>
    </row>
    <row r="46" spans="1:14">
      <c r="A46" s="49" t="s">
        <v>351</v>
      </c>
      <c r="B46" s="50">
        <f t="shared" si="4"/>
        <v>0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14" s="79" customFormat="1" ht="21">
      <c r="A47" s="76" t="s">
        <v>390</v>
      </c>
      <c r="B47" s="44">
        <f t="shared" ref="B47:N47" si="6">B35+B36+SUM(B40:B46)</f>
        <v>39608800</v>
      </c>
      <c r="C47" s="44">
        <f t="shared" si="6"/>
        <v>25632000</v>
      </c>
      <c r="D47" s="44">
        <f t="shared" si="6"/>
        <v>832000</v>
      </c>
      <c r="E47" s="44">
        <f t="shared" si="6"/>
        <v>1674000</v>
      </c>
      <c r="F47" s="44">
        <f t="shared" si="6"/>
        <v>-4603000</v>
      </c>
      <c r="G47" s="44">
        <f t="shared" si="6"/>
        <v>-4300000</v>
      </c>
      <c r="H47" s="44">
        <f t="shared" si="6"/>
        <v>2000000</v>
      </c>
      <c r="I47" s="44">
        <f t="shared" si="6"/>
        <v>-4694000</v>
      </c>
      <c r="J47" s="44">
        <f t="shared" si="6"/>
        <v>3073200</v>
      </c>
      <c r="K47" s="44">
        <f t="shared" si="6"/>
        <v>3546000.0000000019</v>
      </c>
      <c r="L47" s="44">
        <f t="shared" si="6"/>
        <v>1414800</v>
      </c>
      <c r="M47" s="44">
        <f t="shared" si="6"/>
        <v>9685799.9999999981</v>
      </c>
      <c r="N47" s="44">
        <f t="shared" si="6"/>
        <v>4868000</v>
      </c>
    </row>
    <row r="48" spans="1:14">
      <c r="A48" s="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1:14" ht="21">
      <c r="A49" s="52" t="s">
        <v>391</v>
      </c>
      <c r="B49" s="53">
        <f t="shared" ref="B49:N49" si="7">B47+B32+B21</f>
        <v>31361272.251593392</v>
      </c>
      <c r="C49" s="53">
        <f t="shared" si="7"/>
        <v>13552013.58730159</v>
      </c>
      <c r="D49" s="53">
        <f t="shared" si="7"/>
        <v>-5774751.3333333433</v>
      </c>
      <c r="E49" s="53">
        <f t="shared" si="7"/>
        <v>1561837.9999999963</v>
      </c>
      <c r="F49" s="53">
        <f t="shared" si="7"/>
        <v>-3228747.7777777687</v>
      </c>
      <c r="G49" s="53">
        <f t="shared" si="7"/>
        <v>-1779156.6666666679</v>
      </c>
      <c r="H49" s="53">
        <f t="shared" si="7"/>
        <v>-2470751.3333333321</v>
      </c>
      <c r="I49" s="53">
        <f t="shared" si="7"/>
        <v>4835066.088888891</v>
      </c>
      <c r="J49" s="53">
        <f t="shared" si="7"/>
        <v>1367299.333333334</v>
      </c>
      <c r="K49" s="53">
        <f t="shared" si="7"/>
        <v>2361548.8000000007</v>
      </c>
      <c r="L49" s="53">
        <f t="shared" si="7"/>
        <v>910075.28888888378</v>
      </c>
      <c r="M49" s="53">
        <f t="shared" si="7"/>
        <v>11904100.266666668</v>
      </c>
      <c r="N49" s="53">
        <f t="shared" si="7"/>
        <v>6478737.9976251461</v>
      </c>
    </row>
    <row r="50" spans="1:14">
      <c r="B50" s="51"/>
      <c r="C50" s="51"/>
      <c r="D50" s="51"/>
      <c r="E50" s="5"/>
      <c r="F50" s="5"/>
      <c r="G50" s="5"/>
      <c r="H50" s="5"/>
    </row>
    <row r="51" spans="1:14">
      <c r="A51" s="76" t="s">
        <v>393</v>
      </c>
      <c r="B51" s="44">
        <f>C51</f>
        <v>1053700</v>
      </c>
      <c r="C51" s="44">
        <f>Assumptions!B128*Assumptions!B5</f>
        <v>1053700</v>
      </c>
      <c r="D51" s="44">
        <f t="shared" ref="D51:N51" si="8">C52</f>
        <v>14605713.58730159</v>
      </c>
      <c r="E51" s="44">
        <f t="shared" si="8"/>
        <v>8830962.2539682463</v>
      </c>
      <c r="F51" s="44">
        <f t="shared" si="8"/>
        <v>10392800.253968243</v>
      </c>
      <c r="G51" s="44">
        <f t="shared" si="8"/>
        <v>7164052.4761904739</v>
      </c>
      <c r="H51" s="44">
        <f t="shared" si="8"/>
        <v>5384895.809523806</v>
      </c>
      <c r="I51" s="44">
        <f t="shared" si="8"/>
        <v>2914144.4761904739</v>
      </c>
      <c r="J51" s="44">
        <f t="shared" si="8"/>
        <v>7749210.5650793649</v>
      </c>
      <c r="K51" s="44">
        <f t="shared" si="8"/>
        <v>9116509.8984126989</v>
      </c>
      <c r="L51" s="44">
        <f t="shared" si="8"/>
        <v>11478058.6984127</v>
      </c>
      <c r="M51" s="44">
        <f t="shared" si="8"/>
        <v>12388133.987301584</v>
      </c>
      <c r="N51" s="44">
        <f t="shared" si="8"/>
        <v>24292234.253968254</v>
      </c>
    </row>
    <row r="52" spans="1:14">
      <c r="A52" s="76" t="s">
        <v>392</v>
      </c>
      <c r="B52" s="44">
        <f>N52</f>
        <v>30770972.2515934</v>
      </c>
      <c r="C52" s="44">
        <f>C51+C49</f>
        <v>14605713.58730159</v>
      </c>
      <c r="D52" s="44">
        <f t="shared" ref="D52:N52" si="9">D51+D49</f>
        <v>8830962.2539682463</v>
      </c>
      <c r="E52" s="44">
        <f t="shared" si="9"/>
        <v>10392800.253968243</v>
      </c>
      <c r="F52" s="44">
        <f t="shared" si="9"/>
        <v>7164052.4761904739</v>
      </c>
      <c r="G52" s="44">
        <f t="shared" si="9"/>
        <v>5384895.809523806</v>
      </c>
      <c r="H52" s="44">
        <f t="shared" si="9"/>
        <v>2914144.4761904739</v>
      </c>
      <c r="I52" s="44">
        <f t="shared" si="9"/>
        <v>7749210.5650793649</v>
      </c>
      <c r="J52" s="44">
        <f t="shared" si="9"/>
        <v>9116509.8984126989</v>
      </c>
      <c r="K52" s="44">
        <f t="shared" si="9"/>
        <v>11478058.6984127</v>
      </c>
      <c r="L52" s="44">
        <f t="shared" si="9"/>
        <v>12388133.987301584</v>
      </c>
      <c r="M52" s="44">
        <f t="shared" si="9"/>
        <v>24292234.253968254</v>
      </c>
      <c r="N52" s="44">
        <f t="shared" si="9"/>
        <v>30770972.2515934</v>
      </c>
    </row>
    <row r="53" spans="1:14">
      <c r="B53" s="51"/>
      <c r="C53" s="51"/>
      <c r="D53" s="51"/>
      <c r="E53" s="5"/>
      <c r="F53" s="5"/>
      <c r="G53" s="5"/>
      <c r="H53" s="5"/>
    </row>
    <row r="54" spans="1:14">
      <c r="B54" s="51"/>
      <c r="C54" s="51"/>
      <c r="D54" s="51"/>
    </row>
    <row r="55" spans="1:14">
      <c r="B55" s="51"/>
      <c r="C55" s="51"/>
      <c r="D55" s="51"/>
    </row>
    <row r="56" spans="1:14">
      <c r="B56" s="51"/>
      <c r="C56" s="51"/>
      <c r="D56" s="51"/>
    </row>
    <row r="57" spans="1:14">
      <c r="B57" s="51"/>
      <c r="C57" s="51"/>
      <c r="D57" s="51"/>
    </row>
    <row r="58" spans="1:14">
      <c r="B58" s="51"/>
      <c r="C58" s="51"/>
      <c r="D58" s="51"/>
    </row>
    <row r="59" spans="1:14">
      <c r="B59" s="51"/>
      <c r="C59" s="51"/>
      <c r="D59" s="51"/>
    </row>
    <row r="60" spans="1:14">
      <c r="B60" s="51"/>
      <c r="C60" s="51"/>
      <c r="D60" s="51"/>
    </row>
    <row r="61" spans="1:14">
      <c r="B61" s="51"/>
      <c r="C61" s="51"/>
      <c r="D61" s="51"/>
    </row>
    <row r="62" spans="1:14">
      <c r="B62" s="51"/>
      <c r="C62" s="51"/>
      <c r="D62" s="51"/>
    </row>
    <row r="63" spans="1:14" ht="14.4">
      <c r="A63" s="4"/>
      <c r="B63" s="51"/>
      <c r="C63" s="51"/>
      <c r="D63" s="51"/>
    </row>
    <row r="64" spans="1:14" ht="14.4">
      <c r="A64" s="4"/>
      <c r="B64" s="51"/>
      <c r="C64" s="51"/>
      <c r="D64" s="51"/>
    </row>
    <row r="65" spans="1:4" ht="14.4">
      <c r="A65" s="4"/>
      <c r="B65" s="51"/>
      <c r="C65" s="51"/>
      <c r="D65" s="5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1" ySplit="7" topLeftCell="B26" activePane="bottomRight" state="frozen"/>
      <selection pane="topRight" activeCell="B1" sqref="B1"/>
      <selection pane="bottomLeft" activeCell="A7" sqref="A7"/>
      <selection pane="bottomRight"/>
    </sheetView>
  </sheetViews>
  <sheetFormatPr defaultRowHeight="14.4"/>
  <cols>
    <col min="1" max="1" width="53.33203125" customWidth="1"/>
    <col min="2" max="2" width="12.77734375" style="5" hidden="1" customWidth="1"/>
    <col min="3" max="3" width="12.77734375" style="5" customWidth="1"/>
    <col min="4" max="14" width="12.77734375" customWidth="1"/>
    <col min="15" max="15" width="10.88671875" bestFit="1" customWidth="1"/>
  </cols>
  <sheetData>
    <row r="1" spans="1:15">
      <c r="A1" s="42" t="s">
        <v>425</v>
      </c>
    </row>
    <row r="2" spans="1:15" ht="21">
      <c r="A2" s="43" t="s">
        <v>394</v>
      </c>
    </row>
    <row r="3" spans="1:15" ht="21">
      <c r="A3" s="43" t="s">
        <v>329</v>
      </c>
    </row>
    <row r="4" spans="1:15" ht="21">
      <c r="A4" s="141" t="s">
        <v>328</v>
      </c>
      <c r="D4" s="5"/>
    </row>
    <row r="5" spans="1:15" ht="15" thickBot="1">
      <c r="A5" s="86" t="s">
        <v>395</v>
      </c>
      <c r="B5" s="87">
        <f>Assumptions!B4</f>
        <v>31</v>
      </c>
      <c r="C5" s="87">
        <f>B5</f>
        <v>31</v>
      </c>
      <c r="D5" s="87">
        <f t="shared" ref="D5:N5" si="0">C5</f>
        <v>31</v>
      </c>
      <c r="E5" s="87">
        <f t="shared" si="0"/>
        <v>31</v>
      </c>
      <c r="F5" s="87">
        <f t="shared" si="0"/>
        <v>31</v>
      </c>
      <c r="G5" s="87">
        <f t="shared" si="0"/>
        <v>31</v>
      </c>
      <c r="H5" s="87">
        <f t="shared" si="0"/>
        <v>31</v>
      </c>
      <c r="I5" s="87">
        <f t="shared" si="0"/>
        <v>31</v>
      </c>
      <c r="J5" s="87">
        <f t="shared" si="0"/>
        <v>31</v>
      </c>
      <c r="K5" s="87">
        <f t="shared" si="0"/>
        <v>31</v>
      </c>
      <c r="L5" s="87">
        <f t="shared" si="0"/>
        <v>31</v>
      </c>
      <c r="M5" s="87">
        <f t="shared" si="0"/>
        <v>31</v>
      </c>
      <c r="N5" s="87">
        <f t="shared" si="0"/>
        <v>31</v>
      </c>
    </row>
    <row r="6" spans="1:15" ht="18" customHeight="1">
      <c r="A6" s="148"/>
      <c r="B6" s="150" t="s">
        <v>9</v>
      </c>
      <c r="C6" s="146" t="s">
        <v>129</v>
      </c>
      <c r="D6" s="146" t="s">
        <v>130</v>
      </c>
      <c r="E6" s="146" t="s">
        <v>131</v>
      </c>
      <c r="F6" s="146" t="s">
        <v>132</v>
      </c>
      <c r="G6" s="146" t="s">
        <v>133</v>
      </c>
      <c r="H6" s="146" t="s">
        <v>134</v>
      </c>
      <c r="I6" s="146" t="s">
        <v>135</v>
      </c>
      <c r="J6" s="146" t="s">
        <v>136</v>
      </c>
      <c r="K6" s="146" t="s">
        <v>137</v>
      </c>
      <c r="L6" s="146" t="s">
        <v>138</v>
      </c>
      <c r="M6" s="146" t="s">
        <v>139</v>
      </c>
      <c r="N6" s="146" t="s">
        <v>140</v>
      </c>
    </row>
    <row r="7" spans="1:15" ht="15" customHeight="1" thickBot="1">
      <c r="A7" s="149"/>
      <c r="B7" s="151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5" ht="15" thickBot="1">
      <c r="A8" s="88" t="s">
        <v>396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5" ht="28.8">
      <c r="A9" s="89" t="s">
        <v>397</v>
      </c>
      <c r="B9" s="90">
        <f t="shared" ref="B9:N9" si="1">SUM(B10:B11)</f>
        <v>0</v>
      </c>
      <c r="C9" s="90">
        <f t="shared" si="1"/>
        <v>150000</v>
      </c>
      <c r="D9" s="90">
        <f t="shared" si="1"/>
        <v>150000</v>
      </c>
      <c r="E9" s="90">
        <f t="shared" si="1"/>
        <v>150000</v>
      </c>
      <c r="F9" s="90">
        <f t="shared" si="1"/>
        <v>150000</v>
      </c>
      <c r="G9" s="90">
        <f t="shared" si="1"/>
        <v>150000</v>
      </c>
      <c r="H9" s="90">
        <f t="shared" si="1"/>
        <v>150000</v>
      </c>
      <c r="I9" s="90">
        <f t="shared" si="1"/>
        <v>150000</v>
      </c>
      <c r="J9" s="90">
        <f t="shared" si="1"/>
        <v>150000</v>
      </c>
      <c r="K9" s="90">
        <f t="shared" si="1"/>
        <v>150000</v>
      </c>
      <c r="L9" s="90">
        <f t="shared" si="1"/>
        <v>150000</v>
      </c>
      <c r="M9" s="90">
        <f t="shared" si="1"/>
        <v>150000</v>
      </c>
      <c r="N9" s="90">
        <f t="shared" si="1"/>
        <v>150000</v>
      </c>
    </row>
    <row r="10" spans="1:15">
      <c r="A10" s="91" t="s">
        <v>398</v>
      </c>
      <c r="B10" s="92"/>
      <c r="C10" s="92">
        <f>Assumptions!$B$136+Assumptions!$B$137</f>
        <v>150000</v>
      </c>
      <c r="D10" s="92">
        <f>Assumptions!$B$136+Assumptions!$B$137</f>
        <v>150000</v>
      </c>
      <c r="E10" s="92">
        <f>Assumptions!$B$136+Assumptions!$B$137</f>
        <v>150000</v>
      </c>
      <c r="F10" s="92">
        <f>Assumptions!$B$136+Assumptions!$B$137</f>
        <v>150000</v>
      </c>
      <c r="G10" s="92">
        <f>Assumptions!$B$136+Assumptions!$B$137</f>
        <v>150000</v>
      </c>
      <c r="H10" s="92">
        <f>Assumptions!$B$136+Assumptions!$B$137</f>
        <v>150000</v>
      </c>
      <c r="I10" s="92">
        <f>Assumptions!$B$136+Assumptions!$B$137</f>
        <v>150000</v>
      </c>
      <c r="J10" s="92">
        <f>Assumptions!$B$136+Assumptions!$B$137</f>
        <v>150000</v>
      </c>
      <c r="K10" s="92">
        <f>Assumptions!$B$136+Assumptions!$B$137</f>
        <v>150000</v>
      </c>
      <c r="L10" s="92">
        <f>Assumptions!$B$136+Assumptions!$B$137</f>
        <v>150000</v>
      </c>
      <c r="M10" s="92">
        <f>Assumptions!$B$136+Assumptions!$B$137</f>
        <v>150000</v>
      </c>
      <c r="N10" s="92">
        <f>Assumptions!$B$136+Assumptions!$B$137</f>
        <v>150000</v>
      </c>
    </row>
    <row r="11" spans="1:15">
      <c r="A11" s="94" t="s">
        <v>399</v>
      </c>
      <c r="B11" s="92"/>
      <c r="C11" s="92"/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1:15" ht="28.8">
      <c r="A12" s="95" t="s">
        <v>400</v>
      </c>
      <c r="B12" s="96">
        <f t="shared" ref="B12:N12" si="2">SUM(B13:B20)</f>
        <v>0</v>
      </c>
      <c r="C12" s="96">
        <f t="shared" si="2"/>
        <v>35165516.092800729</v>
      </c>
      <c r="D12" s="96">
        <f t="shared" si="2"/>
        <v>35255292.759467393</v>
      </c>
      <c r="E12" s="96">
        <f t="shared" si="2"/>
        <v>39600554.759467393</v>
      </c>
      <c r="F12" s="96">
        <f t="shared" si="2"/>
        <v>32339472.759467389</v>
      </c>
      <c r="G12" s="96">
        <f t="shared" si="2"/>
        <v>27974724.092800725</v>
      </c>
      <c r="H12" s="96">
        <f t="shared" si="2"/>
        <v>27884372.759467393</v>
      </c>
      <c r="I12" s="96">
        <f t="shared" si="2"/>
        <v>14846866.22613406</v>
      </c>
      <c r="J12" s="96">
        <f t="shared" si="2"/>
        <v>18612313.55946739</v>
      </c>
      <c r="K12" s="96">
        <f t="shared" si="2"/>
        <v>21855864.759467393</v>
      </c>
      <c r="L12" s="96">
        <f t="shared" si="2"/>
        <v>20867910.62613406</v>
      </c>
      <c r="M12" s="96">
        <f t="shared" si="2"/>
        <v>26025605.292800725</v>
      </c>
      <c r="N12" s="96">
        <f t="shared" si="2"/>
        <v>26344694.092800725</v>
      </c>
      <c r="O12" s="3"/>
    </row>
    <row r="13" spans="1:15">
      <c r="A13" s="91" t="s">
        <v>318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5">
      <c r="A14" s="91" t="s">
        <v>364</v>
      </c>
      <c r="B14" s="97"/>
      <c r="C14" s="97">
        <f>Debtors!C36</f>
        <v>8569920</v>
      </c>
      <c r="D14" s="97">
        <f>Debtors!D36</f>
        <v>11997888.000000004</v>
      </c>
      <c r="E14" s="97">
        <f>Debtors!E36</f>
        <v>11997888.000000004</v>
      </c>
      <c r="F14" s="97">
        <f>Debtors!F36</f>
        <v>10283904</v>
      </c>
      <c r="G14" s="97">
        <f>Debtors!G36</f>
        <v>8734720</v>
      </c>
      <c r="H14" s="97">
        <f>Debtors!H36</f>
        <v>8734720</v>
      </c>
      <c r="I14" s="97">
        <f>Debtors!I36</f>
        <v>2786016</v>
      </c>
      <c r="J14" s="97">
        <f>Debtors!J36</f>
        <v>4643360</v>
      </c>
      <c r="K14" s="97">
        <f>Debtors!K36</f>
        <v>6500704.0000000019</v>
      </c>
      <c r="L14" s="97">
        <f>Debtors!L36</f>
        <v>6500704.0000000019</v>
      </c>
      <c r="M14" s="97">
        <f>Debtors!M36</f>
        <v>4643360</v>
      </c>
      <c r="N14" s="97">
        <f>Debtors!N36</f>
        <v>2786016</v>
      </c>
    </row>
    <row r="15" spans="1:15">
      <c r="A15" s="91" t="s">
        <v>401</v>
      </c>
      <c r="B15" s="97"/>
      <c r="C15" s="97"/>
      <c r="D15" s="97"/>
      <c r="E15" s="93"/>
      <c r="F15" s="93"/>
      <c r="G15" s="93"/>
      <c r="H15" s="93"/>
      <c r="I15" s="93"/>
      <c r="J15" s="93"/>
      <c r="K15" s="93"/>
      <c r="L15" s="93"/>
      <c r="M15" s="93"/>
      <c r="N15" s="93"/>
    </row>
    <row r="16" spans="1:15">
      <c r="A16" s="91" t="s">
        <v>424</v>
      </c>
      <c r="B16" s="97"/>
      <c r="C16" s="97">
        <f>Debtors!C34</f>
        <v>5086640</v>
      </c>
      <c r="D16" s="97">
        <f>Debtors!D34</f>
        <v>8617936</v>
      </c>
      <c r="E16" s="97">
        <f>Debtors!E34</f>
        <v>8373232.0000000009</v>
      </c>
      <c r="F16" s="97">
        <f>Debtors!F34</f>
        <v>8311200</v>
      </c>
      <c r="G16" s="97">
        <f>Debtors!G34</f>
        <v>8069840</v>
      </c>
      <c r="H16" s="97">
        <f>Debtors!H34</f>
        <v>8966480</v>
      </c>
      <c r="I16" s="97">
        <f>Debtors!I34</f>
        <v>7228272</v>
      </c>
      <c r="J16" s="97">
        <f>Debtors!J34</f>
        <v>8131792</v>
      </c>
      <c r="K16" s="97">
        <f>Debtors!K34</f>
        <v>7511024</v>
      </c>
      <c r="L16" s="97">
        <f>Debtors!L34</f>
        <v>7008905.5999999996</v>
      </c>
      <c r="M16" s="97">
        <f>Debtors!M34</f>
        <v>5872259.1999999993</v>
      </c>
      <c r="N16" s="97">
        <f>Debtors!N34</f>
        <v>4717679.9999999991</v>
      </c>
    </row>
    <row r="17" spans="1:14">
      <c r="A17" s="91" t="s">
        <v>324</v>
      </c>
      <c r="B17" s="97"/>
      <c r="C17" s="97">
        <f>Debtors!C35</f>
        <v>5582880.0000000009</v>
      </c>
      <c r="D17" s="97">
        <f>Debtors!D35</f>
        <v>6158880.0000000009</v>
      </c>
      <c r="E17" s="97">
        <f>Debtors!E35</f>
        <v>5567040</v>
      </c>
      <c r="F17" s="97">
        <f>Debtors!F35</f>
        <v>4687200</v>
      </c>
      <c r="G17" s="97">
        <f>Debtors!G35</f>
        <v>4399200</v>
      </c>
      <c r="H17" s="97">
        <f>Debtors!H35</f>
        <v>2327760</v>
      </c>
      <c r="I17" s="97">
        <f>Debtors!I35</f>
        <v>1911600</v>
      </c>
      <c r="J17" s="97">
        <f>Debtors!J35</f>
        <v>2791440.0000000005</v>
      </c>
      <c r="K17" s="97">
        <f>Debtors!K35</f>
        <v>3079440.0000000005</v>
      </c>
      <c r="L17" s="97">
        <f>Debtors!L35</f>
        <v>2487600</v>
      </c>
      <c r="M17" s="97">
        <f>Debtors!M35</f>
        <v>1607760</v>
      </c>
      <c r="N17" s="97">
        <f>Debtors!N35</f>
        <v>432000</v>
      </c>
    </row>
    <row r="18" spans="1:14">
      <c r="A18" s="91" t="s">
        <v>402</v>
      </c>
      <c r="B18" s="97"/>
      <c r="C18" s="97">
        <f>'CF Bad'!C52+Debtors!C26</f>
        <v>10550798.58730159</v>
      </c>
      <c r="D18" s="97">
        <f>'CF Bad'!D52+Debtors!D26</f>
        <v>904031.25396824826</v>
      </c>
      <c r="E18" s="97">
        <f>'CF Bad'!E52+Debtors!E26</f>
        <v>6160557.2539682463</v>
      </c>
      <c r="F18" s="97">
        <f>'CF Bad'!F52+Debtors!F26</f>
        <v>2753390.476190472</v>
      </c>
      <c r="G18" s="97">
        <f>'CF Bad'!G52+Debtors!G26</f>
        <v>1679905.8095238062</v>
      </c>
      <c r="H18" s="97">
        <f>'CF Bad'!H52+Debtors!H26</f>
        <v>2839074.4761904739</v>
      </c>
      <c r="I18" s="97">
        <f>'CF Bad'!I52+Debtors!I26</f>
        <v>1947699.1650793627</v>
      </c>
      <c r="J18" s="97">
        <f>'CF Bad'!J52+Debtors!J26</f>
        <v>1009162.4984126958</v>
      </c>
      <c r="K18" s="97">
        <f>'CF Bad'!K52+Debtors!K26</f>
        <v>1664857.6984126945</v>
      </c>
      <c r="L18" s="97">
        <f>'CF Bad'!L52+Debtors!L26</f>
        <v>1830921.1873015803</v>
      </c>
      <c r="M18" s="97">
        <f>'CF Bad'!M52+Debtors!M26</f>
        <v>12075166.253968248</v>
      </c>
      <c r="N18" s="97">
        <f>'CF Bad'!N52+Debtors!N26</f>
        <v>7211026.8481074208</v>
      </c>
    </row>
    <row r="19" spans="1:14" ht="15" thickBot="1">
      <c r="A19" s="91"/>
      <c r="B19" s="97"/>
      <c r="C19" s="97"/>
      <c r="D19" s="97"/>
      <c r="E19" s="93"/>
      <c r="F19" s="93"/>
      <c r="G19" s="93"/>
      <c r="H19" s="93"/>
      <c r="I19" s="93"/>
      <c r="J19" s="93"/>
      <c r="K19" s="93"/>
      <c r="L19" s="93"/>
      <c r="M19" s="93"/>
      <c r="N19" s="93"/>
    </row>
    <row r="20" spans="1:14" ht="15" thickBot="1">
      <c r="A20" s="142" t="s">
        <v>403</v>
      </c>
      <c r="B20" s="97"/>
      <c r="C20" s="98">
        <f t="shared" ref="C20:D20" si="3">IF(C42&gt;0,C42,0)</f>
        <v>5375277.5054991394</v>
      </c>
      <c r="D20" s="98">
        <f t="shared" si="3"/>
        <v>7576557.5054991394</v>
      </c>
      <c r="E20" s="98">
        <f>IF(E42&gt;0,E42,0)</f>
        <v>7501837.5054991432</v>
      </c>
      <c r="F20" s="98">
        <f t="shared" ref="F20:N20" si="4">IF(F42&gt;0,F42,0)</f>
        <v>6303778.2832769193</v>
      </c>
      <c r="G20" s="98">
        <f t="shared" si="4"/>
        <v>5091058.2832769193</v>
      </c>
      <c r="H20" s="98">
        <f t="shared" si="4"/>
        <v>5016338.2832769193</v>
      </c>
      <c r="I20" s="98">
        <f t="shared" si="4"/>
        <v>973279.06105469726</v>
      </c>
      <c r="J20" s="98">
        <f t="shared" si="4"/>
        <v>2036559.0610546935</v>
      </c>
      <c r="K20" s="98">
        <f t="shared" si="4"/>
        <v>3099839.0610546954</v>
      </c>
      <c r="L20" s="98">
        <f t="shared" si="4"/>
        <v>3039779.838832479</v>
      </c>
      <c r="M20" s="98">
        <f t="shared" si="4"/>
        <v>1827059.8388324752</v>
      </c>
      <c r="N20" s="98">
        <f t="shared" si="4"/>
        <v>11197971.244693305</v>
      </c>
    </row>
    <row r="21" spans="1:14" ht="18.600000000000001" thickBot="1">
      <c r="A21" s="99" t="s">
        <v>404</v>
      </c>
      <c r="B21" s="100">
        <f t="shared" ref="B21:N21" si="5">B12+B9</f>
        <v>0</v>
      </c>
      <c r="C21" s="100">
        <f t="shared" si="5"/>
        <v>35315516.092800729</v>
      </c>
      <c r="D21" s="100">
        <f t="shared" si="5"/>
        <v>35405292.759467393</v>
      </c>
      <c r="E21" s="100">
        <f t="shared" si="5"/>
        <v>39750554.759467393</v>
      </c>
      <c r="F21" s="100">
        <f t="shared" si="5"/>
        <v>32489472.759467389</v>
      </c>
      <c r="G21" s="100">
        <f t="shared" si="5"/>
        <v>28124724.092800725</v>
      </c>
      <c r="H21" s="100">
        <f t="shared" si="5"/>
        <v>28034372.759467393</v>
      </c>
      <c r="I21" s="100">
        <f t="shared" si="5"/>
        <v>14996866.22613406</v>
      </c>
      <c r="J21" s="100">
        <f t="shared" si="5"/>
        <v>18762313.55946739</v>
      </c>
      <c r="K21" s="100">
        <f t="shared" si="5"/>
        <v>22005864.759467393</v>
      </c>
      <c r="L21" s="100">
        <f t="shared" si="5"/>
        <v>21017910.62613406</v>
      </c>
      <c r="M21" s="100">
        <f t="shared" si="5"/>
        <v>26175605.292800725</v>
      </c>
      <c r="N21" s="100">
        <f t="shared" si="5"/>
        <v>26494694.092800725</v>
      </c>
    </row>
    <row r="22" spans="1:14" ht="15" thickBot="1">
      <c r="A22" s="88" t="s">
        <v>405</v>
      </c>
      <c r="B22" s="81"/>
      <c r="C22" s="81"/>
    </row>
    <row r="23" spans="1:14" ht="28.8">
      <c r="A23" s="95" t="s">
        <v>406</v>
      </c>
      <c r="B23" s="90">
        <f t="shared" ref="B23:N23" si="6">SUM(B24:B28)</f>
        <v>0</v>
      </c>
      <c r="C23" s="90">
        <f t="shared" si="6"/>
        <v>765204.75946739572</v>
      </c>
      <c r="D23" s="90">
        <f t="shared" si="6"/>
        <v>706306.75946739316</v>
      </c>
      <c r="E23" s="90">
        <f t="shared" si="6"/>
        <v>643408.7594673906</v>
      </c>
      <c r="F23" s="90">
        <f t="shared" si="6"/>
        <v>326004.09280072391</v>
      </c>
      <c r="G23" s="90">
        <f t="shared" si="6"/>
        <v>228092.75946739127</v>
      </c>
      <c r="H23" s="90">
        <f t="shared" si="6"/>
        <v>109181.42613405859</v>
      </c>
      <c r="I23" s="90">
        <f t="shared" si="6"/>
        <v>-400234.44053260825</v>
      </c>
      <c r="J23" s="90">
        <f t="shared" si="6"/>
        <v>-599706.44053260796</v>
      </c>
      <c r="K23" s="90">
        <f t="shared" si="6"/>
        <v>-755820.57386594242</v>
      </c>
      <c r="L23" s="90">
        <f t="shared" si="6"/>
        <v>-1158762.7071992769</v>
      </c>
      <c r="M23" s="90">
        <f t="shared" si="6"/>
        <v>-1466390.7071992767</v>
      </c>
      <c r="N23" s="90">
        <f t="shared" si="6"/>
        <v>-2109876.5738659436</v>
      </c>
    </row>
    <row r="24" spans="1:14">
      <c r="A24" s="91" t="s">
        <v>407</v>
      </c>
      <c r="B24" s="92"/>
      <c r="C24" s="92">
        <f>(Assumptions!$B$128/Assumptions!$B$5)</f>
        <v>949036.72772136272</v>
      </c>
      <c r="D24" s="92">
        <f>(Assumptions!$B$128/Assumptions!$B$5)</f>
        <v>949036.72772136272</v>
      </c>
      <c r="E24" s="92">
        <f>(Assumptions!$B$128/Assumptions!$B$5)</f>
        <v>949036.72772136272</v>
      </c>
      <c r="F24" s="92">
        <f>(Assumptions!$B$128/Assumptions!$B$5)</f>
        <v>949036.72772136272</v>
      </c>
      <c r="G24" s="92">
        <f>(Assumptions!$B$128/Assumptions!$B$5)</f>
        <v>949036.72772136272</v>
      </c>
      <c r="H24" s="92">
        <f>(Assumptions!$B$128/Assumptions!$B$5)</f>
        <v>949036.72772136272</v>
      </c>
      <c r="I24" s="92">
        <f>(Assumptions!$B$128/Assumptions!$B$5)</f>
        <v>949036.72772136272</v>
      </c>
      <c r="J24" s="92">
        <f>(Assumptions!$B$128/Assumptions!$B$5)</f>
        <v>949036.72772136272</v>
      </c>
      <c r="K24" s="92">
        <f>(Assumptions!$B$128/Assumptions!$B$5)</f>
        <v>949036.72772136272</v>
      </c>
      <c r="L24" s="92">
        <f>(Assumptions!$B$128/Assumptions!$B$5)</f>
        <v>949036.72772136272</v>
      </c>
      <c r="M24" s="92">
        <f>(Assumptions!$B$128/Assumptions!$B$5)</f>
        <v>949036.72772136272</v>
      </c>
      <c r="N24" s="92">
        <f>(Assumptions!$B$128/Assumptions!$B$5)</f>
        <v>949036.72772136272</v>
      </c>
    </row>
    <row r="25" spans="1:14">
      <c r="A25" s="91" t="s">
        <v>408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1:14" s="102" customFormat="1">
      <c r="A26" s="101" t="s">
        <v>409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>
        <f t="shared" ref="N26" si="7">M26</f>
        <v>0</v>
      </c>
    </row>
    <row r="27" spans="1:14">
      <c r="A27" s="103" t="s">
        <v>410</v>
      </c>
      <c r="B27" s="92"/>
      <c r="C27" s="92">
        <v>0</v>
      </c>
      <c r="D27" s="92">
        <f>C27+C28</f>
        <v>-183831.96825396703</v>
      </c>
      <c r="E27" s="92">
        <f t="shared" ref="E27:N27" si="8">D27+D28</f>
        <v>-242729.96825396956</v>
      </c>
      <c r="F27" s="92">
        <f t="shared" si="8"/>
        <v>-305627.96825397213</v>
      </c>
      <c r="G27" s="92">
        <f t="shared" si="8"/>
        <v>-623032.63492063875</v>
      </c>
      <c r="H27" s="92">
        <f t="shared" si="8"/>
        <v>-720943.96825397143</v>
      </c>
      <c r="I27" s="92">
        <f t="shared" si="8"/>
        <v>-839855.3015873041</v>
      </c>
      <c r="J27" s="92">
        <f t="shared" si="8"/>
        <v>-1349271.168253971</v>
      </c>
      <c r="K27" s="92">
        <f t="shared" si="8"/>
        <v>-1548743.1682539708</v>
      </c>
      <c r="L27" s="92">
        <f t="shared" si="8"/>
        <v>-1704857.3015873053</v>
      </c>
      <c r="M27" s="92">
        <f t="shared" si="8"/>
        <v>-2107799.4349206397</v>
      </c>
      <c r="N27" s="92">
        <f t="shared" si="8"/>
        <v>-2415427.4349206393</v>
      </c>
    </row>
    <row r="28" spans="1:14">
      <c r="A28" s="103" t="s">
        <v>411</v>
      </c>
      <c r="B28" s="92"/>
      <c r="C28" s="92">
        <f>'P&amp;L Cons Bad'!C31</f>
        <v>-183831.96825396703</v>
      </c>
      <c r="D28" s="92">
        <f>'P&amp;L Cons Bad'!D31</f>
        <v>-58898.000000002532</v>
      </c>
      <c r="E28" s="92">
        <f>'P&amp;L Cons Bad'!E31</f>
        <v>-62898.000000002532</v>
      </c>
      <c r="F28" s="92">
        <f>'P&amp;L Cons Bad'!F31</f>
        <v>-317404.66666666669</v>
      </c>
      <c r="G28" s="92">
        <f>'P&amp;L Cons Bad'!G31</f>
        <v>-97911.333333332703</v>
      </c>
      <c r="H28" s="92">
        <f>'P&amp;L Cons Bad'!H31</f>
        <v>-118911.3333333327</v>
      </c>
      <c r="I28" s="92">
        <f>'P&amp;L Cons Bad'!I31</f>
        <v>-509415.86666666687</v>
      </c>
      <c r="J28" s="92">
        <f>'P&amp;L Cons Bad'!J31</f>
        <v>-199471.99999999968</v>
      </c>
      <c r="K28" s="92">
        <f>'P&amp;L Cons Bad'!K31</f>
        <v>-156114.13333333441</v>
      </c>
      <c r="L28" s="92">
        <f>'P&amp;L Cons Bad'!L31</f>
        <v>-402942.13333333441</v>
      </c>
      <c r="M28" s="92">
        <f>'P&amp;L Cons Bad'!M31</f>
        <v>-307627.99999999971</v>
      </c>
      <c r="N28" s="92">
        <f>'P&amp;L Cons Bad'!N31</f>
        <v>-643485.86666666693</v>
      </c>
    </row>
    <row r="29" spans="1:14" ht="28.8">
      <c r="A29" s="95" t="s">
        <v>412</v>
      </c>
      <c r="B29" s="96">
        <f>B30+B32+B31</f>
        <v>0</v>
      </c>
      <c r="C29" s="96">
        <f t="shared" ref="C29:N29" si="9">C30+C32+C31</f>
        <v>4000000</v>
      </c>
      <c r="D29" s="96">
        <f t="shared" si="9"/>
        <v>4000000</v>
      </c>
      <c r="E29" s="96">
        <f t="shared" si="9"/>
        <v>4000000</v>
      </c>
      <c r="F29" s="96">
        <f t="shared" si="9"/>
        <v>4000000</v>
      </c>
      <c r="G29" s="96">
        <f t="shared" si="9"/>
        <v>4000000</v>
      </c>
      <c r="H29" s="96">
        <f t="shared" si="9"/>
        <v>4000000</v>
      </c>
      <c r="I29" s="96">
        <f t="shared" si="9"/>
        <v>4000000</v>
      </c>
      <c r="J29" s="96">
        <f t="shared" si="9"/>
        <v>4000000</v>
      </c>
      <c r="K29" s="96">
        <f t="shared" si="9"/>
        <v>4000000</v>
      </c>
      <c r="L29" s="96">
        <f t="shared" si="9"/>
        <v>4000000</v>
      </c>
      <c r="M29" s="96">
        <f t="shared" si="9"/>
        <v>4000000</v>
      </c>
      <c r="N29" s="96">
        <f t="shared" si="9"/>
        <v>4000000</v>
      </c>
    </row>
    <row r="30" spans="1:14">
      <c r="A30" s="103" t="s">
        <v>413</v>
      </c>
      <c r="B30" s="92"/>
      <c r="C30" s="92">
        <f>Assumptions!$B$129</f>
        <v>4000000</v>
      </c>
      <c r="D30" s="92">
        <f>Assumptions!$B$129</f>
        <v>4000000</v>
      </c>
      <c r="E30" s="92">
        <f>Assumptions!$B$129</f>
        <v>4000000</v>
      </c>
      <c r="F30" s="92">
        <f>Assumptions!$B$129</f>
        <v>4000000</v>
      </c>
      <c r="G30" s="92">
        <f>Assumptions!$B$129</f>
        <v>4000000</v>
      </c>
      <c r="H30" s="92">
        <f>Assumptions!$B$129</f>
        <v>4000000</v>
      </c>
      <c r="I30" s="92">
        <f>Assumptions!$B$129</f>
        <v>4000000</v>
      </c>
      <c r="J30" s="92">
        <f>Assumptions!$B$129</f>
        <v>4000000</v>
      </c>
      <c r="K30" s="92">
        <f>Assumptions!$B$129</f>
        <v>4000000</v>
      </c>
      <c r="L30" s="92">
        <f>Assumptions!$B$129</f>
        <v>4000000</v>
      </c>
      <c r="M30" s="92">
        <f>Assumptions!$B$129</f>
        <v>4000000</v>
      </c>
      <c r="N30" s="92">
        <f>Assumptions!$B$129</f>
        <v>4000000</v>
      </c>
    </row>
    <row r="31" spans="1:14">
      <c r="A31" s="103" t="s">
        <v>414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4">
      <c r="A32" s="103" t="s">
        <v>415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1:14" ht="28.8">
      <c r="A33" s="95" t="s">
        <v>416</v>
      </c>
      <c r="B33" s="96">
        <f>SUM(B34:B39)</f>
        <v>0</v>
      </c>
      <c r="C33" s="96">
        <f>SUM(C34:C39)</f>
        <v>30550311.333333336</v>
      </c>
      <c r="D33" s="96">
        <f t="shared" ref="D33:K33" si="10">SUM(D34:D39)</f>
        <v>30698986</v>
      </c>
      <c r="E33" s="96">
        <f t="shared" si="10"/>
        <v>35107146</v>
      </c>
      <c r="F33" s="96">
        <f t="shared" si="10"/>
        <v>28163468.666666664</v>
      </c>
      <c r="G33" s="96">
        <f t="shared" si="10"/>
        <v>23896631.333333336</v>
      </c>
      <c r="H33" s="96">
        <f t="shared" si="10"/>
        <v>23925191.333333336</v>
      </c>
      <c r="I33" s="96">
        <f t="shared" si="10"/>
        <v>11397100.666666668</v>
      </c>
      <c r="J33" s="96">
        <f t="shared" si="10"/>
        <v>15362020</v>
      </c>
      <c r="K33" s="96">
        <f t="shared" si="10"/>
        <v>18761685.333333336</v>
      </c>
      <c r="L33" s="96">
        <f>SUM(L34:L39)</f>
        <v>18176673.333333336</v>
      </c>
      <c r="M33" s="96">
        <f>SUM(M34:M39)</f>
        <v>23641996</v>
      </c>
      <c r="N33" s="96">
        <f>SUM(N34:N39)</f>
        <v>24604570.666666668</v>
      </c>
    </row>
    <row r="34" spans="1:14">
      <c r="A34" s="103" t="s">
        <v>417</v>
      </c>
      <c r="B34" s="92"/>
      <c r="C34" s="92">
        <f>Financing!C5</f>
        <v>21000000</v>
      </c>
      <c r="D34" s="92">
        <f>Financing!D5</f>
        <v>21000000</v>
      </c>
      <c r="E34" s="92">
        <f>Financing!E5</f>
        <v>21000000</v>
      </c>
      <c r="F34" s="92">
        <f>Financing!F5</f>
        <v>14699999.999999998</v>
      </c>
      <c r="G34" s="92">
        <f>Financing!G5</f>
        <v>10500000</v>
      </c>
      <c r="H34" s="92">
        <f>Financing!H5</f>
        <v>12600000</v>
      </c>
      <c r="I34" s="92">
        <f>Financing!I5</f>
        <v>6300000</v>
      </c>
      <c r="J34" s="92">
        <f>Financing!J5</f>
        <v>7349999.9999999991</v>
      </c>
      <c r="K34" s="92">
        <f>Financing!K5</f>
        <v>8400000</v>
      </c>
      <c r="L34" s="92">
        <f>Financing!L5</f>
        <v>8400000</v>
      </c>
      <c r="M34" s="92">
        <f>Financing!M5</f>
        <v>16800000</v>
      </c>
      <c r="N34" s="92">
        <f>Financing!N5</f>
        <v>21000000</v>
      </c>
    </row>
    <row r="35" spans="1:14">
      <c r="A35" s="103" t="s">
        <v>418</v>
      </c>
      <c r="B35" s="9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</row>
    <row r="36" spans="1:14">
      <c r="A36" s="103" t="s">
        <v>423</v>
      </c>
      <c r="B36" s="92"/>
      <c r="C36" s="92">
        <f>Debtors!C37</f>
        <v>4550311.333333334</v>
      </c>
      <c r="D36" s="92">
        <f>Debtors!D37</f>
        <v>4698986.0000000009</v>
      </c>
      <c r="E36" s="92">
        <f>Debtors!E37</f>
        <v>4107146</v>
      </c>
      <c r="F36" s="92">
        <f>Debtors!F37</f>
        <v>3463468.6666666665</v>
      </c>
      <c r="G36" s="92">
        <f>Debtors!G37</f>
        <v>3396631.3333333335</v>
      </c>
      <c r="H36" s="92">
        <f>Debtors!H37</f>
        <v>1325191.3333333333</v>
      </c>
      <c r="I36" s="92">
        <f>Debtors!I37</f>
        <v>1683100.6666666667</v>
      </c>
      <c r="J36" s="92">
        <f>Debtors!J37</f>
        <v>2322020.0000000005</v>
      </c>
      <c r="K36" s="92">
        <f>Debtors!K37</f>
        <v>2395685.333333334</v>
      </c>
      <c r="L36" s="92">
        <f>Debtors!L37</f>
        <v>1810673.3333333335</v>
      </c>
      <c r="M36" s="92">
        <f>Debtors!M37</f>
        <v>1151996</v>
      </c>
      <c r="N36" s="92">
        <f>Debtors!N37</f>
        <v>190570.66666666669</v>
      </c>
    </row>
    <row r="37" spans="1:14">
      <c r="A37" s="103" t="s">
        <v>419</v>
      </c>
      <c r="B37" s="92"/>
      <c r="C37" s="92">
        <f>Financing!C28+Financing!C29</f>
        <v>5000000</v>
      </c>
      <c r="D37" s="92">
        <f>Financing!D28+Financing!D29</f>
        <v>5000000</v>
      </c>
      <c r="E37" s="92">
        <f>Financing!E28+Financing!E29</f>
        <v>10000000</v>
      </c>
      <c r="F37" s="92">
        <f>Financing!F28+Financing!F29</f>
        <v>10000000</v>
      </c>
      <c r="G37" s="92">
        <f>Financing!G28+Financing!G29</f>
        <v>10000000</v>
      </c>
      <c r="H37" s="92">
        <f>Financing!H28+Financing!H29</f>
        <v>10000000</v>
      </c>
      <c r="I37" s="92">
        <f>Financing!I28+Financing!I29</f>
        <v>3414000</v>
      </c>
      <c r="J37" s="92">
        <f>Financing!J28+Financing!J29</f>
        <v>5690000</v>
      </c>
      <c r="K37" s="92">
        <f>Financing!K28+Financing!K29</f>
        <v>7966000</v>
      </c>
      <c r="L37" s="92">
        <f>Financing!L28+Financing!L29</f>
        <v>7966000</v>
      </c>
      <c r="M37" s="92">
        <f>Financing!M28+Financing!M29</f>
        <v>5690000</v>
      </c>
      <c r="N37" s="92">
        <f>Financing!N28+Financing!N29</f>
        <v>3414000</v>
      </c>
    </row>
    <row r="38" spans="1:14" ht="15" thickBot="1">
      <c r="A38" s="103"/>
      <c r="B38" s="9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</row>
    <row r="39" spans="1:14" ht="15" thickBot="1">
      <c r="A39" s="103" t="s">
        <v>420</v>
      </c>
      <c r="B39" s="92"/>
      <c r="C39" s="81">
        <f t="shared" ref="C39:D39" si="11">IF(C42&lt;0,-C42,0)</f>
        <v>0</v>
      </c>
      <c r="D39" s="81">
        <f t="shared" si="11"/>
        <v>0</v>
      </c>
      <c r="E39" s="81">
        <f>IF(E42&lt;0,-E42,0)</f>
        <v>0</v>
      </c>
      <c r="F39" s="81">
        <f t="shared" ref="F39:N39" si="12">IF(F42&lt;0,-F42,0)</f>
        <v>0</v>
      </c>
      <c r="G39" s="81">
        <f t="shared" si="12"/>
        <v>0</v>
      </c>
      <c r="H39" s="81">
        <f t="shared" si="12"/>
        <v>0</v>
      </c>
      <c r="I39" s="81">
        <f t="shared" si="12"/>
        <v>0</v>
      </c>
      <c r="J39" s="81">
        <f t="shared" si="12"/>
        <v>0</v>
      </c>
      <c r="K39" s="81">
        <f t="shared" si="12"/>
        <v>0</v>
      </c>
      <c r="L39" s="81">
        <f t="shared" si="12"/>
        <v>0</v>
      </c>
      <c r="M39" s="81">
        <f t="shared" si="12"/>
        <v>0</v>
      </c>
      <c r="N39" s="81">
        <f t="shared" si="12"/>
        <v>0</v>
      </c>
    </row>
    <row r="40" spans="1:14" ht="18.600000000000001" thickBot="1">
      <c r="A40" s="99" t="s">
        <v>421</v>
      </c>
      <c r="B40" s="100">
        <f t="shared" ref="B40:N40" si="13">B33+B29+B23</f>
        <v>0</v>
      </c>
      <c r="C40" s="100">
        <f t="shared" si="13"/>
        <v>35315516.092800729</v>
      </c>
      <c r="D40" s="100">
        <f t="shared" si="13"/>
        <v>35405292.759467393</v>
      </c>
      <c r="E40" s="100">
        <f t="shared" si="13"/>
        <v>39750554.759467393</v>
      </c>
      <c r="F40" s="100">
        <f t="shared" si="13"/>
        <v>32489472.759467389</v>
      </c>
      <c r="G40" s="100">
        <f t="shared" si="13"/>
        <v>28124724.092800725</v>
      </c>
      <c r="H40" s="100">
        <f t="shared" si="13"/>
        <v>28034372.759467393</v>
      </c>
      <c r="I40" s="100">
        <f t="shared" si="13"/>
        <v>14996866.22613406</v>
      </c>
      <c r="J40" s="100">
        <f t="shared" si="13"/>
        <v>18762313.55946739</v>
      </c>
      <c r="K40" s="100">
        <f t="shared" si="13"/>
        <v>22005864.759467393</v>
      </c>
      <c r="L40" s="100">
        <f t="shared" si="13"/>
        <v>21017910.62613406</v>
      </c>
      <c r="M40" s="100">
        <f t="shared" si="13"/>
        <v>26175605.292800725</v>
      </c>
      <c r="N40" s="100">
        <f t="shared" si="13"/>
        <v>26494694.092800725</v>
      </c>
    </row>
    <row r="41" spans="1:14" s="106" customFormat="1">
      <c r="A41" s="104"/>
      <c r="B41" s="105">
        <f t="shared" ref="B41:N41" si="14">B40-B21</f>
        <v>0</v>
      </c>
      <c r="C41" s="105">
        <f t="shared" si="14"/>
        <v>0</v>
      </c>
      <c r="D41" s="105">
        <f t="shared" si="14"/>
        <v>0</v>
      </c>
      <c r="E41" s="105">
        <f t="shared" si="14"/>
        <v>0</v>
      </c>
      <c r="F41" s="105">
        <f t="shared" si="14"/>
        <v>0</v>
      </c>
      <c r="G41" s="105">
        <f t="shared" si="14"/>
        <v>0</v>
      </c>
      <c r="H41" s="105">
        <f t="shared" si="14"/>
        <v>0</v>
      </c>
      <c r="I41" s="105">
        <f t="shared" si="14"/>
        <v>0</v>
      </c>
      <c r="J41" s="105">
        <f t="shared" si="14"/>
        <v>0</v>
      </c>
      <c r="K41" s="105">
        <f t="shared" si="14"/>
        <v>0</v>
      </c>
      <c r="L41" s="105">
        <f t="shared" si="14"/>
        <v>0</v>
      </c>
      <c r="M41" s="105">
        <f t="shared" si="14"/>
        <v>0</v>
      </c>
      <c r="N41" s="105">
        <f t="shared" si="14"/>
        <v>0</v>
      </c>
    </row>
    <row r="42" spans="1:14" hidden="1">
      <c r="C42" s="5">
        <v>5375277.5054991394</v>
      </c>
      <c r="D42" s="105">
        <v>7576557.5054991394</v>
      </c>
      <c r="E42" s="105">
        <v>7501837.5054991432</v>
      </c>
      <c r="F42" s="105">
        <v>6303778.2832769193</v>
      </c>
      <c r="G42" s="105">
        <v>5091058.2832769193</v>
      </c>
      <c r="H42" s="105">
        <v>5016338.2832769193</v>
      </c>
      <c r="I42" s="105">
        <v>973279.06105469726</v>
      </c>
      <c r="J42" s="105">
        <v>2036559.0610546935</v>
      </c>
      <c r="K42" s="105">
        <v>3099839.0610546954</v>
      </c>
      <c r="L42" s="105">
        <v>3039779.838832479</v>
      </c>
      <c r="M42" s="105">
        <v>1827059.8388324752</v>
      </c>
      <c r="N42" s="105">
        <v>11197971.244693305</v>
      </c>
    </row>
    <row r="43" spans="1:14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>
      <c r="D44" s="5"/>
      <c r="E44" s="5"/>
      <c r="F44" s="5"/>
      <c r="G44" s="5"/>
      <c r="H44" s="5"/>
      <c r="I44" s="5"/>
      <c r="J44" s="5"/>
      <c r="K44" s="5"/>
    </row>
    <row r="45" spans="1:14">
      <c r="D45" s="5"/>
      <c r="E45" s="5"/>
      <c r="F45" s="5"/>
      <c r="G45" s="5"/>
      <c r="H45" s="5"/>
      <c r="I45" s="5"/>
      <c r="J45" s="5"/>
      <c r="K45" s="5"/>
    </row>
  </sheetData>
  <mergeCells count="14">
    <mergeCell ref="F6:F7"/>
    <mergeCell ref="A6:A7"/>
    <mergeCell ref="B6:B7"/>
    <mergeCell ref="C6:C7"/>
    <mergeCell ref="D6:D7"/>
    <mergeCell ref="E6:E7"/>
    <mergeCell ref="M6:M7"/>
    <mergeCell ref="N6:N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1" ySplit="7" topLeftCell="B24" activePane="bottomRight" state="frozen"/>
      <selection pane="topRight" activeCell="B1" sqref="B1"/>
      <selection pane="bottomLeft" activeCell="A7" sqref="A7"/>
      <selection pane="bottomRight"/>
    </sheetView>
  </sheetViews>
  <sheetFormatPr defaultRowHeight="14.4"/>
  <cols>
    <col min="1" max="1" width="53.33203125" customWidth="1"/>
    <col min="2" max="2" width="12.77734375" style="5" hidden="1" customWidth="1"/>
    <col min="3" max="3" width="12.77734375" style="5" customWidth="1"/>
    <col min="4" max="14" width="12.77734375" customWidth="1"/>
    <col min="15" max="15" width="10.88671875" bestFit="1" customWidth="1"/>
  </cols>
  <sheetData>
    <row r="1" spans="1:15">
      <c r="A1" s="42" t="s">
        <v>425</v>
      </c>
    </row>
    <row r="2" spans="1:15" ht="21">
      <c r="A2" s="43" t="s">
        <v>394</v>
      </c>
    </row>
    <row r="3" spans="1:15" ht="21">
      <c r="A3" s="43" t="s">
        <v>357</v>
      </c>
    </row>
    <row r="4" spans="1:15" ht="21">
      <c r="A4" s="141" t="s">
        <v>328</v>
      </c>
      <c r="D4" s="5"/>
    </row>
    <row r="5" spans="1:15" ht="15" thickBot="1">
      <c r="A5" s="86" t="s">
        <v>395</v>
      </c>
      <c r="B5" s="87">
        <f>Assumptions!B4</f>
        <v>31</v>
      </c>
      <c r="C5" s="87">
        <f>B5</f>
        <v>31</v>
      </c>
      <c r="D5" s="87">
        <f t="shared" ref="D5:N5" si="0">C5</f>
        <v>31</v>
      </c>
      <c r="E5" s="87">
        <f t="shared" si="0"/>
        <v>31</v>
      </c>
      <c r="F5" s="87">
        <f t="shared" si="0"/>
        <v>31</v>
      </c>
      <c r="G5" s="87">
        <f t="shared" si="0"/>
        <v>31</v>
      </c>
      <c r="H5" s="87">
        <f t="shared" si="0"/>
        <v>31</v>
      </c>
      <c r="I5" s="87">
        <f t="shared" si="0"/>
        <v>31</v>
      </c>
      <c r="J5" s="87">
        <f t="shared" si="0"/>
        <v>31</v>
      </c>
      <c r="K5" s="87">
        <f t="shared" si="0"/>
        <v>31</v>
      </c>
      <c r="L5" s="87">
        <f t="shared" si="0"/>
        <v>31</v>
      </c>
      <c r="M5" s="87">
        <f t="shared" si="0"/>
        <v>31</v>
      </c>
      <c r="N5" s="87">
        <f t="shared" si="0"/>
        <v>31</v>
      </c>
    </row>
    <row r="6" spans="1:15" ht="18" customHeight="1">
      <c r="A6" s="148" t="s">
        <v>10</v>
      </c>
      <c r="B6" s="150" t="s">
        <v>9</v>
      </c>
      <c r="C6" s="146" t="s">
        <v>129</v>
      </c>
      <c r="D6" s="146" t="s">
        <v>130</v>
      </c>
      <c r="E6" s="146" t="s">
        <v>131</v>
      </c>
      <c r="F6" s="146" t="s">
        <v>132</v>
      </c>
      <c r="G6" s="146" t="s">
        <v>133</v>
      </c>
      <c r="H6" s="146" t="s">
        <v>134</v>
      </c>
      <c r="I6" s="146" t="s">
        <v>135</v>
      </c>
      <c r="J6" s="146" t="s">
        <v>136</v>
      </c>
      <c r="K6" s="146" t="s">
        <v>137</v>
      </c>
      <c r="L6" s="146" t="s">
        <v>138</v>
      </c>
      <c r="M6" s="146" t="s">
        <v>139</v>
      </c>
      <c r="N6" s="146" t="s">
        <v>140</v>
      </c>
    </row>
    <row r="7" spans="1:15" ht="15" customHeight="1" thickBot="1">
      <c r="A7" s="149"/>
      <c r="B7" s="151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5" ht="15" thickBot="1">
      <c r="A8" s="88" t="s">
        <v>396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5" ht="28.8">
      <c r="A9" s="89" t="s">
        <v>397</v>
      </c>
      <c r="B9" s="90">
        <f t="shared" ref="B9:N9" si="1">SUM(B10:B11)</f>
        <v>0</v>
      </c>
      <c r="C9" s="90">
        <f t="shared" si="1"/>
        <v>150000</v>
      </c>
      <c r="D9" s="90">
        <f t="shared" si="1"/>
        <v>150000</v>
      </c>
      <c r="E9" s="90">
        <f t="shared" si="1"/>
        <v>150000</v>
      </c>
      <c r="F9" s="90">
        <f t="shared" si="1"/>
        <v>150000</v>
      </c>
      <c r="G9" s="90">
        <f t="shared" si="1"/>
        <v>150000</v>
      </c>
      <c r="H9" s="90">
        <f t="shared" si="1"/>
        <v>150000</v>
      </c>
      <c r="I9" s="90">
        <f t="shared" si="1"/>
        <v>150000</v>
      </c>
      <c r="J9" s="90">
        <f t="shared" si="1"/>
        <v>150000</v>
      </c>
      <c r="K9" s="90">
        <f t="shared" si="1"/>
        <v>150000</v>
      </c>
      <c r="L9" s="90">
        <f t="shared" si="1"/>
        <v>150000</v>
      </c>
      <c r="M9" s="90">
        <f t="shared" si="1"/>
        <v>150000</v>
      </c>
      <c r="N9" s="90">
        <f t="shared" si="1"/>
        <v>150000</v>
      </c>
    </row>
    <row r="10" spans="1:15">
      <c r="A10" s="91" t="s">
        <v>398</v>
      </c>
      <c r="B10" s="92"/>
      <c r="C10" s="92">
        <f>Assumptions!$B$136+Assumptions!$B$137</f>
        <v>150000</v>
      </c>
      <c r="D10" s="92">
        <f>Assumptions!$B$136+Assumptions!$B$137</f>
        <v>150000</v>
      </c>
      <c r="E10" s="92">
        <f>Assumptions!$B$136+Assumptions!$B$137</f>
        <v>150000</v>
      </c>
      <c r="F10" s="92">
        <f>Assumptions!$B$136+Assumptions!$B$137</f>
        <v>150000</v>
      </c>
      <c r="G10" s="92">
        <f>Assumptions!$B$136+Assumptions!$B$137</f>
        <v>150000</v>
      </c>
      <c r="H10" s="92">
        <f>Assumptions!$B$136+Assumptions!$B$137</f>
        <v>150000</v>
      </c>
      <c r="I10" s="92">
        <f>Assumptions!$B$136+Assumptions!$B$137</f>
        <v>150000</v>
      </c>
      <c r="J10" s="92">
        <f>Assumptions!$B$136+Assumptions!$B$137</f>
        <v>150000</v>
      </c>
      <c r="K10" s="92">
        <f>Assumptions!$B$136+Assumptions!$B$137</f>
        <v>150000</v>
      </c>
      <c r="L10" s="92">
        <f>Assumptions!$B$136+Assumptions!$B$137</f>
        <v>150000</v>
      </c>
      <c r="M10" s="92">
        <f>Assumptions!$B$136+Assumptions!$B$137</f>
        <v>150000</v>
      </c>
      <c r="N10" s="92">
        <f>Assumptions!$B$136+Assumptions!$B$137</f>
        <v>150000</v>
      </c>
    </row>
    <row r="11" spans="1:15">
      <c r="A11" s="94" t="s">
        <v>399</v>
      </c>
      <c r="B11" s="92"/>
      <c r="C11" s="92"/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1:15" ht="28.8">
      <c r="A12" s="95" t="s">
        <v>400</v>
      </c>
      <c r="B12" s="96">
        <f t="shared" ref="B12:N12" si="2">SUM(B13:B20)</f>
        <v>0</v>
      </c>
      <c r="C12" s="96">
        <f t="shared" si="2"/>
        <v>33878473.58730159</v>
      </c>
      <c r="D12" s="96">
        <f t="shared" si="2"/>
        <v>34540468.920634925</v>
      </c>
      <c r="E12" s="96">
        <f t="shared" si="2"/>
        <v>36224144.253968254</v>
      </c>
      <c r="F12" s="96">
        <f t="shared" si="2"/>
        <v>30343873.809523806</v>
      </c>
      <c r="G12" s="96">
        <f t="shared" si="2"/>
        <v>26420229.142857142</v>
      </c>
      <c r="H12" s="96">
        <f t="shared" si="2"/>
        <v>26223132.759467389</v>
      </c>
      <c r="I12" s="96">
        <f t="shared" si="2"/>
        <v>15476067.826134056</v>
      </c>
      <c r="J12" s="96">
        <f t="shared" si="2"/>
        <v>18430026.892800726</v>
      </c>
      <c r="K12" s="96">
        <f t="shared" si="2"/>
        <v>23021345.159467388</v>
      </c>
      <c r="L12" s="96">
        <f t="shared" si="2"/>
        <v>22284617.026134055</v>
      </c>
      <c r="M12" s="96">
        <f t="shared" si="2"/>
        <v>23419007.292800717</v>
      </c>
      <c r="N12" s="96">
        <f t="shared" si="2"/>
        <v>30090442.359467387</v>
      </c>
      <c r="O12" s="3"/>
    </row>
    <row r="13" spans="1:15">
      <c r="A13" s="91" t="s">
        <v>318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5">
      <c r="A14" s="91" t="s">
        <v>364</v>
      </c>
      <c r="B14" s="97"/>
      <c r="C14" s="97">
        <f>Debtors!C75</f>
        <v>8520640</v>
      </c>
      <c r="D14" s="97">
        <f>Debtors!D75</f>
        <v>11928896.000000004</v>
      </c>
      <c r="E14" s="97">
        <f>Debtors!E75</f>
        <v>11928896.000000004</v>
      </c>
      <c r="F14" s="97">
        <f>Debtors!F75</f>
        <v>10224768</v>
      </c>
      <c r="G14" s="97">
        <f>Debtors!G75</f>
        <v>8688640</v>
      </c>
      <c r="H14" s="97">
        <f>Debtors!H75</f>
        <v>8688640</v>
      </c>
      <c r="I14" s="97">
        <f>Debtors!I75</f>
        <v>2803392</v>
      </c>
      <c r="J14" s="97">
        <f>Debtors!J75</f>
        <v>4672320</v>
      </c>
      <c r="K14" s="97">
        <f>Debtors!K75</f>
        <v>6541248.0000000019</v>
      </c>
      <c r="L14" s="97">
        <f>Debtors!L75</f>
        <v>6541248.0000000019</v>
      </c>
      <c r="M14" s="97">
        <f>Debtors!M75</f>
        <v>4672320</v>
      </c>
      <c r="N14" s="97">
        <f>Debtors!N75</f>
        <v>2803392</v>
      </c>
    </row>
    <row r="15" spans="1:15">
      <c r="A15" s="91" t="s">
        <v>401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5">
      <c r="A16" s="91" t="s">
        <v>424</v>
      </c>
      <c r="B16" s="97"/>
      <c r="C16" s="97">
        <f>Debtors!C73</f>
        <v>5216000</v>
      </c>
      <c r="D16" s="97">
        <f>Debtors!D73</f>
        <v>8798400</v>
      </c>
      <c r="E16" s="97">
        <f>Debtors!E73</f>
        <v>8552800</v>
      </c>
      <c r="F16" s="97">
        <f>Debtors!F73</f>
        <v>8464000</v>
      </c>
      <c r="G16" s="97">
        <f>Debtors!G73</f>
        <v>8196000</v>
      </c>
      <c r="H16" s="97">
        <f>Debtors!H73</f>
        <v>9092000</v>
      </c>
      <c r="I16" s="97">
        <f>Debtors!I73</f>
        <v>7239200</v>
      </c>
      <c r="J16" s="97">
        <f>Debtors!J73</f>
        <v>8152800</v>
      </c>
      <c r="K16" s="97">
        <f>Debtors!K73</f>
        <v>7543200</v>
      </c>
      <c r="L16" s="97">
        <f>Debtors!L73</f>
        <v>7041440</v>
      </c>
      <c r="M16" s="97">
        <f>Debtors!M73</f>
        <v>5894880</v>
      </c>
      <c r="N16" s="97">
        <f>Debtors!N73</f>
        <v>4730400</v>
      </c>
    </row>
    <row r="17" spans="1:14">
      <c r="A17" s="91" t="s">
        <v>324</v>
      </c>
      <c r="B17" s="97"/>
      <c r="C17" s="97">
        <f>Debtors!C74</f>
        <v>5542560.0000000009</v>
      </c>
      <c r="D17" s="97">
        <f>Debtors!D74</f>
        <v>6118560.0000000009</v>
      </c>
      <c r="E17" s="97">
        <f>Debtors!E74</f>
        <v>5532480</v>
      </c>
      <c r="F17" s="97">
        <f>Debtors!F74</f>
        <v>4658400</v>
      </c>
      <c r="G17" s="97">
        <f>Debtors!G74</f>
        <v>4370400</v>
      </c>
      <c r="H17" s="97">
        <f>Debtors!H74</f>
        <v>2319120</v>
      </c>
      <c r="I17" s="97">
        <f>Debtors!I74</f>
        <v>1897200</v>
      </c>
      <c r="J17" s="97">
        <f>Debtors!J74</f>
        <v>2771280.0000000005</v>
      </c>
      <c r="K17" s="97">
        <f>Debtors!K74</f>
        <v>3059280.0000000005</v>
      </c>
      <c r="L17" s="97">
        <f>Debtors!L74</f>
        <v>2473200</v>
      </c>
      <c r="M17" s="97">
        <f>Debtors!M74</f>
        <v>1599120</v>
      </c>
      <c r="N17" s="97">
        <f>Debtors!N74</f>
        <v>432000</v>
      </c>
    </row>
    <row r="18" spans="1:14">
      <c r="A18" s="91" t="s">
        <v>402</v>
      </c>
      <c r="B18" s="97"/>
      <c r="C18" s="97">
        <f>'CF Mid'!C52+Debtors!C65</f>
        <v>14599273.58730159</v>
      </c>
      <c r="D18" s="97">
        <f>'CF Mid'!D52+Debtors!D65</f>
        <v>7694612.9206349179</v>
      </c>
      <c r="E18" s="97">
        <f>'CF Mid'!E52+Debtors!E65</f>
        <v>10209968.253968246</v>
      </c>
      <c r="F18" s="97">
        <f>'CF Mid'!F52+Debtors!F65</f>
        <v>6996705.8095238078</v>
      </c>
      <c r="G18" s="97">
        <f>'CF Mid'!G52+Debtors!G65</f>
        <v>5165189.1428571418</v>
      </c>
      <c r="H18" s="97">
        <f>'CF Mid'!H52+Debtors!H65</f>
        <v>2615664.4761904757</v>
      </c>
      <c r="I18" s="97">
        <f>'CF Mid'!I52+Debtors!I65</f>
        <v>1199110.8317460287</v>
      </c>
      <c r="J18" s="97">
        <f>'CF Mid'!J52+Debtors!J65</f>
        <v>1735232.565079364</v>
      </c>
      <c r="K18" s="97">
        <f>'CF Mid'!K52+Debtors!K65</f>
        <v>4854035.0984126944</v>
      </c>
      <c r="L18" s="97">
        <f>'CF Mid'!L52+Debtors!L65</f>
        <v>4047773.4539682455</v>
      </c>
      <c r="M18" s="97">
        <f>'CF Mid'!M52+Debtors!M65</f>
        <v>7982502.38730158</v>
      </c>
      <c r="N18" s="97">
        <f>'CF Mid'!N52+Debtors!N65</f>
        <v>14800454.49659339</v>
      </c>
    </row>
    <row r="19" spans="1:14" ht="15" thickBot="1">
      <c r="A19" s="91"/>
      <c r="B19" s="97"/>
      <c r="C19" s="97"/>
      <c r="D19" s="97"/>
      <c r="E19" s="93"/>
      <c r="F19" s="93"/>
      <c r="G19" s="93"/>
      <c r="H19" s="93"/>
      <c r="I19" s="93"/>
      <c r="J19" s="93"/>
      <c r="K19" s="93"/>
      <c r="L19" s="93"/>
      <c r="M19" s="93"/>
      <c r="N19" s="93"/>
    </row>
    <row r="20" spans="1:14" ht="15" thickBot="1">
      <c r="A20" s="142" t="s">
        <v>403</v>
      </c>
      <c r="B20" s="97"/>
      <c r="C20" s="98">
        <f t="shared" ref="C20:D20" si="3">IF(C42&gt;0,C42,0)</f>
        <v>0</v>
      </c>
      <c r="D20" s="98">
        <f t="shared" si="3"/>
        <v>0</v>
      </c>
      <c r="E20" s="98">
        <f>IF(E42&gt;0,E42,0)</f>
        <v>0</v>
      </c>
      <c r="F20" s="98">
        <f t="shared" ref="F20:N20" si="4">IF(F42&gt;0,F42,0)</f>
        <v>0</v>
      </c>
      <c r="G20" s="98">
        <f t="shared" si="4"/>
        <v>0</v>
      </c>
      <c r="H20" s="98">
        <f t="shared" si="4"/>
        <v>3507708.2832769118</v>
      </c>
      <c r="I20" s="98">
        <f t="shared" si="4"/>
        <v>2337164.9943880271</v>
      </c>
      <c r="J20" s="98">
        <f t="shared" si="4"/>
        <v>1098394.3277213611</v>
      </c>
      <c r="K20" s="98">
        <f t="shared" si="4"/>
        <v>1023582.0610546879</v>
      </c>
      <c r="L20" s="98">
        <f t="shared" si="4"/>
        <v>2180955.5721658058</v>
      </c>
      <c r="M20" s="98">
        <f t="shared" si="4"/>
        <v>3270184.9054991379</v>
      </c>
      <c r="N20" s="98">
        <f t="shared" si="4"/>
        <v>7324195.8628739975</v>
      </c>
    </row>
    <row r="21" spans="1:14" ht="18.600000000000001" thickBot="1">
      <c r="A21" s="99" t="s">
        <v>404</v>
      </c>
      <c r="B21" s="100">
        <f t="shared" ref="B21:N21" si="5">B12+B9</f>
        <v>0</v>
      </c>
      <c r="C21" s="100">
        <f t="shared" si="5"/>
        <v>34028473.58730159</v>
      </c>
      <c r="D21" s="100">
        <f t="shared" si="5"/>
        <v>34690468.920634925</v>
      </c>
      <c r="E21" s="100">
        <f t="shared" si="5"/>
        <v>36374144.253968254</v>
      </c>
      <c r="F21" s="100">
        <f t="shared" si="5"/>
        <v>30493873.809523806</v>
      </c>
      <c r="G21" s="100">
        <f t="shared" si="5"/>
        <v>26570229.142857142</v>
      </c>
      <c r="H21" s="100">
        <f t="shared" si="5"/>
        <v>26373132.759467389</v>
      </c>
      <c r="I21" s="100">
        <f t="shared" si="5"/>
        <v>15626067.826134056</v>
      </c>
      <c r="J21" s="100">
        <f t="shared" si="5"/>
        <v>18580026.892800726</v>
      </c>
      <c r="K21" s="100">
        <f t="shared" si="5"/>
        <v>23171345.159467388</v>
      </c>
      <c r="L21" s="100">
        <f t="shared" si="5"/>
        <v>22434617.026134055</v>
      </c>
      <c r="M21" s="100">
        <f t="shared" si="5"/>
        <v>23569007.292800717</v>
      </c>
      <c r="N21" s="100">
        <f t="shared" si="5"/>
        <v>30240442.359467387</v>
      </c>
    </row>
    <row r="22" spans="1:14" ht="15" thickBot="1">
      <c r="A22" s="88" t="s">
        <v>405</v>
      </c>
      <c r="B22" s="81"/>
      <c r="C22" s="81"/>
    </row>
    <row r="23" spans="1:14" ht="28.8">
      <c r="A23" s="95" t="s">
        <v>406</v>
      </c>
      <c r="B23" s="90">
        <f t="shared" ref="B23:N23" si="6">SUM(B24:B28)</f>
        <v>0</v>
      </c>
      <c r="C23" s="90">
        <f t="shared" si="6"/>
        <v>1133924.759467395</v>
      </c>
      <c r="D23" s="90">
        <f t="shared" si="6"/>
        <v>1576013.4261340599</v>
      </c>
      <c r="E23" s="90">
        <f t="shared" si="6"/>
        <v>2031102.092800725</v>
      </c>
      <c r="F23" s="90">
        <f t="shared" si="6"/>
        <v>2144550.7594673913</v>
      </c>
      <c r="G23" s="90">
        <f t="shared" si="6"/>
        <v>2411359.4261340583</v>
      </c>
      <c r="H23" s="90">
        <f t="shared" si="6"/>
        <v>2657168.0928007248</v>
      </c>
      <c r="I23" s="90">
        <f t="shared" si="6"/>
        <v>2265149.5594673911</v>
      </c>
      <c r="J23" s="90">
        <f t="shared" si="6"/>
        <v>2257570.2261340576</v>
      </c>
      <c r="K23" s="90">
        <f t="shared" si="6"/>
        <v>2346922.0928007225</v>
      </c>
      <c r="L23" s="90">
        <f t="shared" si="6"/>
        <v>2189289.9594673878</v>
      </c>
      <c r="M23" s="90">
        <f t="shared" si="6"/>
        <v>2104742.6261340543</v>
      </c>
      <c r="N23" s="90">
        <f t="shared" si="6"/>
        <v>1557264.0928007206</v>
      </c>
    </row>
    <row r="24" spans="1:14">
      <c r="A24" s="91" t="s">
        <v>407</v>
      </c>
      <c r="B24" s="92"/>
      <c r="C24" s="92">
        <f>(Assumptions!$B$128/Assumptions!$B$5)</f>
        <v>949036.72772136272</v>
      </c>
      <c r="D24" s="92">
        <f>(Assumptions!$B$128/Assumptions!$B$5)</f>
        <v>949036.72772136272</v>
      </c>
      <c r="E24" s="92">
        <f>(Assumptions!$B$128/Assumptions!$B$5)</f>
        <v>949036.72772136272</v>
      </c>
      <c r="F24" s="92">
        <f>(Assumptions!$B$128/Assumptions!$B$5)</f>
        <v>949036.72772136272</v>
      </c>
      <c r="G24" s="92">
        <f>(Assumptions!$B$128/Assumptions!$B$5)</f>
        <v>949036.72772136272</v>
      </c>
      <c r="H24" s="92">
        <f>(Assumptions!$B$128/Assumptions!$B$5)</f>
        <v>949036.72772136272</v>
      </c>
      <c r="I24" s="92">
        <f>(Assumptions!$B$128/Assumptions!$B$5)</f>
        <v>949036.72772136272</v>
      </c>
      <c r="J24" s="92">
        <f>(Assumptions!$B$128/Assumptions!$B$5)</f>
        <v>949036.72772136272</v>
      </c>
      <c r="K24" s="92">
        <f>(Assumptions!$B$128/Assumptions!$B$5)</f>
        <v>949036.72772136272</v>
      </c>
      <c r="L24" s="92">
        <f>(Assumptions!$B$128/Assumptions!$B$5)</f>
        <v>949036.72772136272</v>
      </c>
      <c r="M24" s="92">
        <f>(Assumptions!$B$128/Assumptions!$B$5)</f>
        <v>949036.72772136272</v>
      </c>
      <c r="N24" s="92">
        <f>(Assumptions!$B$128/Assumptions!$B$5)</f>
        <v>949036.72772136272</v>
      </c>
    </row>
    <row r="25" spans="1:14">
      <c r="A25" s="91" t="s">
        <v>408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1:14" s="102" customFormat="1">
      <c r="A26" s="101" t="s">
        <v>409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>
        <f t="shared" ref="N26" si="7">M26</f>
        <v>0</v>
      </c>
    </row>
    <row r="27" spans="1:14">
      <c r="A27" s="103" t="s">
        <v>410</v>
      </c>
      <c r="B27" s="92"/>
      <c r="C27" s="92">
        <v>0</v>
      </c>
      <c r="D27" s="92">
        <f>C27+C28</f>
        <v>184888.03174603236</v>
      </c>
      <c r="E27" s="92">
        <f t="shared" ref="E27:N27" si="8">D27+D28</f>
        <v>626976.6984126973</v>
      </c>
      <c r="F27" s="92">
        <f t="shared" si="8"/>
        <v>1082065.3650793622</v>
      </c>
      <c r="G27" s="92">
        <f t="shared" si="8"/>
        <v>1195514.0317460289</v>
      </c>
      <c r="H27" s="92">
        <f t="shared" si="8"/>
        <v>1462322.6984126954</v>
      </c>
      <c r="I27" s="92">
        <f t="shared" si="8"/>
        <v>1708131.3650793619</v>
      </c>
      <c r="J27" s="92">
        <f t="shared" si="8"/>
        <v>1316112.8317460283</v>
      </c>
      <c r="K27" s="92">
        <f t="shared" si="8"/>
        <v>1308533.498412695</v>
      </c>
      <c r="L27" s="92">
        <f t="shared" si="8"/>
        <v>1397885.3650793601</v>
      </c>
      <c r="M27" s="92">
        <f t="shared" si="8"/>
        <v>1240253.2317460249</v>
      </c>
      <c r="N27" s="92">
        <f t="shared" si="8"/>
        <v>1155705.8984126917</v>
      </c>
    </row>
    <row r="28" spans="1:14">
      <c r="A28" s="103" t="s">
        <v>411</v>
      </c>
      <c r="B28" s="92"/>
      <c r="C28" s="92">
        <f>'P&amp;L Cons Mid'!C31</f>
        <v>184888.03174603236</v>
      </c>
      <c r="D28" s="92">
        <f>'P&amp;L Cons Mid'!D31</f>
        <v>442088.66666666488</v>
      </c>
      <c r="E28" s="92">
        <f>'P&amp;L Cons Mid'!E31</f>
        <v>455088.66666666488</v>
      </c>
      <c r="F28" s="92">
        <f>'P&amp;L Cons Mid'!F31</f>
        <v>113448.66666666669</v>
      </c>
      <c r="G28" s="92">
        <f>'P&amp;L Cons Mid'!G31</f>
        <v>266808.66666666663</v>
      </c>
      <c r="H28" s="92">
        <f>'P&amp;L Cons Mid'!H31</f>
        <v>245808.66666666663</v>
      </c>
      <c r="I28" s="92">
        <f>'P&amp;L Cons Mid'!I31</f>
        <v>-392018.53333333356</v>
      </c>
      <c r="J28" s="92">
        <f>'P&amp;L Cons Mid'!J31</f>
        <v>-7579.3333333333285</v>
      </c>
      <c r="K28" s="92">
        <f>'P&amp;L Cons Mid'!K31</f>
        <v>89351.866666664951</v>
      </c>
      <c r="L28" s="92">
        <f>'P&amp;L Cons Mid'!L31</f>
        <v>-157632.13333333505</v>
      </c>
      <c r="M28" s="92">
        <f>'P&amp;L Cons Mid'!M31</f>
        <v>-84547.333333333328</v>
      </c>
      <c r="N28" s="92">
        <f>'P&amp;L Cons Mid'!N31</f>
        <v>-547478.53333333356</v>
      </c>
    </row>
    <row r="29" spans="1:14" ht="28.8">
      <c r="A29" s="95" t="s">
        <v>412</v>
      </c>
      <c r="B29" s="96">
        <f>B30+B32+B31</f>
        <v>0</v>
      </c>
      <c r="C29" s="96">
        <f t="shared" ref="C29:N29" si="9">C30+C32+C31</f>
        <v>4000000</v>
      </c>
      <c r="D29" s="96">
        <f t="shared" si="9"/>
        <v>4000000</v>
      </c>
      <c r="E29" s="96">
        <f t="shared" si="9"/>
        <v>4000000</v>
      </c>
      <c r="F29" s="96">
        <f t="shared" si="9"/>
        <v>4000000</v>
      </c>
      <c r="G29" s="96">
        <f t="shared" si="9"/>
        <v>4000000</v>
      </c>
      <c r="H29" s="96">
        <f t="shared" si="9"/>
        <v>4000000</v>
      </c>
      <c r="I29" s="96">
        <f t="shared" si="9"/>
        <v>4000000</v>
      </c>
      <c r="J29" s="96">
        <f t="shared" si="9"/>
        <v>4000000</v>
      </c>
      <c r="K29" s="96">
        <f t="shared" si="9"/>
        <v>4000000</v>
      </c>
      <c r="L29" s="96">
        <f t="shared" si="9"/>
        <v>4000000</v>
      </c>
      <c r="M29" s="96">
        <f t="shared" si="9"/>
        <v>4000000</v>
      </c>
      <c r="N29" s="96">
        <f t="shared" si="9"/>
        <v>4000000</v>
      </c>
    </row>
    <row r="30" spans="1:14">
      <c r="A30" s="103" t="s">
        <v>413</v>
      </c>
      <c r="B30" s="92"/>
      <c r="C30" s="92">
        <f>Assumptions!$B$129</f>
        <v>4000000</v>
      </c>
      <c r="D30" s="92">
        <f>Assumptions!$B$129</f>
        <v>4000000</v>
      </c>
      <c r="E30" s="92">
        <f>Assumptions!$B$129</f>
        <v>4000000</v>
      </c>
      <c r="F30" s="92">
        <f>Assumptions!$B$129</f>
        <v>4000000</v>
      </c>
      <c r="G30" s="92">
        <f>Assumptions!$B$129</f>
        <v>4000000</v>
      </c>
      <c r="H30" s="92">
        <f>Assumptions!$B$129</f>
        <v>4000000</v>
      </c>
      <c r="I30" s="92">
        <f>Assumptions!$B$129</f>
        <v>4000000</v>
      </c>
      <c r="J30" s="92">
        <f>Assumptions!$B$129</f>
        <v>4000000</v>
      </c>
      <c r="K30" s="92">
        <f>Assumptions!$B$129</f>
        <v>4000000</v>
      </c>
      <c r="L30" s="92">
        <f>Assumptions!$B$129</f>
        <v>4000000</v>
      </c>
      <c r="M30" s="92">
        <f>Assumptions!$B$129</f>
        <v>4000000</v>
      </c>
      <c r="N30" s="92">
        <f>Assumptions!$B$129</f>
        <v>4000000</v>
      </c>
    </row>
    <row r="31" spans="1:14">
      <c r="A31" s="103" t="s">
        <v>414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4">
      <c r="A32" s="103" t="s">
        <v>415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1:14" ht="28.8">
      <c r="A33" s="95" t="s">
        <v>416</v>
      </c>
      <c r="B33" s="96">
        <f>SUM(B34:B39)</f>
        <v>0</v>
      </c>
      <c r="C33" s="96">
        <f>SUM(C34:C39)</f>
        <v>28894548.827834193</v>
      </c>
      <c r="D33" s="96">
        <f t="shared" ref="D33:K33" si="10">SUM(D34:D39)</f>
        <v>29114455.494500864</v>
      </c>
      <c r="E33" s="96">
        <f t="shared" si="10"/>
        <v>30343042.161167532</v>
      </c>
      <c r="F33" s="96">
        <f t="shared" si="10"/>
        <v>24349323.050056413</v>
      </c>
      <c r="G33" s="96">
        <f t="shared" si="10"/>
        <v>20158869.716723084</v>
      </c>
      <c r="H33" s="96">
        <f t="shared" si="10"/>
        <v>19715964.666666664</v>
      </c>
      <c r="I33" s="96">
        <f t="shared" si="10"/>
        <v>9360918.2666666657</v>
      </c>
      <c r="J33" s="96">
        <f t="shared" si="10"/>
        <v>12322456.666666668</v>
      </c>
      <c r="K33" s="96">
        <f t="shared" si="10"/>
        <v>16824423.066666666</v>
      </c>
      <c r="L33" s="96">
        <f>SUM(L34:L39)</f>
        <v>16245327.066666666</v>
      </c>
      <c r="M33" s="96">
        <f>SUM(M34:M39)</f>
        <v>17464264.666666664</v>
      </c>
      <c r="N33" s="96">
        <f>SUM(N34:N39)</f>
        <v>24683178.266666666</v>
      </c>
    </row>
    <row r="34" spans="1:14">
      <c r="A34" s="103" t="s">
        <v>417</v>
      </c>
      <c r="B34" s="92"/>
      <c r="C34" s="92">
        <f>Financing!C10</f>
        <v>16800000</v>
      </c>
      <c r="D34" s="92">
        <f>Financing!D10</f>
        <v>16800000</v>
      </c>
      <c r="E34" s="92">
        <f>Financing!E10</f>
        <v>14699999.999999998</v>
      </c>
      <c r="F34" s="92">
        <f>Financing!F10</f>
        <v>10500000</v>
      </c>
      <c r="G34" s="92">
        <f>Financing!G10</f>
        <v>6300000</v>
      </c>
      <c r="H34" s="92">
        <f>Financing!H10</f>
        <v>8400000</v>
      </c>
      <c r="I34" s="92">
        <f>Financing!I10</f>
        <v>4200000</v>
      </c>
      <c r="J34" s="92">
        <f>Financing!J10</f>
        <v>4200000</v>
      </c>
      <c r="K34" s="92">
        <f>Financing!K10</f>
        <v>6300000</v>
      </c>
      <c r="L34" s="92">
        <f>Financing!L10</f>
        <v>6300000</v>
      </c>
      <c r="M34" s="92">
        <f>Financing!M10</f>
        <v>10500000</v>
      </c>
      <c r="N34" s="92">
        <f>Financing!N10</f>
        <v>21000000</v>
      </c>
    </row>
    <row r="35" spans="1:14">
      <c r="A35" s="103" t="s">
        <v>418</v>
      </c>
      <c r="B35" s="9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</row>
    <row r="36" spans="1:14">
      <c r="A36" s="103" t="s">
        <v>423</v>
      </c>
      <c r="B36" s="92"/>
      <c r="C36" s="92">
        <f>Debtors!C76</f>
        <v>4505404.6666666679</v>
      </c>
      <c r="D36" s="92">
        <f>Debtors!D76</f>
        <v>4650644.6666666679</v>
      </c>
      <c r="E36" s="92">
        <f>Debtors!E76</f>
        <v>4068564.6666666665</v>
      </c>
      <c r="F36" s="92">
        <f>Debtors!F76</f>
        <v>3432364.6666666665</v>
      </c>
      <c r="G36" s="92">
        <f>Debtors!G76</f>
        <v>3367244.6666666665</v>
      </c>
      <c r="H36" s="92">
        <f>Debtors!H76</f>
        <v>1315964.6666666667</v>
      </c>
      <c r="I36" s="92">
        <f>Debtors!I76</f>
        <v>1668918.2666666666</v>
      </c>
      <c r="J36" s="92">
        <f>Debtors!J76</f>
        <v>2302456.666666667</v>
      </c>
      <c r="K36" s="92">
        <f>Debtors!K76</f>
        <v>2376423.0666666673</v>
      </c>
      <c r="L36" s="92">
        <f>Debtors!L76</f>
        <v>1797327.0666666667</v>
      </c>
      <c r="M36" s="92">
        <f>Debtors!M76</f>
        <v>1144264.6666666667</v>
      </c>
      <c r="N36" s="92">
        <f>Debtors!N76</f>
        <v>191178.26666666666</v>
      </c>
    </row>
    <row r="37" spans="1:14">
      <c r="A37" s="103" t="s">
        <v>419</v>
      </c>
      <c r="B37" s="92"/>
      <c r="C37" s="92">
        <f>Financing!C43+Financing!C44</f>
        <v>5000000</v>
      </c>
      <c r="D37" s="92">
        <f>Financing!D43+Financing!D44</f>
        <v>5000000</v>
      </c>
      <c r="E37" s="92">
        <f>Financing!E43+Financing!E44</f>
        <v>10000000</v>
      </c>
      <c r="F37" s="92">
        <f>Financing!F43+Financing!F44</f>
        <v>10000000</v>
      </c>
      <c r="G37" s="92">
        <f>Financing!G43+Financing!G44</f>
        <v>10000000</v>
      </c>
      <c r="H37" s="92">
        <f>Financing!H43+Financing!H44</f>
        <v>10000000</v>
      </c>
      <c r="I37" s="92">
        <f>Financing!I43+Financing!I44</f>
        <v>3492000</v>
      </c>
      <c r="J37" s="92">
        <f>Financing!J43+Financing!J44</f>
        <v>5820000</v>
      </c>
      <c r="K37" s="92">
        <f>Financing!K43+Financing!K44</f>
        <v>8148000</v>
      </c>
      <c r="L37" s="92">
        <f>Financing!L43+Financing!L44</f>
        <v>8148000</v>
      </c>
      <c r="M37" s="92">
        <f>Financing!M43+Financing!M44</f>
        <v>5820000</v>
      </c>
      <c r="N37" s="92">
        <f>Financing!N43+Financing!N44</f>
        <v>3492000</v>
      </c>
    </row>
    <row r="38" spans="1:14" ht="15" thickBot="1">
      <c r="A38" s="103"/>
      <c r="B38" s="9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</row>
    <row r="39" spans="1:14" ht="15" thickBot="1">
      <c r="A39" s="103" t="s">
        <v>420</v>
      </c>
      <c r="B39" s="92"/>
      <c r="C39" s="81">
        <f t="shared" ref="C39:D39" si="11">IF(C42&lt;0,-C42,0)</f>
        <v>2589144.1611675248</v>
      </c>
      <c r="D39" s="81">
        <f t="shared" si="11"/>
        <v>2663810.8278341964</v>
      </c>
      <c r="E39" s="81">
        <f>IF(E42&lt;0,-E42,0)</f>
        <v>1574477.494500868</v>
      </c>
      <c r="F39" s="81">
        <f t="shared" ref="F39:N39" si="12">IF(F42&lt;0,-F42,0)</f>
        <v>416958.38338974863</v>
      </c>
      <c r="G39" s="81">
        <f t="shared" si="12"/>
        <v>491625.05005642027</v>
      </c>
      <c r="H39" s="81">
        <f t="shared" si="12"/>
        <v>0</v>
      </c>
      <c r="I39" s="81">
        <f t="shared" si="12"/>
        <v>0</v>
      </c>
      <c r="J39" s="81">
        <f t="shared" si="12"/>
        <v>0</v>
      </c>
      <c r="K39" s="81">
        <f t="shared" si="12"/>
        <v>0</v>
      </c>
      <c r="L39" s="81">
        <f t="shared" si="12"/>
        <v>0</v>
      </c>
      <c r="M39" s="81">
        <f t="shared" si="12"/>
        <v>0</v>
      </c>
      <c r="N39" s="81">
        <f t="shared" si="12"/>
        <v>0</v>
      </c>
    </row>
    <row r="40" spans="1:14" ht="18.600000000000001" thickBot="1">
      <c r="A40" s="99" t="s">
        <v>421</v>
      </c>
      <c r="B40" s="100">
        <f t="shared" ref="B40:N40" si="13">B33+B29+B23</f>
        <v>0</v>
      </c>
      <c r="C40" s="100">
        <f t="shared" si="13"/>
        <v>34028473.58730159</v>
      </c>
      <c r="D40" s="100">
        <f t="shared" si="13"/>
        <v>34690468.920634925</v>
      </c>
      <c r="E40" s="100">
        <f t="shared" si="13"/>
        <v>36374144.253968254</v>
      </c>
      <c r="F40" s="100">
        <f t="shared" si="13"/>
        <v>30493873.809523806</v>
      </c>
      <c r="G40" s="100">
        <f t="shared" si="13"/>
        <v>26570229.142857142</v>
      </c>
      <c r="H40" s="100">
        <f t="shared" si="13"/>
        <v>26373132.759467389</v>
      </c>
      <c r="I40" s="100">
        <f t="shared" si="13"/>
        <v>15626067.826134056</v>
      </c>
      <c r="J40" s="100">
        <f t="shared" si="13"/>
        <v>18580026.892800726</v>
      </c>
      <c r="K40" s="100">
        <f t="shared" si="13"/>
        <v>23171345.159467388</v>
      </c>
      <c r="L40" s="100">
        <f t="shared" si="13"/>
        <v>22434617.026134055</v>
      </c>
      <c r="M40" s="100">
        <f t="shared" si="13"/>
        <v>23569007.292800717</v>
      </c>
      <c r="N40" s="100">
        <f t="shared" si="13"/>
        <v>30240442.359467387</v>
      </c>
    </row>
    <row r="41" spans="1:14" s="106" customFormat="1">
      <c r="A41" s="104"/>
      <c r="B41" s="105">
        <f t="shared" ref="B41:N41" si="14">B40-B21</f>
        <v>0</v>
      </c>
      <c r="C41" s="105">
        <f t="shared" si="14"/>
        <v>0</v>
      </c>
      <c r="D41" s="105">
        <f t="shared" si="14"/>
        <v>0</v>
      </c>
      <c r="E41" s="105">
        <f t="shared" si="14"/>
        <v>0</v>
      </c>
      <c r="F41" s="105">
        <f t="shared" si="14"/>
        <v>0</v>
      </c>
      <c r="G41" s="105">
        <f t="shared" si="14"/>
        <v>0</v>
      </c>
      <c r="H41" s="105">
        <f t="shared" si="14"/>
        <v>0</v>
      </c>
      <c r="I41" s="105">
        <f t="shared" si="14"/>
        <v>0</v>
      </c>
      <c r="J41" s="105">
        <f t="shared" si="14"/>
        <v>0</v>
      </c>
      <c r="K41" s="105">
        <f t="shared" si="14"/>
        <v>0</v>
      </c>
      <c r="L41" s="105">
        <f t="shared" si="14"/>
        <v>0</v>
      </c>
      <c r="M41" s="105">
        <f t="shared" si="14"/>
        <v>0</v>
      </c>
      <c r="N41" s="105">
        <f t="shared" si="14"/>
        <v>0</v>
      </c>
    </row>
    <row r="42" spans="1:14" hidden="1">
      <c r="C42" s="5">
        <v>-2589144.1611675248</v>
      </c>
      <c r="D42" s="105">
        <v>-2663810.8278341964</v>
      </c>
      <c r="E42" s="105">
        <v>-1574477.494500868</v>
      </c>
      <c r="F42" s="105">
        <v>-416958.38338974863</v>
      </c>
      <c r="G42" s="105">
        <v>-491625.05005642027</v>
      </c>
      <c r="H42" s="105">
        <v>3507708.2832769118</v>
      </c>
      <c r="I42" s="105">
        <v>2337164.9943880271</v>
      </c>
      <c r="J42" s="105">
        <v>1098394.3277213611</v>
      </c>
      <c r="K42" s="105">
        <v>1023582.0610546879</v>
      </c>
      <c r="L42" s="105">
        <v>2180955.5721658058</v>
      </c>
      <c r="M42" s="105">
        <v>3270184.9054991379</v>
      </c>
      <c r="N42" s="105">
        <v>7324195.8628739975</v>
      </c>
    </row>
    <row r="43" spans="1:14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>
      <c r="D44" s="5"/>
      <c r="E44" s="5"/>
      <c r="F44" s="5"/>
      <c r="G44" s="5"/>
      <c r="H44" s="5"/>
      <c r="I44" s="5"/>
      <c r="J44" s="5"/>
      <c r="K44" s="5"/>
    </row>
    <row r="45" spans="1:14">
      <c r="D45" s="5"/>
      <c r="E45" s="5"/>
      <c r="F45" s="5"/>
      <c r="G45" s="5"/>
      <c r="H45" s="5"/>
      <c r="I45" s="5"/>
      <c r="J45" s="5"/>
      <c r="K45" s="5"/>
    </row>
  </sheetData>
  <mergeCells count="14">
    <mergeCell ref="F6:F7"/>
    <mergeCell ref="A6:A7"/>
    <mergeCell ref="B6:B7"/>
    <mergeCell ref="C6:C7"/>
    <mergeCell ref="D6:D7"/>
    <mergeCell ref="E6:E7"/>
    <mergeCell ref="M6:M7"/>
    <mergeCell ref="N6:N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1" ySplit="7" topLeftCell="C26" activePane="bottomRight" state="frozen"/>
      <selection pane="topRight" activeCell="B1" sqref="B1"/>
      <selection pane="bottomLeft" activeCell="A7" sqref="A7"/>
      <selection pane="bottomRight"/>
    </sheetView>
  </sheetViews>
  <sheetFormatPr defaultRowHeight="14.4"/>
  <cols>
    <col min="1" max="1" width="53.33203125" customWidth="1"/>
    <col min="2" max="2" width="12.77734375" style="5" hidden="1" customWidth="1"/>
    <col min="3" max="3" width="12.77734375" style="5" customWidth="1"/>
    <col min="4" max="14" width="12.77734375" customWidth="1"/>
    <col min="15" max="15" width="10.88671875" bestFit="1" customWidth="1"/>
  </cols>
  <sheetData>
    <row r="1" spans="1:15">
      <c r="A1" s="42" t="s">
        <v>425</v>
      </c>
    </row>
    <row r="2" spans="1:15" ht="21">
      <c r="A2" s="43" t="s">
        <v>394</v>
      </c>
    </row>
    <row r="3" spans="1:15" ht="21">
      <c r="A3" s="43" t="s">
        <v>358</v>
      </c>
    </row>
    <row r="4" spans="1:15" ht="21">
      <c r="A4" s="141" t="s">
        <v>328</v>
      </c>
      <c r="D4" s="5"/>
    </row>
    <row r="5" spans="1:15" ht="15" thickBot="1">
      <c r="A5" s="86" t="s">
        <v>395</v>
      </c>
      <c r="B5" s="87">
        <f>Assumptions!B4</f>
        <v>31</v>
      </c>
      <c r="C5" s="87">
        <f>B5</f>
        <v>31</v>
      </c>
      <c r="D5" s="87">
        <f t="shared" ref="D5:N5" si="0">C5</f>
        <v>31</v>
      </c>
      <c r="E5" s="87">
        <f t="shared" si="0"/>
        <v>31</v>
      </c>
      <c r="F5" s="87">
        <f t="shared" si="0"/>
        <v>31</v>
      </c>
      <c r="G5" s="87">
        <f t="shared" si="0"/>
        <v>31</v>
      </c>
      <c r="H5" s="87">
        <f t="shared" si="0"/>
        <v>31</v>
      </c>
      <c r="I5" s="87">
        <f t="shared" si="0"/>
        <v>31</v>
      </c>
      <c r="J5" s="87">
        <f t="shared" si="0"/>
        <v>31</v>
      </c>
      <c r="K5" s="87">
        <f t="shared" si="0"/>
        <v>31</v>
      </c>
      <c r="L5" s="87">
        <f t="shared" si="0"/>
        <v>31</v>
      </c>
      <c r="M5" s="87">
        <f t="shared" si="0"/>
        <v>31</v>
      </c>
      <c r="N5" s="87">
        <f t="shared" si="0"/>
        <v>31</v>
      </c>
    </row>
    <row r="6" spans="1:15" ht="18" customHeight="1">
      <c r="A6" s="148" t="s">
        <v>10</v>
      </c>
      <c r="B6" s="150" t="s">
        <v>9</v>
      </c>
      <c r="C6" s="146" t="s">
        <v>129</v>
      </c>
      <c r="D6" s="146" t="s">
        <v>130</v>
      </c>
      <c r="E6" s="146" t="s">
        <v>131</v>
      </c>
      <c r="F6" s="146" t="s">
        <v>132</v>
      </c>
      <c r="G6" s="146" t="s">
        <v>133</v>
      </c>
      <c r="H6" s="146" t="s">
        <v>134</v>
      </c>
      <c r="I6" s="146" t="s">
        <v>135</v>
      </c>
      <c r="J6" s="146" t="s">
        <v>136</v>
      </c>
      <c r="K6" s="146" t="s">
        <v>137</v>
      </c>
      <c r="L6" s="146" t="s">
        <v>138</v>
      </c>
      <c r="M6" s="146" t="s">
        <v>139</v>
      </c>
      <c r="N6" s="146" t="s">
        <v>140</v>
      </c>
    </row>
    <row r="7" spans="1:15" ht="15" customHeight="1" thickBot="1">
      <c r="A7" s="149"/>
      <c r="B7" s="151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5" ht="15" thickBot="1">
      <c r="A8" s="88" t="s">
        <v>396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5" ht="28.8">
      <c r="A9" s="89" t="s">
        <v>397</v>
      </c>
      <c r="B9" s="90">
        <f t="shared" ref="B9:N9" si="1">SUM(B10:B11)</f>
        <v>0</v>
      </c>
      <c r="C9" s="90">
        <f t="shared" si="1"/>
        <v>150000</v>
      </c>
      <c r="D9" s="90">
        <f t="shared" si="1"/>
        <v>150000</v>
      </c>
      <c r="E9" s="90">
        <f t="shared" si="1"/>
        <v>150000</v>
      </c>
      <c r="F9" s="90">
        <f t="shared" si="1"/>
        <v>150000</v>
      </c>
      <c r="G9" s="90">
        <f t="shared" si="1"/>
        <v>150000</v>
      </c>
      <c r="H9" s="90">
        <f t="shared" si="1"/>
        <v>150000</v>
      </c>
      <c r="I9" s="90">
        <f t="shared" si="1"/>
        <v>150000</v>
      </c>
      <c r="J9" s="90">
        <f t="shared" si="1"/>
        <v>150000</v>
      </c>
      <c r="K9" s="90">
        <f t="shared" si="1"/>
        <v>150000</v>
      </c>
      <c r="L9" s="90">
        <f t="shared" si="1"/>
        <v>150000</v>
      </c>
      <c r="M9" s="90">
        <f t="shared" si="1"/>
        <v>150000</v>
      </c>
      <c r="N9" s="90">
        <f t="shared" si="1"/>
        <v>150000</v>
      </c>
    </row>
    <row r="10" spans="1:15">
      <c r="A10" s="91" t="s">
        <v>398</v>
      </c>
      <c r="B10" s="92"/>
      <c r="C10" s="92">
        <f>Assumptions!$B$136+Assumptions!$B$137</f>
        <v>150000</v>
      </c>
      <c r="D10" s="92">
        <f>Assumptions!$B$136+Assumptions!$B$137</f>
        <v>150000</v>
      </c>
      <c r="E10" s="92">
        <f>Assumptions!$B$136+Assumptions!$B$137</f>
        <v>150000</v>
      </c>
      <c r="F10" s="92">
        <f>Assumptions!$B$136+Assumptions!$B$137</f>
        <v>150000</v>
      </c>
      <c r="G10" s="92">
        <f>Assumptions!$B$136+Assumptions!$B$137</f>
        <v>150000</v>
      </c>
      <c r="H10" s="92">
        <f>Assumptions!$B$136+Assumptions!$B$137</f>
        <v>150000</v>
      </c>
      <c r="I10" s="92">
        <f>Assumptions!$B$136+Assumptions!$B$137</f>
        <v>150000</v>
      </c>
      <c r="J10" s="92">
        <f>Assumptions!$B$136+Assumptions!$B$137</f>
        <v>150000</v>
      </c>
      <c r="K10" s="92">
        <f>Assumptions!$B$136+Assumptions!$B$137</f>
        <v>150000</v>
      </c>
      <c r="L10" s="92">
        <f>Assumptions!$B$136+Assumptions!$B$137</f>
        <v>150000</v>
      </c>
      <c r="M10" s="92">
        <f>Assumptions!$B$136+Assumptions!$B$137</f>
        <v>150000</v>
      </c>
      <c r="N10" s="92">
        <f>Assumptions!$B$136+Assumptions!$B$137</f>
        <v>150000</v>
      </c>
    </row>
    <row r="11" spans="1:15">
      <c r="A11" s="94" t="s">
        <v>399</v>
      </c>
      <c r="B11" s="92"/>
      <c r="C11" s="92"/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1:15" ht="28.8">
      <c r="A12" s="95" t="s">
        <v>400</v>
      </c>
      <c r="B12" s="96">
        <f t="shared" ref="B12:N12" si="2">SUM(B13:B20)</f>
        <v>0</v>
      </c>
      <c r="C12" s="96">
        <f t="shared" si="2"/>
        <v>34491473.58730159</v>
      </c>
      <c r="D12" s="96">
        <f t="shared" si="2"/>
        <v>36289554.253968254</v>
      </c>
      <c r="E12" s="96">
        <f t="shared" si="2"/>
        <v>37677456.253968254</v>
      </c>
      <c r="F12" s="96">
        <f t="shared" si="2"/>
        <v>31786036.476190474</v>
      </c>
      <c r="G12" s="96">
        <f t="shared" si="2"/>
        <v>27913775.809523806</v>
      </c>
      <c r="H12" s="96">
        <f t="shared" si="2"/>
        <v>24317344.476190474</v>
      </c>
      <c r="I12" s="96">
        <f t="shared" si="2"/>
        <v>20135374.565079365</v>
      </c>
      <c r="J12" s="96">
        <f t="shared" si="2"/>
        <v>25465417.898412697</v>
      </c>
      <c r="K12" s="96">
        <f t="shared" si="2"/>
        <v>29690158.698412701</v>
      </c>
      <c r="L12" s="96">
        <f t="shared" si="2"/>
        <v>29521392.387301587</v>
      </c>
      <c r="M12" s="96">
        <f t="shared" si="2"/>
        <v>37229955.053968251</v>
      </c>
      <c r="N12" s="96">
        <f t="shared" si="2"/>
        <v>39206528.251593396</v>
      </c>
      <c r="O12" s="3"/>
    </row>
    <row r="13" spans="1:15">
      <c r="A13" s="91" t="s">
        <v>318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5">
      <c r="A14" s="91" t="s">
        <v>364</v>
      </c>
      <c r="B14" s="97"/>
      <c r="C14" s="97">
        <f>Debtors!C115</f>
        <v>8448320</v>
      </c>
      <c r="D14" s="97">
        <f>Debtors!D115</f>
        <v>11827648.000000004</v>
      </c>
      <c r="E14" s="97">
        <f>Debtors!E115</f>
        <v>11827648.000000004</v>
      </c>
      <c r="F14" s="97">
        <f>Debtors!F115</f>
        <v>10137984</v>
      </c>
      <c r="G14" s="97">
        <f>Debtors!G115</f>
        <v>8619520</v>
      </c>
      <c r="H14" s="97">
        <f>Debtors!H115</f>
        <v>8619520</v>
      </c>
      <c r="I14" s="97">
        <f>Debtors!I115</f>
        <v>2804256</v>
      </c>
      <c r="J14" s="97">
        <f>Debtors!J115</f>
        <v>4673760</v>
      </c>
      <c r="K14" s="97">
        <f>Debtors!K115</f>
        <v>6543264.0000000019</v>
      </c>
      <c r="L14" s="97">
        <f>Debtors!L115</f>
        <v>6543264.0000000019</v>
      </c>
      <c r="M14" s="97">
        <f>Debtors!M115</f>
        <v>4673760</v>
      </c>
      <c r="N14" s="97">
        <f>Debtors!N115</f>
        <v>2804256</v>
      </c>
    </row>
    <row r="15" spans="1:15">
      <c r="A15" s="91" t="s">
        <v>401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5">
      <c r="A16" s="91" t="s">
        <v>424</v>
      </c>
      <c r="B16" s="97"/>
      <c r="C16" s="97">
        <f>Debtors!C113</f>
        <v>5305360</v>
      </c>
      <c r="D16" s="97">
        <f>Debtors!D113</f>
        <v>8922864.0000000019</v>
      </c>
      <c r="E16" s="97">
        <f>Debtors!E113</f>
        <v>8676368.0000000019</v>
      </c>
      <c r="F16" s="97">
        <f>Debtors!F113</f>
        <v>8568800</v>
      </c>
      <c r="G16" s="97">
        <f>Debtors!G113</f>
        <v>8282160</v>
      </c>
      <c r="H16" s="97">
        <f>Debtors!H113</f>
        <v>9177520</v>
      </c>
      <c r="I16" s="97">
        <f>Debtors!I113</f>
        <v>7245328</v>
      </c>
      <c r="J16" s="97">
        <f>Debtors!J113</f>
        <v>8165808</v>
      </c>
      <c r="K16" s="97">
        <f>Debtors!K113</f>
        <v>7564176</v>
      </c>
      <c r="L16" s="97">
        <f>Debtors!L113</f>
        <v>7062774.4000000004</v>
      </c>
      <c r="M16" s="97">
        <f>Debtors!M113</f>
        <v>5909500.7999999989</v>
      </c>
      <c r="N16" s="97">
        <f>Debtors!N113</f>
        <v>4738319.9999999991</v>
      </c>
    </row>
    <row r="17" spans="1:14">
      <c r="A17" s="91" t="s">
        <v>324</v>
      </c>
      <c r="B17" s="97"/>
      <c r="C17" s="97">
        <f>Debtors!C114</f>
        <v>5482080.0000000009</v>
      </c>
      <c r="D17" s="97">
        <f>Debtors!D114</f>
        <v>6058080.0000000009</v>
      </c>
      <c r="E17" s="97">
        <f>Debtors!E114</f>
        <v>5480640</v>
      </c>
      <c r="F17" s="97">
        <f>Debtors!F114</f>
        <v>4615200</v>
      </c>
      <c r="G17" s="97">
        <f>Debtors!G114</f>
        <v>4327200</v>
      </c>
      <c r="H17" s="97">
        <f>Debtors!H114</f>
        <v>2306160</v>
      </c>
      <c r="I17" s="97">
        <f>Debtors!I114</f>
        <v>1875600</v>
      </c>
      <c r="J17" s="97">
        <f>Debtors!J114</f>
        <v>2741040.0000000005</v>
      </c>
      <c r="K17" s="97">
        <f>Debtors!K114</f>
        <v>3029040.0000000005</v>
      </c>
      <c r="L17" s="97">
        <f>Debtors!L114</f>
        <v>2451600</v>
      </c>
      <c r="M17" s="97">
        <f>Debtors!M114</f>
        <v>1586160</v>
      </c>
      <c r="N17" s="97">
        <f>Debtors!N114</f>
        <v>432000</v>
      </c>
    </row>
    <row r="18" spans="1:14">
      <c r="A18" s="91" t="s">
        <v>402</v>
      </c>
      <c r="B18" s="97"/>
      <c r="C18" s="97">
        <f>'CF Good'!C52+Debtors!C105</f>
        <v>15255713.58730159</v>
      </c>
      <c r="D18" s="97">
        <f>'CF Good'!D52+Debtors!D105</f>
        <v>9480962.2539682463</v>
      </c>
      <c r="E18" s="97">
        <f>'CF Good'!E52+Debtors!E105</f>
        <v>11692800.253968243</v>
      </c>
      <c r="F18" s="97">
        <f>'CF Good'!F52+Debtors!F105</f>
        <v>8464052.4761904739</v>
      </c>
      <c r="G18" s="97">
        <f>'CF Good'!G52+Debtors!G105</f>
        <v>6684895.809523806</v>
      </c>
      <c r="H18" s="97">
        <f>'CF Good'!H52+Debtors!H105</f>
        <v>4214144.4761904739</v>
      </c>
      <c r="I18" s="97">
        <f>'CF Good'!I52+Debtors!I105</f>
        <v>8210190.5650793649</v>
      </c>
      <c r="J18" s="97">
        <f>'CF Good'!J52+Debtors!J105</f>
        <v>9884809.8984126989</v>
      </c>
      <c r="K18" s="97">
        <f>'CF Good'!K52+Debtors!K105</f>
        <v>12553678.6984127</v>
      </c>
      <c r="L18" s="97">
        <f>'CF Good'!L52+Debtors!L105</f>
        <v>13463753.987301584</v>
      </c>
      <c r="M18" s="97">
        <f>'CF Good'!M52+Debtors!M105</f>
        <v>25060534.253968254</v>
      </c>
      <c r="N18" s="97">
        <f>'CF Good'!N52+Debtors!N105</f>
        <v>31231952.2515934</v>
      </c>
    </row>
    <row r="19" spans="1:14" ht="15" thickBot="1">
      <c r="A19" s="91"/>
      <c r="B19" s="97"/>
      <c r="C19" s="97"/>
      <c r="D19" s="97"/>
      <c r="E19" s="93"/>
      <c r="F19" s="93"/>
      <c r="G19" s="93"/>
      <c r="H19" s="93"/>
      <c r="I19" s="93"/>
      <c r="J19" s="93"/>
      <c r="K19" s="93"/>
      <c r="L19" s="93"/>
      <c r="M19" s="93"/>
      <c r="N19" s="93"/>
    </row>
    <row r="20" spans="1:14" ht="15" thickBot="1">
      <c r="A20" s="142" t="s">
        <v>403</v>
      </c>
      <c r="B20" s="97"/>
      <c r="C20" s="98">
        <f t="shared" ref="C20:D20" si="3">IF(C42&gt;0,C42,0)</f>
        <v>0</v>
      </c>
      <c r="D20" s="98">
        <f t="shared" si="3"/>
        <v>0</v>
      </c>
      <c r="E20" s="98">
        <f>IF(E42&gt;0,E42,0)</f>
        <v>0</v>
      </c>
      <c r="F20" s="98">
        <f t="shared" ref="F20:N20" si="4">IF(F42&gt;0,F42,0)</f>
        <v>0</v>
      </c>
      <c r="G20" s="98">
        <f t="shared" si="4"/>
        <v>0</v>
      </c>
      <c r="H20" s="98">
        <f t="shared" si="4"/>
        <v>0</v>
      </c>
      <c r="I20" s="98">
        <f t="shared" si="4"/>
        <v>0</v>
      </c>
      <c r="J20" s="98">
        <f t="shared" si="4"/>
        <v>0</v>
      </c>
      <c r="K20" s="98">
        <f t="shared" si="4"/>
        <v>0</v>
      </c>
      <c r="L20" s="98">
        <f t="shared" si="4"/>
        <v>0</v>
      </c>
      <c r="M20" s="98">
        <f t="shared" si="4"/>
        <v>0</v>
      </c>
      <c r="N20" s="98">
        <f t="shared" si="4"/>
        <v>0</v>
      </c>
    </row>
    <row r="21" spans="1:14" ht="18.600000000000001" thickBot="1">
      <c r="A21" s="99" t="s">
        <v>404</v>
      </c>
      <c r="B21" s="100">
        <f t="shared" ref="B21:N21" si="5">B12+B9</f>
        <v>0</v>
      </c>
      <c r="C21" s="100">
        <f t="shared" si="5"/>
        <v>34641473.58730159</v>
      </c>
      <c r="D21" s="100">
        <f t="shared" si="5"/>
        <v>36439554.253968254</v>
      </c>
      <c r="E21" s="100">
        <f t="shared" si="5"/>
        <v>37827456.253968254</v>
      </c>
      <c r="F21" s="100">
        <f t="shared" si="5"/>
        <v>31936036.476190474</v>
      </c>
      <c r="G21" s="100">
        <f t="shared" si="5"/>
        <v>28063775.809523806</v>
      </c>
      <c r="H21" s="100">
        <f t="shared" si="5"/>
        <v>24467344.476190474</v>
      </c>
      <c r="I21" s="100">
        <f t="shared" si="5"/>
        <v>20285374.565079365</v>
      </c>
      <c r="J21" s="100">
        <f t="shared" si="5"/>
        <v>25615417.898412697</v>
      </c>
      <c r="K21" s="100">
        <f t="shared" si="5"/>
        <v>29840158.698412701</v>
      </c>
      <c r="L21" s="100">
        <f t="shared" si="5"/>
        <v>29671392.387301587</v>
      </c>
      <c r="M21" s="100">
        <f t="shared" si="5"/>
        <v>37379955.053968251</v>
      </c>
      <c r="N21" s="100">
        <f t="shared" si="5"/>
        <v>39356528.251593396</v>
      </c>
    </row>
    <row r="22" spans="1:14" ht="15" thickBot="1">
      <c r="A22" s="88" t="s">
        <v>405</v>
      </c>
      <c r="B22" s="81"/>
      <c r="C22" s="81"/>
    </row>
    <row r="23" spans="1:14" ht="28.8">
      <c r="A23" s="95" t="s">
        <v>406</v>
      </c>
      <c r="B23" s="90">
        <f t="shared" ref="B23:N23" si="6">SUM(B24:B28)</f>
        <v>0</v>
      </c>
      <c r="C23" s="90">
        <f t="shared" si="6"/>
        <v>1224111.4261340625</v>
      </c>
      <c r="D23" s="90">
        <f t="shared" si="6"/>
        <v>1790840.0928007266</v>
      </c>
      <c r="E23" s="90">
        <f t="shared" si="6"/>
        <v>2395568.7594673908</v>
      </c>
      <c r="F23" s="90">
        <f t="shared" si="6"/>
        <v>2662430.7594673908</v>
      </c>
      <c r="G23" s="90">
        <f t="shared" si="6"/>
        <v>3086426.0928007248</v>
      </c>
      <c r="H23" s="90">
        <f t="shared" si="6"/>
        <v>3510421.4261340587</v>
      </c>
      <c r="I23" s="90">
        <f t="shared" si="6"/>
        <v>3189046.6261340589</v>
      </c>
      <c r="J23" s="90">
        <f t="shared" si="6"/>
        <v>3271009.2928007259</v>
      </c>
      <c r="K23" s="90">
        <f t="shared" si="6"/>
        <v>3489855.4261340578</v>
      </c>
      <c r="L23" s="90">
        <f t="shared" si="6"/>
        <v>3461609.5594673897</v>
      </c>
      <c r="M23" s="90">
        <f t="shared" si="6"/>
        <v>3424388.2261340567</v>
      </c>
      <c r="N23" s="90">
        <f t="shared" si="6"/>
        <v>2905283.4261340569</v>
      </c>
    </row>
    <row r="24" spans="1:14">
      <c r="A24" s="91" t="s">
        <v>407</v>
      </c>
      <c r="B24" s="92"/>
      <c r="C24" s="92">
        <f>(Assumptions!$B$128/Assumptions!$B$5)</f>
        <v>949036.72772136272</v>
      </c>
      <c r="D24" s="92">
        <f>(Assumptions!$B$128/Assumptions!$B$5)</f>
        <v>949036.72772136272</v>
      </c>
      <c r="E24" s="92">
        <f>(Assumptions!$B$128/Assumptions!$B$5)</f>
        <v>949036.72772136272</v>
      </c>
      <c r="F24" s="92">
        <f>(Assumptions!$B$128/Assumptions!$B$5)</f>
        <v>949036.72772136272</v>
      </c>
      <c r="G24" s="92">
        <f>(Assumptions!$B$128/Assumptions!$B$5)</f>
        <v>949036.72772136272</v>
      </c>
      <c r="H24" s="92">
        <f>(Assumptions!$B$128/Assumptions!$B$5)</f>
        <v>949036.72772136272</v>
      </c>
      <c r="I24" s="92">
        <f>(Assumptions!$B$128/Assumptions!$B$5)</f>
        <v>949036.72772136272</v>
      </c>
      <c r="J24" s="92">
        <f>(Assumptions!$B$128/Assumptions!$B$5)</f>
        <v>949036.72772136272</v>
      </c>
      <c r="K24" s="92">
        <f>(Assumptions!$B$128/Assumptions!$B$5)</f>
        <v>949036.72772136272</v>
      </c>
      <c r="L24" s="92">
        <f>(Assumptions!$B$128/Assumptions!$B$5)</f>
        <v>949036.72772136272</v>
      </c>
      <c r="M24" s="92">
        <f>(Assumptions!$B$128/Assumptions!$B$5)</f>
        <v>949036.72772136272</v>
      </c>
      <c r="N24" s="92">
        <f>(Assumptions!$B$128/Assumptions!$B$5)</f>
        <v>949036.72772136272</v>
      </c>
    </row>
    <row r="25" spans="1:14">
      <c r="A25" s="91" t="s">
        <v>408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1:14" s="102" customFormat="1">
      <c r="A26" s="101" t="s">
        <v>409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>
        <f t="shared" ref="N26" si="7">M26</f>
        <v>0</v>
      </c>
    </row>
    <row r="27" spans="1:14">
      <c r="A27" s="103" t="s">
        <v>410</v>
      </c>
      <c r="B27" s="92"/>
      <c r="C27" s="92">
        <v>0</v>
      </c>
      <c r="D27" s="92">
        <f>C27+C28</f>
        <v>275074.69841269968</v>
      </c>
      <c r="E27" s="92">
        <f t="shared" ref="E27:N27" si="8">D27+D28</f>
        <v>841803.36507936381</v>
      </c>
      <c r="F27" s="92">
        <f t="shared" si="8"/>
        <v>1446532.031746028</v>
      </c>
      <c r="G27" s="92">
        <f t="shared" si="8"/>
        <v>1713394.031746028</v>
      </c>
      <c r="H27" s="92">
        <f t="shared" si="8"/>
        <v>2137389.3650793619</v>
      </c>
      <c r="I27" s="92">
        <f t="shared" si="8"/>
        <v>2561384.6984126959</v>
      </c>
      <c r="J27" s="92">
        <f t="shared" si="8"/>
        <v>2240009.8984126961</v>
      </c>
      <c r="K27" s="92">
        <f t="shared" si="8"/>
        <v>2321972.5650793631</v>
      </c>
      <c r="L27" s="92">
        <f t="shared" si="8"/>
        <v>2540818.698412695</v>
      </c>
      <c r="M27" s="92">
        <f t="shared" si="8"/>
        <v>2512572.8317460269</v>
      </c>
      <c r="N27" s="92">
        <f t="shared" si="8"/>
        <v>2475351.4984126939</v>
      </c>
    </row>
    <row r="28" spans="1:14">
      <c r="A28" s="103" t="s">
        <v>411</v>
      </c>
      <c r="B28" s="92"/>
      <c r="C28" s="92">
        <f>'P&amp;L Cons Good'!C29</f>
        <v>275074.69841269968</v>
      </c>
      <c r="D28" s="92">
        <f>'P&amp;L Cons Good'!D29</f>
        <v>566728.66666666418</v>
      </c>
      <c r="E28" s="92">
        <f>'P&amp;L Cons Good'!E29</f>
        <v>604728.66666666418</v>
      </c>
      <c r="F28" s="92">
        <f>'P&amp;L Cons Good'!F29</f>
        <v>266862</v>
      </c>
      <c r="G28" s="92">
        <f>'P&amp;L Cons Good'!G29</f>
        <v>423995.33333333401</v>
      </c>
      <c r="H28" s="92">
        <f>'P&amp;L Cons Good'!H29</f>
        <v>423995.33333333401</v>
      </c>
      <c r="I28" s="92">
        <f>'P&amp;L Cons Good'!I29</f>
        <v>-321374.79999999981</v>
      </c>
      <c r="J28" s="92">
        <f>'P&amp;L Cons Good'!J29</f>
        <v>81962.666666666992</v>
      </c>
      <c r="K28" s="92">
        <f>'P&amp;L Cons Good'!K29</f>
        <v>218846.13333333188</v>
      </c>
      <c r="L28" s="92">
        <f>'P&amp;L Cons Good'!L29</f>
        <v>-28245.866666668124</v>
      </c>
      <c r="M28" s="92">
        <f>'P&amp;L Cons Good'!M29</f>
        <v>-37221.333333333008</v>
      </c>
      <c r="N28" s="92">
        <f>'P&amp;L Cons Good'!N29</f>
        <v>-519104.79999999981</v>
      </c>
    </row>
    <row r="29" spans="1:14" ht="28.8">
      <c r="A29" s="95" t="s">
        <v>412</v>
      </c>
      <c r="B29" s="96">
        <f t="shared" ref="B29:N29" si="9">B30+B32+B31</f>
        <v>0</v>
      </c>
      <c r="C29" s="96">
        <f t="shared" si="9"/>
        <v>4000000</v>
      </c>
      <c r="D29" s="96">
        <f t="shared" si="9"/>
        <v>4000000</v>
      </c>
      <c r="E29" s="96">
        <f t="shared" si="9"/>
        <v>4000000</v>
      </c>
      <c r="F29" s="96">
        <f t="shared" si="9"/>
        <v>4000000</v>
      </c>
      <c r="G29" s="96">
        <f t="shared" si="9"/>
        <v>4000000</v>
      </c>
      <c r="H29" s="96">
        <f t="shared" si="9"/>
        <v>4000000</v>
      </c>
      <c r="I29" s="96">
        <f t="shared" si="9"/>
        <v>4000000</v>
      </c>
      <c r="J29" s="96">
        <f t="shared" si="9"/>
        <v>4000000</v>
      </c>
      <c r="K29" s="96">
        <f t="shared" si="9"/>
        <v>4000000</v>
      </c>
      <c r="L29" s="96">
        <f t="shared" si="9"/>
        <v>4000000</v>
      </c>
      <c r="M29" s="96">
        <f t="shared" si="9"/>
        <v>4000000</v>
      </c>
      <c r="N29" s="96">
        <f t="shared" si="9"/>
        <v>4000000</v>
      </c>
    </row>
    <row r="30" spans="1:14">
      <c r="A30" s="103" t="s">
        <v>413</v>
      </c>
      <c r="B30" s="92"/>
      <c r="C30" s="92">
        <f>Assumptions!$B$129</f>
        <v>4000000</v>
      </c>
      <c r="D30" s="92">
        <f>Assumptions!$B$129</f>
        <v>4000000</v>
      </c>
      <c r="E30" s="92">
        <f>Assumptions!$B$129</f>
        <v>4000000</v>
      </c>
      <c r="F30" s="92">
        <f>Assumptions!$B$129</f>
        <v>4000000</v>
      </c>
      <c r="G30" s="92">
        <f>Assumptions!$B$129</f>
        <v>4000000</v>
      </c>
      <c r="H30" s="92">
        <f>Assumptions!$B$129</f>
        <v>4000000</v>
      </c>
      <c r="I30" s="92">
        <f>Assumptions!$B$129</f>
        <v>4000000</v>
      </c>
      <c r="J30" s="92">
        <f>Assumptions!$B$129</f>
        <v>4000000</v>
      </c>
      <c r="K30" s="92">
        <f>Assumptions!$B$129</f>
        <v>4000000</v>
      </c>
      <c r="L30" s="92">
        <f>Assumptions!$B$129</f>
        <v>4000000</v>
      </c>
      <c r="M30" s="92">
        <f>Assumptions!$B$129</f>
        <v>4000000</v>
      </c>
      <c r="N30" s="92">
        <f>Assumptions!$B$129</f>
        <v>4000000</v>
      </c>
    </row>
    <row r="31" spans="1:14">
      <c r="A31" s="103" t="s">
        <v>414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4">
      <c r="A32" s="103" t="s">
        <v>415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1:14" ht="28.8">
      <c r="A33" s="95" t="s">
        <v>416</v>
      </c>
      <c r="B33" s="96">
        <f t="shared" ref="B33:N33" si="10">SUM(B34:B39)</f>
        <v>0</v>
      </c>
      <c r="C33" s="96">
        <f t="shared" si="10"/>
        <v>29417362.161167528</v>
      </c>
      <c r="D33" s="96">
        <f t="shared" si="10"/>
        <v>30648714.161167528</v>
      </c>
      <c r="E33" s="96">
        <f t="shared" si="10"/>
        <v>31431887.494500864</v>
      </c>
      <c r="F33" s="96">
        <f t="shared" si="10"/>
        <v>25273605.716723084</v>
      </c>
      <c r="G33" s="96">
        <f t="shared" si="10"/>
        <v>20977349.716723077</v>
      </c>
      <c r="H33" s="96">
        <f t="shared" si="10"/>
        <v>16956923.050056413</v>
      </c>
      <c r="I33" s="96">
        <f t="shared" si="10"/>
        <v>13096327.938945305</v>
      </c>
      <c r="J33" s="96">
        <f t="shared" si="10"/>
        <v>18344408.605611973</v>
      </c>
      <c r="K33" s="96">
        <f t="shared" si="10"/>
        <v>22350303.272278644</v>
      </c>
      <c r="L33" s="96">
        <f t="shared" si="10"/>
        <v>22209782.827834196</v>
      </c>
      <c r="M33" s="96">
        <f t="shared" si="10"/>
        <v>29955566.827834193</v>
      </c>
      <c r="N33" s="96">
        <f t="shared" si="10"/>
        <v>32451244.825459339</v>
      </c>
    </row>
    <row r="34" spans="1:14">
      <c r="A34" s="103" t="s">
        <v>417</v>
      </c>
      <c r="B34" s="92"/>
      <c r="C34" s="92">
        <f>Financing!C15</f>
        <v>16800000</v>
      </c>
      <c r="D34" s="92">
        <f>Financing!D15</f>
        <v>16800000</v>
      </c>
      <c r="E34" s="92">
        <f>Financing!E15</f>
        <v>12600000</v>
      </c>
      <c r="F34" s="92">
        <f>Financing!F15</f>
        <v>6300000</v>
      </c>
      <c r="G34" s="92">
        <f>Financing!G15</f>
        <v>0</v>
      </c>
      <c r="H34" s="92">
        <f>Financing!H15</f>
        <v>0</v>
      </c>
      <c r="I34" s="92">
        <f>Financing!I15</f>
        <v>0</v>
      </c>
      <c r="J34" s="92">
        <f>Financing!J15</f>
        <v>0</v>
      </c>
      <c r="K34" s="92">
        <f>Financing!K15</f>
        <v>0</v>
      </c>
      <c r="L34" s="92">
        <f>Financing!L15</f>
        <v>0</v>
      </c>
      <c r="M34" s="92">
        <f>Financing!M15</f>
        <v>10500000</v>
      </c>
      <c r="N34" s="92">
        <f>Financing!N15</f>
        <v>21000000</v>
      </c>
    </row>
    <row r="35" spans="1:14">
      <c r="A35" s="103" t="s">
        <v>418</v>
      </c>
      <c r="B35" s="9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</row>
    <row r="36" spans="1:14">
      <c r="A36" s="103" t="s">
        <v>423</v>
      </c>
      <c r="B36" s="92"/>
      <c r="C36" s="92">
        <f>Debtors!C116</f>
        <v>4445671.333333334</v>
      </c>
      <c r="D36" s="92">
        <f>Debtors!D116</f>
        <v>4592810.0000000009</v>
      </c>
      <c r="E36" s="92">
        <f>Debtors!E116</f>
        <v>4015370</v>
      </c>
      <c r="F36" s="92">
        <f>Debtors!F116</f>
        <v>3386860.6666666665</v>
      </c>
      <c r="G36" s="92">
        <f>Debtors!G116</f>
        <v>3320791.3333333335</v>
      </c>
      <c r="H36" s="92">
        <f>Debtors!H116</f>
        <v>1299751.3333333333</v>
      </c>
      <c r="I36" s="92">
        <f>Debtors!I116</f>
        <v>1645948.6666666667</v>
      </c>
      <c r="J36" s="92">
        <f>Debtors!J116</f>
        <v>2270096.0000000005</v>
      </c>
      <c r="K36" s="92">
        <f>Debtors!K116</f>
        <v>2343257.333333334</v>
      </c>
      <c r="L36" s="92">
        <f>Debtors!L116</f>
        <v>1772909.3333333335</v>
      </c>
      <c r="M36" s="92">
        <f>Debtors!M116</f>
        <v>1129400</v>
      </c>
      <c r="N36" s="92">
        <f>Debtors!N116</f>
        <v>190078.66666666669</v>
      </c>
    </row>
    <row r="37" spans="1:14">
      <c r="A37" s="103" t="s">
        <v>419</v>
      </c>
      <c r="B37" s="92"/>
      <c r="C37" s="92">
        <f>Financing!C58+Financing!C59</f>
        <v>5000000</v>
      </c>
      <c r="D37" s="92">
        <f>Financing!D58+Financing!D59</f>
        <v>5000000</v>
      </c>
      <c r="E37" s="92">
        <f>Financing!E58+Financing!E59</f>
        <v>10000000</v>
      </c>
      <c r="F37" s="92">
        <f>Financing!F58+Financing!F59</f>
        <v>10000000</v>
      </c>
      <c r="G37" s="92">
        <f>Financing!G58+Financing!G59</f>
        <v>10000000</v>
      </c>
      <c r="H37" s="92">
        <f>Financing!H58+Financing!H59</f>
        <v>10000000</v>
      </c>
      <c r="I37" s="92">
        <f>Financing!I58+Financing!I59</f>
        <v>3546000</v>
      </c>
      <c r="J37" s="92">
        <f>Financing!J58+Financing!J59</f>
        <v>5910000</v>
      </c>
      <c r="K37" s="92">
        <f>Financing!K58+Financing!K59</f>
        <v>8274000.0000000019</v>
      </c>
      <c r="L37" s="92">
        <f>Financing!L58+Financing!L59</f>
        <v>8274000.0000000019</v>
      </c>
      <c r="M37" s="92">
        <f>Financing!M58+Financing!M59</f>
        <v>5910000</v>
      </c>
      <c r="N37" s="92">
        <f>Financing!N58+Financing!N59</f>
        <v>3546000</v>
      </c>
    </row>
    <row r="38" spans="1:14" ht="15" thickBot="1">
      <c r="A38" s="103"/>
      <c r="B38" s="9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</row>
    <row r="39" spans="1:14" ht="15" thickBot="1">
      <c r="A39" s="103" t="s">
        <v>420</v>
      </c>
      <c r="B39" s="92"/>
      <c r="C39" s="81">
        <f t="shared" ref="C39:D39" si="11">IF(C42&lt;0,-C42,0)</f>
        <v>3171690.8278341927</v>
      </c>
      <c r="D39" s="81">
        <f t="shared" si="11"/>
        <v>4255904.1611675285</v>
      </c>
      <c r="E39" s="81">
        <f>IF(E42&lt;0,-E42,0)</f>
        <v>4816517.4945008643</v>
      </c>
      <c r="F39" s="81">
        <f t="shared" ref="F39:N39" si="12">IF(F42&lt;0,-F42,0)</f>
        <v>5586745.0500564203</v>
      </c>
      <c r="G39" s="81">
        <f t="shared" si="12"/>
        <v>7656558.3833897449</v>
      </c>
      <c r="H39" s="81">
        <f t="shared" si="12"/>
        <v>5657171.7167230807</v>
      </c>
      <c r="I39" s="81">
        <f t="shared" si="12"/>
        <v>7904379.2722786386</v>
      </c>
      <c r="J39" s="81">
        <f t="shared" si="12"/>
        <v>10164312.605611971</v>
      </c>
      <c r="K39" s="81">
        <f t="shared" si="12"/>
        <v>11733045.938945308</v>
      </c>
      <c r="L39" s="81">
        <f t="shared" si="12"/>
        <v>12162873.494500861</v>
      </c>
      <c r="M39" s="81">
        <f t="shared" si="12"/>
        <v>12416166.827834193</v>
      </c>
      <c r="N39" s="81">
        <f t="shared" si="12"/>
        <v>7715166.1587926708</v>
      </c>
    </row>
    <row r="40" spans="1:14" ht="18.600000000000001" thickBot="1">
      <c r="A40" s="99" t="s">
        <v>421</v>
      </c>
      <c r="B40" s="100">
        <f t="shared" ref="B40:N40" si="13">B33+B29+B23</f>
        <v>0</v>
      </c>
      <c r="C40" s="100">
        <f t="shared" si="13"/>
        <v>34641473.58730159</v>
      </c>
      <c r="D40" s="100">
        <f t="shared" si="13"/>
        <v>36439554.253968261</v>
      </c>
      <c r="E40" s="100">
        <f t="shared" si="13"/>
        <v>37827456.253968254</v>
      </c>
      <c r="F40" s="100">
        <f t="shared" si="13"/>
        <v>31936036.476190474</v>
      </c>
      <c r="G40" s="100">
        <f t="shared" si="13"/>
        <v>28063775.809523802</v>
      </c>
      <c r="H40" s="100">
        <f t="shared" si="13"/>
        <v>24467344.47619047</v>
      </c>
      <c r="I40" s="100">
        <f t="shared" si="13"/>
        <v>20285374.565079365</v>
      </c>
      <c r="J40" s="100">
        <f t="shared" si="13"/>
        <v>25615417.898412697</v>
      </c>
      <c r="K40" s="100">
        <f t="shared" si="13"/>
        <v>29840158.698412701</v>
      </c>
      <c r="L40" s="100">
        <f t="shared" si="13"/>
        <v>29671392.387301587</v>
      </c>
      <c r="M40" s="100">
        <f t="shared" si="13"/>
        <v>37379955.053968243</v>
      </c>
      <c r="N40" s="100">
        <f t="shared" si="13"/>
        <v>39356528.251593396</v>
      </c>
    </row>
    <row r="41" spans="1:14" s="106" customFormat="1">
      <c r="A41" s="104"/>
      <c r="B41" s="105">
        <f t="shared" ref="B41:N41" si="14">B40-B21</f>
        <v>0</v>
      </c>
      <c r="C41" s="105">
        <f t="shared" si="14"/>
        <v>0</v>
      </c>
      <c r="D41" s="105">
        <f t="shared" si="14"/>
        <v>0</v>
      </c>
      <c r="E41" s="105">
        <f t="shared" si="14"/>
        <v>0</v>
      </c>
      <c r="F41" s="105">
        <f t="shared" si="14"/>
        <v>0</v>
      </c>
      <c r="G41" s="105">
        <f t="shared" si="14"/>
        <v>0</v>
      </c>
      <c r="H41" s="105">
        <f t="shared" si="14"/>
        <v>0</v>
      </c>
      <c r="I41" s="105">
        <f t="shared" si="14"/>
        <v>0</v>
      </c>
      <c r="J41" s="105">
        <f t="shared" si="14"/>
        <v>0</v>
      </c>
      <c r="K41" s="105">
        <f t="shared" si="14"/>
        <v>0</v>
      </c>
      <c r="L41" s="105">
        <f t="shared" si="14"/>
        <v>0</v>
      </c>
      <c r="M41" s="105">
        <f t="shared" si="14"/>
        <v>0</v>
      </c>
      <c r="N41" s="105">
        <f t="shared" si="14"/>
        <v>0</v>
      </c>
    </row>
    <row r="42" spans="1:14" hidden="1">
      <c r="C42" s="5">
        <v>-3171690.8278341927</v>
      </c>
      <c r="D42" s="105">
        <v>-4255904.1611675285</v>
      </c>
      <c r="E42" s="105">
        <v>-4816517.4945008643</v>
      </c>
      <c r="F42" s="105">
        <v>-5586745.0500564203</v>
      </c>
      <c r="G42" s="105">
        <v>-7656558.3833897449</v>
      </c>
      <c r="H42" s="105">
        <v>-5657171.7167230807</v>
      </c>
      <c r="I42" s="105">
        <v>-7904379.2722786386</v>
      </c>
      <c r="J42" s="105">
        <v>-10164312.605611971</v>
      </c>
      <c r="K42" s="105">
        <v>-11733045.938945308</v>
      </c>
      <c r="L42" s="105">
        <v>-12162873.494500861</v>
      </c>
      <c r="M42" s="105">
        <v>-12416166.827834193</v>
      </c>
      <c r="N42" s="105">
        <v>-7715166.1587926708</v>
      </c>
    </row>
    <row r="43" spans="1:14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>
      <c r="D44" s="5"/>
      <c r="E44" s="5"/>
      <c r="F44" s="5"/>
      <c r="G44" s="5"/>
      <c r="H44" s="5"/>
      <c r="I44" s="5"/>
      <c r="J44" s="5"/>
      <c r="K44" s="5"/>
    </row>
    <row r="45" spans="1:14">
      <c r="D45" s="5"/>
      <c r="E45" s="5"/>
      <c r="F45" s="5"/>
      <c r="G45" s="5"/>
      <c r="H45" s="5"/>
      <c r="I45" s="5"/>
      <c r="J45" s="5"/>
      <c r="K45" s="5"/>
    </row>
  </sheetData>
  <mergeCells count="14">
    <mergeCell ref="F6:F7"/>
    <mergeCell ref="A6:A7"/>
    <mergeCell ref="B6:B7"/>
    <mergeCell ref="C6:C7"/>
    <mergeCell ref="D6:D7"/>
    <mergeCell ref="E6:E7"/>
    <mergeCell ref="M6:M7"/>
    <mergeCell ref="N6:N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24" sqref="A24"/>
    </sheetView>
  </sheetViews>
  <sheetFormatPr defaultRowHeight="14.4"/>
  <cols>
    <col min="1" max="1" width="44.109375" style="3" customWidth="1"/>
    <col min="2" max="14" width="11.77734375" style="3" customWidth="1"/>
    <col min="15" max="16384" width="8.88671875" style="3"/>
  </cols>
  <sheetData>
    <row r="1" spans="1:14" ht="18">
      <c r="A1" s="21" t="s">
        <v>189</v>
      </c>
    </row>
    <row r="2" spans="1:14" ht="15.6">
      <c r="A2" s="30" t="s">
        <v>190</v>
      </c>
      <c r="B2" s="1" t="s">
        <v>75</v>
      </c>
      <c r="C2" s="1" t="s">
        <v>129</v>
      </c>
      <c r="D2" s="1" t="s">
        <v>130</v>
      </c>
      <c r="E2" s="1" t="s">
        <v>131</v>
      </c>
      <c r="F2" s="1" t="s">
        <v>132</v>
      </c>
      <c r="G2" s="1" t="s">
        <v>133</v>
      </c>
      <c r="H2" s="1" t="s">
        <v>134</v>
      </c>
      <c r="I2" s="1" t="s">
        <v>135</v>
      </c>
      <c r="J2" s="1" t="s">
        <v>136</v>
      </c>
      <c r="K2" s="1" t="s">
        <v>137</v>
      </c>
      <c r="L2" s="1" t="s">
        <v>138</v>
      </c>
      <c r="M2" s="1" t="s">
        <v>139</v>
      </c>
      <c r="N2" s="1" t="s">
        <v>140</v>
      </c>
    </row>
    <row r="3" spans="1:14">
      <c r="A3" s="3" t="s">
        <v>191</v>
      </c>
      <c r="B3" s="3">
        <f>Assumptions!C36</f>
        <v>201600</v>
      </c>
      <c r="C3" s="3">
        <f>Assumptions!D36</f>
        <v>20160</v>
      </c>
      <c r="D3" s="3">
        <f>Assumptions!E36</f>
        <v>28224.000000000004</v>
      </c>
      <c r="E3" s="3">
        <f>Assumptions!F36</f>
        <v>28224.000000000004</v>
      </c>
      <c r="F3" s="3">
        <f>Assumptions!G36</f>
        <v>24192</v>
      </c>
      <c r="G3" s="3">
        <f>Assumptions!H36</f>
        <v>20160</v>
      </c>
      <c r="H3" s="3">
        <f>Assumptions!I36</f>
        <v>20160</v>
      </c>
      <c r="I3" s="3">
        <f>Assumptions!J36</f>
        <v>6048</v>
      </c>
      <c r="J3" s="3">
        <f>Assumptions!K36</f>
        <v>10080</v>
      </c>
      <c r="K3" s="3">
        <f>Assumptions!L36</f>
        <v>14112.000000000002</v>
      </c>
      <c r="L3" s="3">
        <f>Assumptions!M36</f>
        <v>14112.000000000002</v>
      </c>
      <c r="M3" s="3">
        <f>Assumptions!N36</f>
        <v>10080</v>
      </c>
      <c r="N3" s="3">
        <f>Assumptions!O36</f>
        <v>6048</v>
      </c>
    </row>
    <row r="4" spans="1:14">
      <c r="A4" s="3" t="s">
        <v>192</v>
      </c>
      <c r="B4" s="3">
        <f>Assumptions!C37</f>
        <v>86400</v>
      </c>
      <c r="C4" s="3">
        <f>Assumptions!D37</f>
        <v>8640</v>
      </c>
      <c r="D4" s="3">
        <f>Assumptions!E37</f>
        <v>12096.000000000002</v>
      </c>
      <c r="E4" s="3">
        <f>Assumptions!F37</f>
        <v>12096.000000000002</v>
      </c>
      <c r="F4" s="3">
        <f>Assumptions!G37</f>
        <v>10368</v>
      </c>
      <c r="G4" s="3">
        <f>Assumptions!H37</f>
        <v>8640</v>
      </c>
      <c r="H4" s="3">
        <f>Assumptions!I37</f>
        <v>8640</v>
      </c>
      <c r="I4" s="3">
        <f>Assumptions!J37</f>
        <v>2592</v>
      </c>
      <c r="J4" s="3">
        <f>Assumptions!K37</f>
        <v>4320</v>
      </c>
      <c r="K4" s="3">
        <f>Assumptions!L37</f>
        <v>6048.0000000000009</v>
      </c>
      <c r="L4" s="3">
        <f>Assumptions!M37</f>
        <v>6048.0000000000009</v>
      </c>
      <c r="M4" s="3">
        <f>Assumptions!N37</f>
        <v>4320</v>
      </c>
      <c r="N4" s="3">
        <f>Assumptions!O37</f>
        <v>2592</v>
      </c>
    </row>
    <row r="5" spans="1:14">
      <c r="A5" s="24" t="s">
        <v>150</v>
      </c>
    </row>
    <row r="6" spans="1:14">
      <c r="A6" s="3" t="s">
        <v>193</v>
      </c>
      <c r="B6" s="3">
        <f>(B3*Assumptions!$C$64)/Assumptions!$B$4</f>
        <v>42940800</v>
      </c>
      <c r="C6" s="3">
        <f>(C3*Assumptions!$C$64)/Assumptions!$B$4</f>
        <v>4294080</v>
      </c>
      <c r="D6" s="3">
        <f>(D3*Assumptions!$C$64)/Assumptions!$B$4</f>
        <v>6011712.0000000009</v>
      </c>
      <c r="E6" s="3">
        <f>(E3*Assumptions!$C$64)/Assumptions!$B$4</f>
        <v>6011712.0000000009</v>
      </c>
      <c r="F6" s="3">
        <f>(F3*Assumptions!$C$64)/Assumptions!$B$4</f>
        <v>5152896</v>
      </c>
      <c r="G6" s="3">
        <f>(G3*Assumptions!$C$64)/Assumptions!$B$4</f>
        <v>4294080</v>
      </c>
      <c r="H6" s="3">
        <f>(H3*Assumptions!$C$64)/Assumptions!$B$4</f>
        <v>4294080</v>
      </c>
      <c r="I6" s="3">
        <f>(I3*Assumptions!$C$64)/Assumptions!$B$4</f>
        <v>1288224</v>
      </c>
      <c r="J6" s="3">
        <f>(J3*Assumptions!$C$64)/Assumptions!$B$4</f>
        <v>2147040</v>
      </c>
      <c r="K6" s="3">
        <f>(K3*Assumptions!$C$64)/Assumptions!$B$4</f>
        <v>3005856.0000000005</v>
      </c>
      <c r="L6" s="3">
        <f>(L3*Assumptions!$C$64)/Assumptions!$B$4</f>
        <v>3005856.0000000005</v>
      </c>
      <c r="M6" s="3">
        <f>(M3*Assumptions!$C$64)/Assumptions!$B$4</f>
        <v>2147040</v>
      </c>
      <c r="N6" s="3">
        <f>(N3*Assumptions!$C$64)/Assumptions!$B$4</f>
        <v>1288224</v>
      </c>
    </row>
    <row r="7" spans="1:14">
      <c r="A7" s="3" t="s">
        <v>194</v>
      </c>
      <c r="B7" s="3">
        <f>(B4*Assumptions!$C$65)/Assumptions!$B$4</f>
        <v>16243200</v>
      </c>
      <c r="C7" s="3">
        <f>(C4*Assumptions!$C$65)/Assumptions!$B$4</f>
        <v>1624320</v>
      </c>
      <c r="D7" s="3">
        <f>(D4*Assumptions!$C$65)/Assumptions!$B$4</f>
        <v>2274048.0000000005</v>
      </c>
      <c r="E7" s="3">
        <f>(E4*Assumptions!$C$65)/Assumptions!$B$4</f>
        <v>2274048.0000000005</v>
      </c>
      <c r="F7" s="3">
        <f>(F4*Assumptions!$C$65)/Assumptions!$B$4</f>
        <v>1949184</v>
      </c>
      <c r="G7" s="3">
        <f>(G4*Assumptions!$C$65)/Assumptions!$B$4</f>
        <v>1624320</v>
      </c>
      <c r="H7" s="3">
        <f>(H4*Assumptions!$C$65)/Assumptions!$B$4</f>
        <v>1624320</v>
      </c>
      <c r="I7" s="3">
        <f>(I4*Assumptions!$C$65)/Assumptions!$B$4</f>
        <v>487296</v>
      </c>
      <c r="J7" s="3">
        <f>(J4*Assumptions!$C$65)/Assumptions!$B$4</f>
        <v>812160</v>
      </c>
      <c r="K7" s="3">
        <f>(K4*Assumptions!$C$65)/Assumptions!$B$4</f>
        <v>1137024.0000000002</v>
      </c>
      <c r="L7" s="3">
        <f>(L4*Assumptions!$C$65)/Assumptions!$B$4</f>
        <v>1137024.0000000002</v>
      </c>
      <c r="M7" s="3">
        <f>(M4*Assumptions!$C$65)/Assumptions!$B$4</f>
        <v>812160</v>
      </c>
      <c r="N7" s="3">
        <f>(N4*Assumptions!$C$65)/Assumptions!$B$4</f>
        <v>487296</v>
      </c>
    </row>
    <row r="8" spans="1:14">
      <c r="A8" s="24" t="s">
        <v>195</v>
      </c>
      <c r="B8" s="9">
        <f>SUM(B6:B7)</f>
        <v>59184000</v>
      </c>
      <c r="C8" s="25">
        <f t="shared" ref="C8:N8" si="0">SUM(C6:C7)</f>
        <v>5918400</v>
      </c>
      <c r="D8" s="25">
        <f t="shared" si="0"/>
        <v>8285760.0000000019</v>
      </c>
      <c r="E8" s="25">
        <f t="shared" si="0"/>
        <v>8285760.0000000019</v>
      </c>
      <c r="F8" s="25">
        <f t="shared" si="0"/>
        <v>7102080</v>
      </c>
      <c r="G8" s="25">
        <f t="shared" si="0"/>
        <v>5918400</v>
      </c>
      <c r="H8" s="25">
        <f t="shared" si="0"/>
        <v>5918400</v>
      </c>
      <c r="I8" s="25">
        <f t="shared" si="0"/>
        <v>1775520</v>
      </c>
      <c r="J8" s="25">
        <f t="shared" si="0"/>
        <v>2959200</v>
      </c>
      <c r="K8" s="25">
        <f t="shared" si="0"/>
        <v>4142880.0000000009</v>
      </c>
      <c r="L8" s="25">
        <f t="shared" si="0"/>
        <v>4142880.0000000009</v>
      </c>
      <c r="M8" s="25">
        <f t="shared" si="0"/>
        <v>2959200</v>
      </c>
      <c r="N8" s="25">
        <f t="shared" si="0"/>
        <v>1775520</v>
      </c>
    </row>
    <row r="9" spans="1:14">
      <c r="A9" s="24" t="s">
        <v>151</v>
      </c>
    </row>
    <row r="10" spans="1:14">
      <c r="A10" s="3" t="s">
        <v>193</v>
      </c>
      <c r="B10" s="3">
        <f>(B3*Assumptions!$D$64)/Assumptions!$B$4</f>
        <v>42537600</v>
      </c>
      <c r="C10" s="3">
        <f>(C3*Assumptions!$D$64)/Assumptions!$B$4</f>
        <v>4253760</v>
      </c>
      <c r="D10" s="3">
        <f>(D3*Assumptions!$D$64)/Assumptions!$B$4</f>
        <v>5955264.0000000009</v>
      </c>
      <c r="E10" s="3">
        <f>(E3*Assumptions!$D$64)/Assumptions!$B$4</f>
        <v>5955264.0000000009</v>
      </c>
      <c r="F10" s="3">
        <f>(F3*Assumptions!$D$64)/Assumptions!$B$4</f>
        <v>5104512</v>
      </c>
      <c r="G10" s="3">
        <f>(G3*Assumptions!$D$64)/Assumptions!$B$4</f>
        <v>4253760</v>
      </c>
      <c r="H10" s="3">
        <f>(H3*Assumptions!$D$64)/Assumptions!$B$4</f>
        <v>4253760</v>
      </c>
      <c r="I10" s="3">
        <f>(I3*Assumptions!$D$64)/Assumptions!$B$4</f>
        <v>1276128</v>
      </c>
      <c r="J10" s="3">
        <f>(J3*Assumptions!$D$64)/Assumptions!$B$4</f>
        <v>2126880</v>
      </c>
      <c r="K10" s="3">
        <f>(K3*Assumptions!$D$64)/Assumptions!$B$4</f>
        <v>2977632.0000000005</v>
      </c>
      <c r="L10" s="3">
        <f>(L3*Assumptions!$D$64)/Assumptions!$B$4</f>
        <v>2977632.0000000005</v>
      </c>
      <c r="M10" s="3">
        <f>(M3*Assumptions!$D$64)/Assumptions!$B$4</f>
        <v>2126880</v>
      </c>
      <c r="N10" s="3">
        <f>(N3*Assumptions!$D$64)/Assumptions!$B$4</f>
        <v>1276128</v>
      </c>
    </row>
    <row r="11" spans="1:14">
      <c r="A11" s="3" t="s">
        <v>194</v>
      </c>
      <c r="B11" s="3">
        <f>(B4*Assumptions!$D$65)/Assumptions!$B$4</f>
        <v>16070400</v>
      </c>
      <c r="C11" s="3">
        <f>(C4*Assumptions!$D$65)/Assumptions!$B$4</f>
        <v>1607040</v>
      </c>
      <c r="D11" s="3">
        <f>(D4*Assumptions!$D$65)/Assumptions!$B$4</f>
        <v>2249856.0000000005</v>
      </c>
      <c r="E11" s="3">
        <f>(E4*Assumptions!$D$65)/Assumptions!$B$4</f>
        <v>2249856.0000000005</v>
      </c>
      <c r="F11" s="3">
        <f>(F4*Assumptions!$D$65)/Assumptions!$B$4</f>
        <v>1928448</v>
      </c>
      <c r="G11" s="3">
        <f>(G4*Assumptions!$D$65)/Assumptions!$B$4</f>
        <v>1607040</v>
      </c>
      <c r="H11" s="3">
        <f>(H4*Assumptions!$D$65)/Assumptions!$B$4</f>
        <v>1607040</v>
      </c>
      <c r="I11" s="3">
        <f>(I4*Assumptions!$D$65)/Assumptions!$B$4</f>
        <v>482112</v>
      </c>
      <c r="J11" s="3">
        <f>(J4*Assumptions!$D$65)/Assumptions!$B$4</f>
        <v>803520</v>
      </c>
      <c r="K11" s="3">
        <f>(K4*Assumptions!$D$65)/Assumptions!$B$4</f>
        <v>1124928.0000000002</v>
      </c>
      <c r="L11" s="3">
        <f>(L4*Assumptions!$D$65)/Assumptions!$B$4</f>
        <v>1124928.0000000002</v>
      </c>
      <c r="M11" s="3">
        <f>(M4*Assumptions!$D$65)/Assumptions!$B$4</f>
        <v>803520</v>
      </c>
      <c r="N11" s="3">
        <f>(N4*Assumptions!$D$65)/Assumptions!$B$4</f>
        <v>482112</v>
      </c>
    </row>
    <row r="12" spans="1:14">
      <c r="A12" s="24" t="s">
        <v>195</v>
      </c>
      <c r="B12" s="9">
        <f>SUM(B10:B11)</f>
        <v>58608000</v>
      </c>
      <c r="C12" s="25">
        <f t="shared" ref="C12" si="1">SUM(C10:C11)</f>
        <v>5860800</v>
      </c>
      <c r="D12" s="25">
        <f t="shared" ref="D12" si="2">SUM(D10:D11)</f>
        <v>8205120.0000000019</v>
      </c>
      <c r="E12" s="25">
        <f t="shared" ref="E12" si="3">SUM(E10:E11)</f>
        <v>8205120.0000000019</v>
      </c>
      <c r="F12" s="25">
        <f t="shared" ref="F12" si="4">SUM(F10:F11)</f>
        <v>7032960</v>
      </c>
      <c r="G12" s="25">
        <f t="shared" ref="G12" si="5">SUM(G10:G11)</f>
        <v>5860800</v>
      </c>
      <c r="H12" s="25">
        <f t="shared" ref="H12" si="6">SUM(H10:H11)</f>
        <v>5860800</v>
      </c>
      <c r="I12" s="25">
        <f t="shared" ref="I12" si="7">SUM(I10:I11)</f>
        <v>1758240</v>
      </c>
      <c r="J12" s="25">
        <f t="shared" ref="J12" si="8">SUM(J10:J11)</f>
        <v>2930400</v>
      </c>
      <c r="K12" s="25">
        <f t="shared" ref="K12" si="9">SUM(K10:K11)</f>
        <v>4102560.0000000009</v>
      </c>
      <c r="L12" s="25">
        <f t="shared" ref="L12" si="10">SUM(L10:L11)</f>
        <v>4102560.0000000009</v>
      </c>
      <c r="M12" s="25">
        <f t="shared" ref="M12" si="11">SUM(M10:M11)</f>
        <v>2930400</v>
      </c>
      <c r="N12" s="25">
        <f t="shared" ref="N12" si="12">SUM(N10:N11)</f>
        <v>1758240</v>
      </c>
    </row>
    <row r="13" spans="1:14">
      <c r="A13" s="24" t="s">
        <v>152</v>
      </c>
    </row>
    <row r="14" spans="1:14">
      <c r="A14" s="3" t="s">
        <v>193</v>
      </c>
      <c r="B14" s="3">
        <f>(B3*Assumptions!$E$64)/Assumptions!$B$4</f>
        <v>41932800</v>
      </c>
      <c r="C14" s="3">
        <f>(C3*Assumptions!$E$64)/Assumptions!$B$4</f>
        <v>4193280</v>
      </c>
      <c r="D14" s="3">
        <f>(D3*Assumptions!$E$64)/Assumptions!$B$4</f>
        <v>5870592.0000000009</v>
      </c>
      <c r="E14" s="3">
        <f>(E3*Assumptions!$E$64)/Assumptions!$B$4</f>
        <v>5870592.0000000009</v>
      </c>
      <c r="F14" s="3">
        <f>(F3*Assumptions!$E$64)/Assumptions!$B$4</f>
        <v>5031936</v>
      </c>
      <c r="G14" s="3">
        <f>(G3*Assumptions!$E$64)/Assumptions!$B$4</f>
        <v>4193280</v>
      </c>
      <c r="H14" s="3">
        <f>(H3*Assumptions!$E$64)/Assumptions!$B$4</f>
        <v>4193280</v>
      </c>
      <c r="I14" s="3">
        <f>(I3*Assumptions!$E$64)/Assumptions!$B$4</f>
        <v>1257984</v>
      </c>
      <c r="J14" s="3">
        <f>(J3*Assumptions!$E$64)/Assumptions!$B$4</f>
        <v>2096640</v>
      </c>
      <c r="K14" s="3">
        <f>(K3*Assumptions!$E$64)/Assumptions!$B$4</f>
        <v>2935296.0000000005</v>
      </c>
      <c r="L14" s="3">
        <f>(L3*Assumptions!$E$64)/Assumptions!$B$4</f>
        <v>2935296.0000000005</v>
      </c>
      <c r="M14" s="3">
        <f>(M3*Assumptions!$E$64)/Assumptions!$B$4</f>
        <v>2096640</v>
      </c>
      <c r="N14" s="3">
        <f>(N3*Assumptions!$E$64)/Assumptions!$B$4</f>
        <v>1257984</v>
      </c>
    </row>
    <row r="15" spans="1:14">
      <c r="A15" s="3" t="s">
        <v>194</v>
      </c>
      <c r="B15" s="3">
        <f>(B4*Assumptions!$E$65)/Assumptions!$B$4</f>
        <v>15811200</v>
      </c>
      <c r="C15" s="3">
        <f>(C4*Assumptions!$E$65)/Assumptions!$B$4</f>
        <v>1581120</v>
      </c>
      <c r="D15" s="3">
        <f>(D4*Assumptions!$E$65)/Assumptions!$B$4</f>
        <v>2213568.0000000005</v>
      </c>
      <c r="E15" s="3">
        <f>(E4*Assumptions!$E$65)/Assumptions!$B$4</f>
        <v>2213568.0000000005</v>
      </c>
      <c r="F15" s="3">
        <f>(F4*Assumptions!$E$65)/Assumptions!$B$4</f>
        <v>1897344</v>
      </c>
      <c r="G15" s="3">
        <f>(G4*Assumptions!$E$65)/Assumptions!$B$4</f>
        <v>1581120</v>
      </c>
      <c r="H15" s="3">
        <f>(H4*Assumptions!$E$65)/Assumptions!$B$4</f>
        <v>1581120</v>
      </c>
      <c r="I15" s="3">
        <f>(I4*Assumptions!$E$65)/Assumptions!$B$4</f>
        <v>474336</v>
      </c>
      <c r="J15" s="3">
        <f>(J4*Assumptions!$E$65)/Assumptions!$B$4</f>
        <v>790560</v>
      </c>
      <c r="K15" s="3">
        <f>(K4*Assumptions!$E$65)/Assumptions!$B$4</f>
        <v>1106784.0000000002</v>
      </c>
      <c r="L15" s="3">
        <f>(L4*Assumptions!$E$65)/Assumptions!$B$4</f>
        <v>1106784.0000000002</v>
      </c>
      <c r="M15" s="3">
        <f>(M4*Assumptions!$E$65)/Assumptions!$B$4</f>
        <v>790560</v>
      </c>
      <c r="N15" s="3">
        <f>(N4*Assumptions!$E$65)/Assumptions!$B$4</f>
        <v>474336</v>
      </c>
    </row>
    <row r="16" spans="1:14">
      <c r="A16" s="24" t="s">
        <v>195</v>
      </c>
      <c r="B16" s="9">
        <f>SUM(B14:B15)</f>
        <v>57744000</v>
      </c>
      <c r="C16" s="25">
        <f t="shared" ref="C16" si="13">SUM(C14:C15)</f>
        <v>5774400</v>
      </c>
      <c r="D16" s="25">
        <f t="shared" ref="D16" si="14">SUM(D14:D15)</f>
        <v>8084160.0000000019</v>
      </c>
      <c r="E16" s="25">
        <f t="shared" ref="E16" si="15">SUM(E14:E15)</f>
        <v>8084160.0000000019</v>
      </c>
      <c r="F16" s="25">
        <f t="shared" ref="F16" si="16">SUM(F14:F15)</f>
        <v>6929280</v>
      </c>
      <c r="G16" s="25">
        <f t="shared" ref="G16" si="17">SUM(G14:G15)</f>
        <v>5774400</v>
      </c>
      <c r="H16" s="25">
        <f t="shared" ref="H16" si="18">SUM(H14:H15)</f>
        <v>5774400</v>
      </c>
      <c r="I16" s="25">
        <f t="shared" ref="I16" si="19">SUM(I14:I15)</f>
        <v>1732320</v>
      </c>
      <c r="J16" s="25">
        <f t="shared" ref="J16" si="20">SUM(J14:J15)</f>
        <v>2887200</v>
      </c>
      <c r="K16" s="25">
        <f t="shared" ref="K16" si="21">SUM(K14:K15)</f>
        <v>4042080.0000000009</v>
      </c>
      <c r="L16" s="25">
        <f t="shared" ref="L16" si="22">SUM(L14:L15)</f>
        <v>4042080.0000000009</v>
      </c>
      <c r="M16" s="25">
        <f t="shared" ref="M16" si="23">SUM(M14:M15)</f>
        <v>2887200</v>
      </c>
      <c r="N16" s="25">
        <f t="shared" ref="N16" si="24">SUM(N14:N15)</f>
        <v>1732320</v>
      </c>
    </row>
    <row r="17" spans="1:14">
      <c r="A17" s="3" t="s">
        <v>196</v>
      </c>
      <c r="B17" s="25">
        <f>Assumptions!C33</f>
        <v>32000</v>
      </c>
      <c r="C17" s="25">
        <f>Assumptions!D33</f>
        <v>3200</v>
      </c>
      <c r="D17" s="25">
        <f>Assumptions!E33</f>
        <v>4480.0000000000009</v>
      </c>
      <c r="E17" s="25">
        <f>Assumptions!F33</f>
        <v>4480.0000000000009</v>
      </c>
      <c r="F17" s="25">
        <f>Assumptions!G33</f>
        <v>3840</v>
      </c>
      <c r="G17" s="25">
        <f>Assumptions!H33</f>
        <v>3200</v>
      </c>
      <c r="H17" s="25">
        <f>Assumptions!I33</f>
        <v>3200</v>
      </c>
      <c r="I17" s="25">
        <f>Assumptions!J33</f>
        <v>960</v>
      </c>
      <c r="J17" s="25">
        <f>Assumptions!K33</f>
        <v>1600</v>
      </c>
      <c r="K17" s="25">
        <f>Assumptions!L33</f>
        <v>2240.0000000000005</v>
      </c>
      <c r="L17" s="25">
        <f>Assumptions!M33</f>
        <v>2240.0000000000005</v>
      </c>
      <c r="M17" s="25">
        <f>Assumptions!N33</f>
        <v>1600</v>
      </c>
      <c r="N17" s="25">
        <f>Assumptions!O33</f>
        <v>960</v>
      </c>
    </row>
    <row r="18" spans="1:14">
      <c r="A18" s="3" t="s">
        <v>197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s="9" customFormat="1">
      <c r="A19" s="137" t="s">
        <v>150</v>
      </c>
      <c r="B19" s="9">
        <f>B17*(Assumptions!$C$67*Assumptions!$B$40+Assumptions!$C$68*Assumptions!$B$41)</f>
        <v>7584000</v>
      </c>
      <c r="C19" s="25">
        <f>C17*(Assumptions!$C$67*Assumptions!$B$40+Assumptions!$C$68*Assumptions!$B$41)</f>
        <v>758400</v>
      </c>
      <c r="D19" s="25">
        <f>D17*(Assumptions!$C$67*Assumptions!$B$40+Assumptions!$C$68*Assumptions!$B$41)</f>
        <v>1061760.0000000002</v>
      </c>
      <c r="E19" s="25">
        <f>E17*(Assumptions!$C$67*Assumptions!$B$40+Assumptions!$C$68*Assumptions!$B$41)</f>
        <v>1061760.0000000002</v>
      </c>
      <c r="F19" s="25">
        <f>F17*(Assumptions!$C$67*Assumptions!$B$40+Assumptions!$C$68*Assumptions!$B$41)</f>
        <v>910080</v>
      </c>
      <c r="G19" s="25">
        <f>G17*(Assumptions!$C$67*Assumptions!$B$40+Assumptions!$C$68*Assumptions!$B$41)</f>
        <v>758400</v>
      </c>
      <c r="H19" s="25">
        <f>H17*(Assumptions!$C$67*Assumptions!$B$40+Assumptions!$C$68*Assumptions!$B$41)</f>
        <v>758400</v>
      </c>
      <c r="I19" s="25">
        <f>I17*(Assumptions!$C$67*Assumptions!$B$40+Assumptions!$C$68*Assumptions!$B$41)</f>
        <v>227520</v>
      </c>
      <c r="J19" s="25">
        <f>J17*(Assumptions!$C$67*Assumptions!$B$40+Assumptions!$C$68*Assumptions!$B$41)</f>
        <v>379200</v>
      </c>
      <c r="K19" s="25">
        <f>K17*(Assumptions!$C$67*Assumptions!$B$40+Assumptions!$C$68*Assumptions!$B$41)</f>
        <v>530880.00000000012</v>
      </c>
      <c r="L19" s="25">
        <f>L17*(Assumptions!$C$67*Assumptions!$B$40+Assumptions!$C$68*Assumptions!$B$41)</f>
        <v>530880.00000000012</v>
      </c>
      <c r="M19" s="25">
        <f>M17*(Assumptions!$C$67*Assumptions!$B$40+Assumptions!$C$68*Assumptions!$B$41)</f>
        <v>379200</v>
      </c>
      <c r="N19" s="25">
        <f>N17*(Assumptions!$C$67*Assumptions!$B$40+Assumptions!$C$68*Assumptions!$B$41)</f>
        <v>227520</v>
      </c>
    </row>
    <row r="20" spans="1:14" s="9" customFormat="1">
      <c r="A20" s="137" t="s">
        <v>151</v>
      </c>
      <c r="B20" s="9">
        <f>B17*(Assumptions!$D$67*Assumptions!$B$40+Assumptions!$D$68*Assumptions!$B$41)</f>
        <v>7520000</v>
      </c>
      <c r="C20" s="25">
        <f>C17*(Assumptions!$D$67*Assumptions!$B$40+Assumptions!$D$68*Assumptions!$B$41)</f>
        <v>752000</v>
      </c>
      <c r="D20" s="25">
        <f>D17*(Assumptions!$D$67*Assumptions!$B$40+Assumptions!$D$68*Assumptions!$B$41)</f>
        <v>1052800.0000000002</v>
      </c>
      <c r="E20" s="25">
        <f>E17*(Assumptions!$D$67*Assumptions!$B$40+Assumptions!$D$68*Assumptions!$B$41)</f>
        <v>1052800.0000000002</v>
      </c>
      <c r="F20" s="25">
        <f>F17*(Assumptions!$D$67*Assumptions!$B$40+Assumptions!$D$68*Assumptions!$B$41)</f>
        <v>902400</v>
      </c>
      <c r="G20" s="25">
        <f>G17*(Assumptions!$D$67*Assumptions!$B$40+Assumptions!$D$68*Assumptions!$B$41)</f>
        <v>752000</v>
      </c>
      <c r="H20" s="25">
        <f>H17*(Assumptions!$D$67*Assumptions!$B$40+Assumptions!$D$68*Assumptions!$B$41)</f>
        <v>752000</v>
      </c>
      <c r="I20" s="25">
        <f>I17*(Assumptions!$D$67*Assumptions!$B$40+Assumptions!$D$68*Assumptions!$B$41)</f>
        <v>225600</v>
      </c>
      <c r="J20" s="25">
        <f>J17*(Assumptions!$D$67*Assumptions!$B$40+Assumptions!$D$68*Assumptions!$B$41)</f>
        <v>376000</v>
      </c>
      <c r="K20" s="25">
        <f>K17*(Assumptions!$D$67*Assumptions!$B$40+Assumptions!$D$68*Assumptions!$B$41)</f>
        <v>526400.00000000012</v>
      </c>
      <c r="L20" s="25">
        <f>L17*(Assumptions!$D$67*Assumptions!$B$40+Assumptions!$D$68*Assumptions!$B$41)</f>
        <v>526400.00000000012</v>
      </c>
      <c r="M20" s="25">
        <f>M17*(Assumptions!$D$67*Assumptions!$B$40+Assumptions!$D$68*Assumptions!$B$41)</f>
        <v>376000</v>
      </c>
      <c r="N20" s="25">
        <f>N17*(Assumptions!$D$67*Assumptions!$B$40+Assumptions!$D$68*Assumptions!$B$41)</f>
        <v>225600</v>
      </c>
    </row>
    <row r="21" spans="1:14" s="9" customFormat="1">
      <c r="A21" s="137" t="s">
        <v>152</v>
      </c>
      <c r="B21" s="9">
        <f>B17*(Assumptions!$E$67*Assumptions!$B$40+Assumptions!$E$68*Assumptions!$B$41)</f>
        <v>7456000</v>
      </c>
      <c r="C21" s="25">
        <f>C17*(Assumptions!$E$67*Assumptions!$B$40+Assumptions!$E$68*Assumptions!$B$41)</f>
        <v>745600</v>
      </c>
      <c r="D21" s="25">
        <f>D17*(Assumptions!$E$67*Assumptions!$B$40+Assumptions!$E$68*Assumptions!$B$41)</f>
        <v>1043840.0000000002</v>
      </c>
      <c r="E21" s="25">
        <f>E17*(Assumptions!$E$67*Assumptions!$B$40+Assumptions!$E$68*Assumptions!$B$41)</f>
        <v>1043840.0000000002</v>
      </c>
      <c r="F21" s="25">
        <f>F17*(Assumptions!$E$67*Assumptions!$B$40+Assumptions!$E$68*Assumptions!$B$41)</f>
        <v>894720</v>
      </c>
      <c r="G21" s="25">
        <f>G17*(Assumptions!$E$67*Assumptions!$B$40+Assumptions!$E$68*Assumptions!$B$41)</f>
        <v>745600</v>
      </c>
      <c r="H21" s="25">
        <f>H17*(Assumptions!$E$67*Assumptions!$B$40+Assumptions!$E$68*Assumptions!$B$41)</f>
        <v>745600</v>
      </c>
      <c r="I21" s="25">
        <f>I17*(Assumptions!$E$67*Assumptions!$B$40+Assumptions!$E$68*Assumptions!$B$41)</f>
        <v>223680</v>
      </c>
      <c r="J21" s="25">
        <f>J17*(Assumptions!$E$67*Assumptions!$B$40+Assumptions!$E$68*Assumptions!$B$41)</f>
        <v>372800</v>
      </c>
      <c r="K21" s="25">
        <f>K17*(Assumptions!$E$67*Assumptions!$B$40+Assumptions!$E$68*Assumptions!$B$41)</f>
        <v>521920.00000000012</v>
      </c>
      <c r="L21" s="25">
        <f>L17*(Assumptions!$E$67*Assumptions!$B$40+Assumptions!$E$68*Assumptions!$B$41)</f>
        <v>521920.00000000012</v>
      </c>
      <c r="M21" s="25">
        <f>M17*(Assumptions!$E$67*Assumptions!$B$40+Assumptions!$E$68*Assumptions!$B$41)</f>
        <v>372800</v>
      </c>
      <c r="N21" s="25">
        <f>N17*(Assumptions!$E$67*Assumptions!$B$40+Assumptions!$E$68*Assumptions!$B$41)</f>
        <v>223680</v>
      </c>
    </row>
    <row r="22" spans="1:14">
      <c r="A22" s="3" t="s">
        <v>198</v>
      </c>
      <c r="B22" s="3">
        <f>Assumptions!C30</f>
        <v>80000</v>
      </c>
      <c r="C22" s="3">
        <f>Assumptions!D30</f>
        <v>8000</v>
      </c>
      <c r="D22" s="3">
        <f>Assumptions!E30</f>
        <v>11200.000000000002</v>
      </c>
      <c r="E22" s="3">
        <f>Assumptions!F30</f>
        <v>11200.000000000002</v>
      </c>
      <c r="F22" s="3">
        <f>Assumptions!G30</f>
        <v>9600</v>
      </c>
      <c r="G22" s="3">
        <f>Assumptions!H30</f>
        <v>8000</v>
      </c>
      <c r="H22" s="3">
        <f>Assumptions!I30</f>
        <v>8000</v>
      </c>
      <c r="I22" s="3">
        <f>Assumptions!J30</f>
        <v>2400</v>
      </c>
      <c r="J22" s="3">
        <f>Assumptions!K30</f>
        <v>4000</v>
      </c>
      <c r="K22" s="3">
        <f>Assumptions!L30</f>
        <v>5600.0000000000009</v>
      </c>
      <c r="L22" s="3">
        <f>Assumptions!M30</f>
        <v>5600.0000000000009</v>
      </c>
      <c r="M22" s="3">
        <f>Assumptions!N30</f>
        <v>4000</v>
      </c>
      <c r="N22" s="3">
        <f>Assumptions!O30</f>
        <v>2400</v>
      </c>
    </row>
    <row r="23" spans="1:14" s="9" customFormat="1">
      <c r="A23" s="9" t="s">
        <v>199</v>
      </c>
      <c r="B23" s="9">
        <f>B22*(Assumptions!$B$40*Assumptions!$D$53+Assumptions!$D$52*Assumptions!$B$41)</f>
        <v>21000000</v>
      </c>
      <c r="C23" s="25">
        <f>C22*(Assumptions!$B$40*Assumptions!$D$53+Assumptions!$D$52*Assumptions!$B$41)</f>
        <v>2100000</v>
      </c>
      <c r="D23" s="25">
        <f>D22*(Assumptions!$B$40*Assumptions!$D$53+Assumptions!$D$52*Assumptions!$B$41)</f>
        <v>2940000.0000000005</v>
      </c>
      <c r="E23" s="25">
        <f>E22*(Assumptions!$B$40*Assumptions!$D$53+Assumptions!$D$52*Assumptions!$B$41)</f>
        <v>2940000.0000000005</v>
      </c>
      <c r="F23" s="25">
        <f>F22*(Assumptions!$B$40*Assumptions!$D$53+Assumptions!$D$52*Assumptions!$B$41)</f>
        <v>2520000</v>
      </c>
      <c r="G23" s="25">
        <f>G22*(Assumptions!$B$40*Assumptions!$D$53+Assumptions!$D$52*Assumptions!$B$41)</f>
        <v>2100000</v>
      </c>
      <c r="H23" s="25">
        <f>H22*(Assumptions!$B$40*Assumptions!$D$53+Assumptions!$D$52*Assumptions!$B$41)</f>
        <v>2100000</v>
      </c>
      <c r="I23" s="25">
        <f>I22*(Assumptions!$B$40*Assumptions!$D$53+Assumptions!$D$52*Assumptions!$B$41)</f>
        <v>630000</v>
      </c>
      <c r="J23" s="25">
        <f>J22*(Assumptions!$B$40*Assumptions!$D$53+Assumptions!$D$52*Assumptions!$B$41)</f>
        <v>1050000</v>
      </c>
      <c r="K23" s="25">
        <f>K22*(Assumptions!$B$40*Assumptions!$D$53+Assumptions!$D$52*Assumptions!$B$41)</f>
        <v>1470000.0000000002</v>
      </c>
      <c r="L23" s="25">
        <f>L22*(Assumptions!$B$40*Assumptions!$D$53+Assumptions!$D$52*Assumptions!$B$41)</f>
        <v>1470000.0000000002</v>
      </c>
      <c r="M23" s="25">
        <f>M22*(Assumptions!$B$40*Assumptions!$D$53+Assumptions!$D$52*Assumptions!$B$41)</f>
        <v>1050000</v>
      </c>
      <c r="N23" s="25">
        <f>N22*(Assumptions!$B$40*Assumptions!$D$53+Assumptions!$D$52*Assumptions!$B$41)</f>
        <v>630000</v>
      </c>
    </row>
    <row r="24" spans="1:14">
      <c r="A24" s="7"/>
    </row>
    <row r="25" spans="1:14" ht="15.6">
      <c r="A25" s="22" t="s">
        <v>188</v>
      </c>
    </row>
    <row r="26" spans="1:14">
      <c r="A26" s="27" t="s">
        <v>150</v>
      </c>
      <c r="B26" s="9">
        <f>B23+B19+B8</f>
        <v>87768000</v>
      </c>
      <c r="C26" s="3">
        <f t="shared" ref="C26:N26" si="25">C23+C19+C8</f>
        <v>8776800</v>
      </c>
      <c r="D26" s="3">
        <f t="shared" si="25"/>
        <v>12287520.000000004</v>
      </c>
      <c r="E26" s="3">
        <f t="shared" si="25"/>
        <v>12287520.000000004</v>
      </c>
      <c r="F26" s="3">
        <f t="shared" si="25"/>
        <v>10532160</v>
      </c>
      <c r="G26" s="3">
        <f t="shared" si="25"/>
        <v>8776800</v>
      </c>
      <c r="H26" s="3">
        <f t="shared" si="25"/>
        <v>8776800</v>
      </c>
      <c r="I26" s="3">
        <f t="shared" si="25"/>
        <v>2633040</v>
      </c>
      <c r="J26" s="3">
        <f t="shared" si="25"/>
        <v>4388400</v>
      </c>
      <c r="K26" s="3">
        <f t="shared" si="25"/>
        <v>6143760.0000000019</v>
      </c>
      <c r="L26" s="3">
        <f t="shared" si="25"/>
        <v>6143760.0000000019</v>
      </c>
      <c r="M26" s="3">
        <f t="shared" si="25"/>
        <v>4388400</v>
      </c>
      <c r="N26" s="3">
        <f t="shared" si="25"/>
        <v>2633040</v>
      </c>
    </row>
    <row r="27" spans="1:14">
      <c r="A27" s="27" t="s">
        <v>151</v>
      </c>
      <c r="B27" s="9">
        <f>B23+B20+B12</f>
        <v>87128000</v>
      </c>
      <c r="C27" s="3">
        <f t="shared" ref="C27:N27" si="26">C23+C20+C12</f>
        <v>8712800</v>
      </c>
      <c r="D27" s="3">
        <f t="shared" si="26"/>
        <v>12197920.000000004</v>
      </c>
      <c r="E27" s="3">
        <f t="shared" si="26"/>
        <v>12197920.000000004</v>
      </c>
      <c r="F27" s="3">
        <f t="shared" si="26"/>
        <v>10455360</v>
      </c>
      <c r="G27" s="3">
        <f t="shared" si="26"/>
        <v>8712800</v>
      </c>
      <c r="H27" s="3">
        <f t="shared" si="26"/>
        <v>8712800</v>
      </c>
      <c r="I27" s="3">
        <f t="shared" si="26"/>
        <v>2613840</v>
      </c>
      <c r="J27" s="3">
        <f t="shared" si="26"/>
        <v>4356400</v>
      </c>
      <c r="K27" s="3">
        <f t="shared" si="26"/>
        <v>6098960.0000000019</v>
      </c>
      <c r="L27" s="3">
        <f t="shared" si="26"/>
        <v>6098960.0000000019</v>
      </c>
      <c r="M27" s="3">
        <f t="shared" si="26"/>
        <v>4356400</v>
      </c>
      <c r="N27" s="3">
        <f t="shared" si="26"/>
        <v>2613840</v>
      </c>
    </row>
    <row r="28" spans="1:14">
      <c r="A28" s="27" t="s">
        <v>152</v>
      </c>
      <c r="B28" s="9">
        <f>B23+B21+B16</f>
        <v>86200000</v>
      </c>
      <c r="C28" s="3">
        <f t="shared" ref="C28:N28" si="27">C23+C21+C16</f>
        <v>8620000</v>
      </c>
      <c r="D28" s="3">
        <f t="shared" si="27"/>
        <v>12068000.000000004</v>
      </c>
      <c r="E28" s="3">
        <f t="shared" si="27"/>
        <v>12068000.000000004</v>
      </c>
      <c r="F28" s="3">
        <f t="shared" si="27"/>
        <v>10344000</v>
      </c>
      <c r="G28" s="3">
        <f t="shared" si="27"/>
        <v>8620000</v>
      </c>
      <c r="H28" s="3">
        <f t="shared" si="27"/>
        <v>8620000</v>
      </c>
      <c r="I28" s="3">
        <f t="shared" si="27"/>
        <v>2586000</v>
      </c>
      <c r="J28" s="3">
        <f t="shared" si="27"/>
        <v>4310000</v>
      </c>
      <c r="K28" s="3">
        <f t="shared" si="27"/>
        <v>6034000.0000000019</v>
      </c>
      <c r="L28" s="3">
        <f t="shared" si="27"/>
        <v>6034000.0000000019</v>
      </c>
      <c r="M28" s="3">
        <f t="shared" si="27"/>
        <v>4310000</v>
      </c>
      <c r="N28" s="3">
        <f t="shared" si="27"/>
        <v>2586000</v>
      </c>
    </row>
    <row r="29" spans="1:14" ht="15.6">
      <c r="A29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13" sqref="A13"/>
    </sheetView>
  </sheetViews>
  <sheetFormatPr defaultRowHeight="14.4"/>
  <cols>
    <col min="1" max="1" width="44.109375" style="5" customWidth="1"/>
    <col min="2" max="14" width="11.77734375" style="5" customWidth="1"/>
    <col min="15" max="16384" width="8.88671875" style="5"/>
  </cols>
  <sheetData>
    <row r="1" spans="1:14" ht="18">
      <c r="A1" s="29" t="s">
        <v>200</v>
      </c>
    </row>
    <row r="2" spans="1:14" ht="15.6">
      <c r="A2" s="30" t="s">
        <v>190</v>
      </c>
      <c r="B2" s="1" t="s">
        <v>75</v>
      </c>
      <c r="C2" s="1" t="s">
        <v>129</v>
      </c>
      <c r="D2" s="1" t="s">
        <v>130</v>
      </c>
      <c r="E2" s="1" t="s">
        <v>131</v>
      </c>
      <c r="F2" s="1" t="s">
        <v>132</v>
      </c>
      <c r="G2" s="1" t="s">
        <v>133</v>
      </c>
      <c r="H2" s="1" t="s">
        <v>134</v>
      </c>
      <c r="I2" s="1" t="s">
        <v>135</v>
      </c>
      <c r="J2" s="1" t="s">
        <v>136</v>
      </c>
      <c r="K2" s="1" t="s">
        <v>137</v>
      </c>
      <c r="L2" s="1" t="s">
        <v>138</v>
      </c>
      <c r="M2" s="1" t="s">
        <v>139</v>
      </c>
      <c r="N2" s="1" t="s">
        <v>140</v>
      </c>
    </row>
    <row r="3" spans="1:14" ht="30">
      <c r="A3" s="28" t="s">
        <v>201</v>
      </c>
      <c r="B3" s="5">
        <f>Assumptions!C34</f>
        <v>288000</v>
      </c>
      <c r="C3" s="5">
        <f>Assumptions!D34</f>
        <v>28800</v>
      </c>
      <c r="D3" s="5">
        <f>Assumptions!E34</f>
        <v>40320.000000000007</v>
      </c>
      <c r="E3" s="5">
        <f>Assumptions!F34</f>
        <v>40320.000000000007</v>
      </c>
      <c r="F3" s="5">
        <f>Assumptions!G34</f>
        <v>34560</v>
      </c>
      <c r="G3" s="5">
        <f>Assumptions!H34</f>
        <v>28800</v>
      </c>
      <c r="H3" s="5">
        <f>Assumptions!I34</f>
        <v>28800</v>
      </c>
      <c r="I3" s="5">
        <f>Assumptions!J34</f>
        <v>8640</v>
      </c>
      <c r="J3" s="5">
        <f>Assumptions!K34</f>
        <v>14400</v>
      </c>
      <c r="K3" s="5">
        <f>Assumptions!L34</f>
        <v>20160.000000000004</v>
      </c>
      <c r="L3" s="5">
        <f>Assumptions!M34</f>
        <v>20160.000000000004</v>
      </c>
      <c r="M3" s="5">
        <f>Assumptions!N34</f>
        <v>14400</v>
      </c>
      <c r="N3" s="5">
        <f>Assumptions!O34</f>
        <v>8640</v>
      </c>
    </row>
    <row r="4" spans="1:14" ht="15.6">
      <c r="A4" s="28" t="s">
        <v>203</v>
      </c>
      <c r="B4" s="5">
        <f>B3*Assumptions!$C$73</f>
        <v>69120000</v>
      </c>
      <c r="C4" s="5">
        <f>C3*Assumptions!$C$73</f>
        <v>6912000</v>
      </c>
      <c r="D4" s="5">
        <f>D3*Assumptions!$C$73</f>
        <v>9676800.0000000019</v>
      </c>
      <c r="E4" s="5">
        <f>E3*Assumptions!$C$73</f>
        <v>9676800.0000000019</v>
      </c>
      <c r="F4" s="5">
        <f>F3*Assumptions!$C$73</f>
        <v>8294400</v>
      </c>
      <c r="G4" s="5">
        <f>G3*Assumptions!$C$73</f>
        <v>6912000</v>
      </c>
      <c r="H4" s="5">
        <f>H3*Assumptions!$C$73</f>
        <v>6912000</v>
      </c>
      <c r="I4" s="5">
        <f>I3*Assumptions!$C$73</f>
        <v>2073600</v>
      </c>
      <c r="J4" s="5">
        <f>J3*Assumptions!$C$73</f>
        <v>3456000</v>
      </c>
      <c r="K4" s="5">
        <f>K3*Assumptions!$C$73</f>
        <v>4838400.0000000009</v>
      </c>
      <c r="L4" s="5">
        <f>L3*Assumptions!$C$73</f>
        <v>4838400.0000000009</v>
      </c>
      <c r="M4" s="5">
        <f>M3*Assumptions!$C$73</f>
        <v>3456000</v>
      </c>
      <c r="N4" s="5">
        <f>N3*Assumptions!$C$73</f>
        <v>2073600</v>
      </c>
    </row>
    <row r="6" spans="1:14">
      <c r="A6" s="28"/>
    </row>
    <row r="7" spans="1:14" ht="30">
      <c r="A7" s="28" t="s">
        <v>202</v>
      </c>
      <c r="B7" s="5">
        <f>Assumptions!C31</f>
        <v>320000</v>
      </c>
      <c r="C7" s="5">
        <f>Assumptions!D31</f>
        <v>32000</v>
      </c>
      <c r="D7" s="5">
        <f>Assumptions!E31</f>
        <v>44800.000000000007</v>
      </c>
      <c r="E7" s="5">
        <f>Assumptions!F31</f>
        <v>44800.000000000007</v>
      </c>
      <c r="F7" s="5">
        <f>Assumptions!G31</f>
        <v>38400</v>
      </c>
      <c r="G7" s="5">
        <f>Assumptions!H31</f>
        <v>32000</v>
      </c>
      <c r="H7" s="5">
        <f>Assumptions!I31</f>
        <v>32000</v>
      </c>
      <c r="I7" s="5">
        <f>Assumptions!J31</f>
        <v>9600</v>
      </c>
      <c r="J7" s="5">
        <f>Assumptions!K31</f>
        <v>16000</v>
      </c>
      <c r="K7" s="5">
        <f>Assumptions!L31</f>
        <v>22400.000000000004</v>
      </c>
      <c r="L7" s="5">
        <f>Assumptions!M31</f>
        <v>22400.000000000004</v>
      </c>
      <c r="M7" s="5">
        <f>Assumptions!N31</f>
        <v>16000</v>
      </c>
      <c r="N7" s="5">
        <f>Assumptions!O31</f>
        <v>9600</v>
      </c>
    </row>
    <row r="8" spans="1:14" ht="15.6">
      <c r="A8" s="28" t="s">
        <v>204</v>
      </c>
      <c r="B8" s="5">
        <f>B7*Assumptions!$C$74</f>
        <v>84000000</v>
      </c>
      <c r="C8" s="5">
        <f>C7*Assumptions!$C$74</f>
        <v>8400000</v>
      </c>
      <c r="D8" s="5">
        <f>D7*Assumptions!$C$74</f>
        <v>11760000.000000002</v>
      </c>
      <c r="E8" s="5">
        <f>E7*Assumptions!$C$74</f>
        <v>11760000.000000002</v>
      </c>
      <c r="F8" s="5">
        <f>F7*Assumptions!$C$74</f>
        <v>10080000</v>
      </c>
      <c r="G8" s="5">
        <f>G7*Assumptions!$C$74</f>
        <v>8400000</v>
      </c>
      <c r="H8" s="5">
        <f>H7*Assumptions!$C$74</f>
        <v>8400000</v>
      </c>
      <c r="I8" s="5">
        <f>I7*Assumptions!$C$74</f>
        <v>2520000</v>
      </c>
      <c r="J8" s="5">
        <f>J7*Assumptions!$C$74</f>
        <v>4200000</v>
      </c>
      <c r="K8" s="5">
        <f>K7*Assumptions!$C$74</f>
        <v>5880000.0000000009</v>
      </c>
      <c r="L8" s="5">
        <f>L7*Assumptions!$C$74</f>
        <v>5880000.0000000009</v>
      </c>
      <c r="M8" s="5">
        <f>M7*Assumptions!$C$74</f>
        <v>4200000</v>
      </c>
      <c r="N8" s="5">
        <f>N7*Assumptions!$C$74</f>
        <v>2520000</v>
      </c>
    </row>
    <row r="9" spans="1:14">
      <c r="A9" s="28"/>
    </row>
    <row r="10" spans="1:14" ht="15.6">
      <c r="A10" s="28" t="s">
        <v>205</v>
      </c>
      <c r="B10" s="5">
        <f>Assumptions!C40</f>
        <v>200000</v>
      </c>
      <c r="C10" s="5">
        <f>Assumptions!D40</f>
        <v>20000</v>
      </c>
      <c r="D10" s="5">
        <f>Assumptions!E40</f>
        <v>28000.000000000004</v>
      </c>
      <c r="E10" s="5">
        <f>Assumptions!F40</f>
        <v>28000.000000000004</v>
      </c>
      <c r="F10" s="5">
        <f>Assumptions!G40</f>
        <v>24000</v>
      </c>
      <c r="G10" s="5">
        <f>Assumptions!H40</f>
        <v>20000</v>
      </c>
      <c r="H10" s="5">
        <f>Assumptions!I40</f>
        <v>20000</v>
      </c>
      <c r="I10" s="5">
        <f>Assumptions!J40</f>
        <v>6000</v>
      </c>
      <c r="J10" s="5">
        <f>Assumptions!K40</f>
        <v>10000</v>
      </c>
      <c r="K10" s="5">
        <f>Assumptions!L40</f>
        <v>14000.000000000002</v>
      </c>
      <c r="L10" s="5">
        <f>Assumptions!M40</f>
        <v>14000.000000000002</v>
      </c>
      <c r="M10" s="5">
        <f>Assumptions!N40</f>
        <v>10000</v>
      </c>
      <c r="N10" s="5">
        <f>Assumptions!O40</f>
        <v>6000</v>
      </c>
    </row>
    <row r="11" spans="1:14" ht="15.6">
      <c r="A11" s="28" t="s">
        <v>206</v>
      </c>
      <c r="B11" s="5">
        <f>Assumptions!C41</f>
        <v>200000</v>
      </c>
      <c r="C11" s="5">
        <f>Assumptions!D41</f>
        <v>20000</v>
      </c>
      <c r="D11" s="5">
        <f>Assumptions!E41</f>
        <v>28000.000000000004</v>
      </c>
      <c r="E11" s="5">
        <f>Assumptions!F41</f>
        <v>28000.000000000004</v>
      </c>
      <c r="F11" s="5">
        <f>Assumptions!G41</f>
        <v>24000</v>
      </c>
      <c r="G11" s="5">
        <f>Assumptions!H41</f>
        <v>20000</v>
      </c>
      <c r="H11" s="5">
        <f>Assumptions!I41</f>
        <v>20000</v>
      </c>
      <c r="I11" s="5">
        <f>Assumptions!J41</f>
        <v>6000</v>
      </c>
      <c r="J11" s="5">
        <f>Assumptions!K41</f>
        <v>10000</v>
      </c>
      <c r="K11" s="5">
        <f>Assumptions!L41</f>
        <v>14000.000000000002</v>
      </c>
      <c r="L11" s="5">
        <f>Assumptions!M41</f>
        <v>14000.000000000002</v>
      </c>
      <c r="M11" s="5">
        <f>Assumptions!N41</f>
        <v>10000</v>
      </c>
      <c r="N11" s="5">
        <f>Assumptions!O41</f>
        <v>6000</v>
      </c>
    </row>
    <row r="12" spans="1:14" ht="15.6">
      <c r="A12" s="28" t="s">
        <v>207</v>
      </c>
    </row>
    <row r="13" spans="1:14">
      <c r="A13" s="27" t="s">
        <v>150</v>
      </c>
      <c r="B13" s="5">
        <f>B10*Assumptions!$C$71+B11*Assumptions!$C$72</f>
        <v>113800000</v>
      </c>
      <c r="C13" s="5">
        <f>C10*Assumptions!$C$71+C11*Assumptions!$C$72</f>
        <v>11380000</v>
      </c>
      <c r="D13" s="5">
        <f>D10*Assumptions!$C$71+D11*Assumptions!$C$72</f>
        <v>15932000.000000002</v>
      </c>
      <c r="E13" s="5">
        <f>E10*Assumptions!$C$71+E11*Assumptions!$C$72</f>
        <v>15932000.000000002</v>
      </c>
      <c r="F13" s="5">
        <f>F10*Assumptions!$C$71+F11*Assumptions!$C$72</f>
        <v>13656000</v>
      </c>
      <c r="G13" s="5">
        <f>G10*Assumptions!$C$71+G11*Assumptions!$C$72</f>
        <v>11380000</v>
      </c>
      <c r="H13" s="5">
        <f>H10*Assumptions!$C$71+H11*Assumptions!$C$72</f>
        <v>11380000</v>
      </c>
      <c r="I13" s="5">
        <f>I10*Assumptions!$C$71+I11*Assumptions!$C$72</f>
        <v>3414000</v>
      </c>
      <c r="J13" s="5">
        <f>J10*Assumptions!$C$71+J11*Assumptions!$C$72</f>
        <v>5690000</v>
      </c>
      <c r="K13" s="5">
        <f>K10*Assumptions!$C$71+K11*Assumptions!$C$72</f>
        <v>7966000.0000000009</v>
      </c>
      <c r="L13" s="5">
        <f>L10*Assumptions!$C$71+L11*Assumptions!$C$72</f>
        <v>7966000.0000000009</v>
      </c>
      <c r="M13" s="5">
        <f>M10*Assumptions!$C$71+M11*Assumptions!$C$72</f>
        <v>5690000</v>
      </c>
      <c r="N13" s="5">
        <f>N10*Assumptions!$C$71+N11*Assumptions!$C$72</f>
        <v>3414000</v>
      </c>
    </row>
    <row r="14" spans="1:14">
      <c r="A14" s="27" t="s">
        <v>151</v>
      </c>
      <c r="B14" s="5">
        <f>B10*Assumptions!$D$71+B11*Assumptions!$D$72</f>
        <v>116400000</v>
      </c>
      <c r="C14" s="5">
        <f>C10*Assumptions!$D$71+C11*Assumptions!$D$72</f>
        <v>11640000</v>
      </c>
      <c r="D14" s="5">
        <f>D10*Assumptions!$D$71+D11*Assumptions!$D$72</f>
        <v>16296000.000000002</v>
      </c>
      <c r="E14" s="5">
        <f>E10*Assumptions!$D$71+E11*Assumptions!$D$72</f>
        <v>16296000.000000002</v>
      </c>
      <c r="F14" s="5">
        <f>F10*Assumptions!$D$71+F11*Assumptions!$D$72</f>
        <v>13968000</v>
      </c>
      <c r="G14" s="5">
        <f>G10*Assumptions!$D$71+G11*Assumptions!$D$72</f>
        <v>11640000</v>
      </c>
      <c r="H14" s="5">
        <f>H10*Assumptions!$D$71+H11*Assumptions!$D$72</f>
        <v>11640000</v>
      </c>
      <c r="I14" s="5">
        <f>I10*Assumptions!$D$71+I11*Assumptions!$D$72</f>
        <v>3492000</v>
      </c>
      <c r="J14" s="5">
        <f>J10*Assumptions!$D$71+J11*Assumptions!$D$72</f>
        <v>5820000</v>
      </c>
      <c r="K14" s="5">
        <f>K10*Assumptions!$D$71+K11*Assumptions!$D$72</f>
        <v>8148000.0000000009</v>
      </c>
      <c r="L14" s="5">
        <f>L10*Assumptions!$D$71+L11*Assumptions!$D$72</f>
        <v>8148000.0000000009</v>
      </c>
      <c r="M14" s="5">
        <f>M10*Assumptions!$D$71+M11*Assumptions!$D$72</f>
        <v>5820000</v>
      </c>
      <c r="N14" s="5">
        <f>N10*Assumptions!$D$71+N11*Assumptions!$D$72</f>
        <v>3492000</v>
      </c>
    </row>
    <row r="15" spans="1:14">
      <c r="A15" s="27" t="s">
        <v>152</v>
      </c>
      <c r="B15" s="5">
        <f>B10*Assumptions!$E$71+B11*Assumptions!$E$72</f>
        <v>118200000</v>
      </c>
      <c r="C15" s="5">
        <f>C10*Assumptions!$E$71+C11*Assumptions!$E$72</f>
        <v>11820000</v>
      </c>
      <c r="D15" s="5">
        <f>D10*Assumptions!$E$71+D11*Assumptions!$E$72</f>
        <v>16548000.000000004</v>
      </c>
      <c r="E15" s="5">
        <f>E10*Assumptions!$E$71+E11*Assumptions!$E$72</f>
        <v>16548000.000000004</v>
      </c>
      <c r="F15" s="5">
        <f>F10*Assumptions!$E$71+F11*Assumptions!$E$72</f>
        <v>14184000</v>
      </c>
      <c r="G15" s="5">
        <f>G10*Assumptions!$E$71+G11*Assumptions!$E$72</f>
        <v>11820000</v>
      </c>
      <c r="H15" s="5">
        <f>H10*Assumptions!$E$71+H11*Assumptions!$E$72</f>
        <v>11820000</v>
      </c>
      <c r="I15" s="5">
        <f>I10*Assumptions!$E$71+I11*Assumptions!$E$72</f>
        <v>3546000</v>
      </c>
      <c r="J15" s="5">
        <f>J10*Assumptions!$E$71+J11*Assumptions!$E$72</f>
        <v>5910000</v>
      </c>
      <c r="K15" s="5">
        <f>K10*Assumptions!$E$71+K11*Assumptions!$E$72</f>
        <v>8274000.0000000019</v>
      </c>
      <c r="L15" s="5">
        <f>L10*Assumptions!$E$71+L11*Assumptions!$E$72</f>
        <v>8274000.0000000019</v>
      </c>
      <c r="M15" s="5">
        <f>M10*Assumptions!$E$71+M11*Assumptions!$E$72</f>
        <v>5910000</v>
      </c>
      <c r="N15" s="5">
        <f>N10*Assumptions!$E$71+N11*Assumptions!$E$72</f>
        <v>3546000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34" sqref="A34"/>
    </sheetView>
  </sheetViews>
  <sheetFormatPr defaultRowHeight="14.4"/>
  <cols>
    <col min="1" max="1" width="45.33203125" style="5" customWidth="1"/>
    <col min="2" max="14" width="11.77734375" style="5" customWidth="1"/>
    <col min="15" max="16384" width="8.88671875" style="5"/>
  </cols>
  <sheetData>
    <row r="1" spans="1:14" ht="18">
      <c r="A1" s="29" t="s">
        <v>208</v>
      </c>
    </row>
    <row r="2" spans="1:14" ht="15.6">
      <c r="A2" s="30"/>
      <c r="B2" s="1" t="s">
        <v>75</v>
      </c>
      <c r="C2" s="1" t="s">
        <v>129</v>
      </c>
      <c r="D2" s="1" t="s">
        <v>130</v>
      </c>
      <c r="E2" s="1" t="s">
        <v>131</v>
      </c>
      <c r="F2" s="1" t="s">
        <v>132</v>
      </c>
      <c r="G2" s="1" t="s">
        <v>133</v>
      </c>
      <c r="H2" s="1" t="s">
        <v>134</v>
      </c>
      <c r="I2" s="1" t="s">
        <v>135</v>
      </c>
      <c r="J2" s="1" t="s">
        <v>136</v>
      </c>
      <c r="K2" s="1" t="s">
        <v>137</v>
      </c>
      <c r="L2" s="1" t="s">
        <v>138</v>
      </c>
      <c r="M2" s="1" t="s">
        <v>139</v>
      </c>
      <c r="N2" s="1" t="s">
        <v>140</v>
      </c>
    </row>
    <row r="3" spans="1:14" ht="15.6">
      <c r="A3" s="28" t="s">
        <v>209</v>
      </c>
      <c r="B3" s="5">
        <f>Assumptions!C34</f>
        <v>288000</v>
      </c>
      <c r="C3" s="5">
        <f>Assumptions!D34</f>
        <v>28800</v>
      </c>
      <c r="D3" s="5">
        <f>Assumptions!E34</f>
        <v>40320.000000000007</v>
      </c>
      <c r="E3" s="5">
        <f>Assumptions!F34</f>
        <v>40320.000000000007</v>
      </c>
      <c r="F3" s="5">
        <f>Assumptions!G34</f>
        <v>34560</v>
      </c>
      <c r="G3" s="5">
        <f>Assumptions!H34</f>
        <v>28800</v>
      </c>
      <c r="H3" s="5">
        <f>Assumptions!I34</f>
        <v>28800</v>
      </c>
      <c r="I3" s="5">
        <f>Assumptions!J34</f>
        <v>8640</v>
      </c>
      <c r="J3" s="5">
        <f>Assumptions!K34</f>
        <v>14400</v>
      </c>
      <c r="K3" s="5">
        <f>Assumptions!L34</f>
        <v>20160.000000000004</v>
      </c>
      <c r="L3" s="5">
        <f>Assumptions!M34</f>
        <v>20160.000000000004</v>
      </c>
      <c r="M3" s="5">
        <f>Assumptions!N34</f>
        <v>14400</v>
      </c>
      <c r="N3" s="5">
        <f>Assumptions!O34</f>
        <v>8640</v>
      </c>
    </row>
    <row r="4" spans="1:14">
      <c r="A4" s="28" t="s">
        <v>211</v>
      </c>
      <c r="B4" s="5">
        <f>B3*Assumptions!$B$36*Assumptions!$D$60</f>
        <v>3024000</v>
      </c>
      <c r="C4" s="5">
        <f>C3*Assumptions!$B$36*Assumptions!$D$60</f>
        <v>302400</v>
      </c>
      <c r="D4" s="5">
        <f>D3*Assumptions!$B$36*Assumptions!$D$60</f>
        <v>423360.00000000006</v>
      </c>
      <c r="E4" s="5">
        <f>E3*Assumptions!$B$36*Assumptions!$D$60</f>
        <v>423360.00000000006</v>
      </c>
      <c r="F4" s="5">
        <f>F3*Assumptions!$B$36*Assumptions!$D$60</f>
        <v>362880</v>
      </c>
      <c r="G4" s="5">
        <f>G3*Assumptions!$B$36*Assumptions!$D$60</f>
        <v>302400</v>
      </c>
      <c r="H4" s="5">
        <f>H3*Assumptions!$B$36*Assumptions!$D$60</f>
        <v>302400</v>
      </c>
      <c r="I4" s="5">
        <f>I3*Assumptions!$B$36*Assumptions!$D$60</f>
        <v>90720</v>
      </c>
      <c r="J4" s="5">
        <f>J3*Assumptions!$B$36*Assumptions!$D$60</f>
        <v>151200</v>
      </c>
      <c r="K4" s="5">
        <f>K3*Assumptions!$B$36*Assumptions!$D$60</f>
        <v>211680.00000000003</v>
      </c>
      <c r="L4" s="5">
        <f>L3*Assumptions!$B$36*Assumptions!$D$60</f>
        <v>211680.00000000003</v>
      </c>
      <c r="M4" s="5">
        <f>M3*Assumptions!$B$36*Assumptions!$D$60</f>
        <v>151200</v>
      </c>
      <c r="N4" s="5">
        <f>N3*Assumptions!$B$36*Assumptions!$D$60</f>
        <v>90720</v>
      </c>
    </row>
    <row r="5" spans="1:14">
      <c r="A5" s="28" t="s">
        <v>212</v>
      </c>
      <c r="B5" s="5">
        <f>B3*Assumptions!$B$37*Assumptions!$D$61</f>
        <v>3456000</v>
      </c>
      <c r="C5" s="5">
        <f>C3*Assumptions!$B$37*Assumptions!$D$61</f>
        <v>345600</v>
      </c>
      <c r="D5" s="5">
        <f>D3*Assumptions!$B$37*Assumptions!$D$61</f>
        <v>483840.00000000006</v>
      </c>
      <c r="E5" s="5">
        <f>E3*Assumptions!$B$37*Assumptions!$D$61</f>
        <v>483840.00000000006</v>
      </c>
      <c r="F5" s="5">
        <f>F3*Assumptions!$B$37*Assumptions!$D$61</f>
        <v>414720</v>
      </c>
      <c r="G5" s="5">
        <f>G3*Assumptions!$B$37*Assumptions!$D$61</f>
        <v>345600</v>
      </c>
      <c r="H5" s="5">
        <f>H3*Assumptions!$B$37*Assumptions!$D$61</f>
        <v>345600</v>
      </c>
      <c r="I5" s="5">
        <f>I3*Assumptions!$B$37*Assumptions!$D$61</f>
        <v>103680</v>
      </c>
      <c r="J5" s="5">
        <f>J3*Assumptions!$B$37*Assumptions!$D$61</f>
        <v>172800</v>
      </c>
      <c r="K5" s="5">
        <f>K3*Assumptions!$B$37*Assumptions!$D$61</f>
        <v>241920.00000000003</v>
      </c>
      <c r="L5" s="5">
        <f>L3*Assumptions!$B$37*Assumptions!$D$61</f>
        <v>241920.00000000003</v>
      </c>
      <c r="M5" s="5">
        <f>M3*Assumptions!$B$37*Assumptions!$D$61</f>
        <v>172800</v>
      </c>
      <c r="N5" s="5">
        <f>N3*Assumptions!$B$37*Assumptions!$D$61</f>
        <v>103680</v>
      </c>
    </row>
    <row r="6" spans="1:14">
      <c r="A6" s="28" t="s">
        <v>213</v>
      </c>
      <c r="B6" s="5">
        <f>B33</f>
        <v>114524.44444444447</v>
      </c>
      <c r="C6" s="5">
        <f t="shared" ref="C6:N6" si="0">C33</f>
        <v>14920.63492063492</v>
      </c>
      <c r="D6" s="5">
        <f t="shared" si="0"/>
        <v>22920.634920634926</v>
      </c>
      <c r="E6" s="5">
        <f t="shared" si="0"/>
        <v>17841.269841269845</v>
      </c>
      <c r="F6" s="5">
        <f t="shared" si="0"/>
        <v>13841.269841269841</v>
      </c>
      <c r="G6" s="5">
        <f t="shared" si="0"/>
        <v>9841.269841269841</v>
      </c>
      <c r="H6" s="5">
        <f t="shared" si="0"/>
        <v>9841.269841269841</v>
      </c>
      <c r="I6" s="5">
        <f t="shared" si="0"/>
        <v>2531.8095238095239</v>
      </c>
      <c r="J6" s="5">
        <f t="shared" si="0"/>
        <v>4219.6825396825398</v>
      </c>
      <c r="K6" s="5">
        <f t="shared" si="0"/>
        <v>5907.5555555555566</v>
      </c>
      <c r="L6" s="5">
        <f t="shared" si="0"/>
        <v>5907.5555555555566</v>
      </c>
      <c r="M6" s="5">
        <f t="shared" si="0"/>
        <v>4219.6825396825398</v>
      </c>
      <c r="N6" s="5">
        <f t="shared" si="0"/>
        <v>2531.8095238095239</v>
      </c>
    </row>
    <row r="7" spans="1:14" ht="15.6">
      <c r="A7" s="28" t="s">
        <v>214</v>
      </c>
      <c r="B7" s="40">
        <f>B5+B4+B6</f>
        <v>6594524.444444444</v>
      </c>
      <c r="C7" s="5">
        <f>C5+C4+C6</f>
        <v>662920.63492063491</v>
      </c>
      <c r="D7" s="5">
        <f t="shared" ref="D7:N7" si="1">D5+D4</f>
        <v>907200.00000000012</v>
      </c>
      <c r="E7" s="5">
        <f t="shared" si="1"/>
        <v>907200.00000000012</v>
      </c>
      <c r="F7" s="5">
        <f t="shared" si="1"/>
        <v>777600</v>
      </c>
      <c r="G7" s="5">
        <f t="shared" si="1"/>
        <v>648000</v>
      </c>
      <c r="H7" s="5">
        <f t="shared" si="1"/>
        <v>648000</v>
      </c>
      <c r="I7" s="5">
        <f t="shared" si="1"/>
        <v>194400</v>
      </c>
      <c r="J7" s="5">
        <f t="shared" si="1"/>
        <v>324000</v>
      </c>
      <c r="K7" s="5">
        <f t="shared" si="1"/>
        <v>453600.00000000006</v>
      </c>
      <c r="L7" s="5">
        <f t="shared" si="1"/>
        <v>453600.00000000006</v>
      </c>
      <c r="M7" s="5">
        <f t="shared" si="1"/>
        <v>324000</v>
      </c>
      <c r="N7" s="5">
        <f t="shared" si="1"/>
        <v>194400</v>
      </c>
    </row>
    <row r="9" spans="1:14" ht="15.6">
      <c r="A9" s="28" t="s">
        <v>210</v>
      </c>
      <c r="B9" s="5">
        <f>Assumptions!C31</f>
        <v>320000</v>
      </c>
      <c r="C9" s="5">
        <f>Assumptions!D31</f>
        <v>32000</v>
      </c>
      <c r="D9" s="5">
        <f>Assumptions!E31</f>
        <v>44800.000000000007</v>
      </c>
      <c r="E9" s="5">
        <f>Assumptions!F31</f>
        <v>44800.000000000007</v>
      </c>
      <c r="F9" s="5">
        <f>Assumptions!G31</f>
        <v>38400</v>
      </c>
      <c r="G9" s="5">
        <f>Assumptions!H31</f>
        <v>32000</v>
      </c>
      <c r="H9" s="5">
        <f>Assumptions!I31</f>
        <v>32000</v>
      </c>
      <c r="I9" s="5">
        <f>Assumptions!J31</f>
        <v>9600</v>
      </c>
      <c r="J9" s="5">
        <f>Assumptions!K31</f>
        <v>16000</v>
      </c>
      <c r="K9" s="5">
        <f>Assumptions!L31</f>
        <v>22400.000000000004</v>
      </c>
      <c r="L9" s="5">
        <f>Assumptions!M31</f>
        <v>22400.000000000004</v>
      </c>
      <c r="M9" s="5">
        <f>Assumptions!N31</f>
        <v>16000</v>
      </c>
      <c r="N9" s="5">
        <f>Assumptions!O31</f>
        <v>9600</v>
      </c>
    </row>
    <row r="10" spans="1:14">
      <c r="A10" s="28" t="s">
        <v>5</v>
      </c>
      <c r="B10" s="5">
        <f>B9*Assumptions!$B$40*Assumptions!$D$56</f>
        <v>4480000</v>
      </c>
      <c r="C10" s="5">
        <f>C9*Assumptions!$B$40*Assumptions!$D$56</f>
        <v>448000</v>
      </c>
      <c r="D10" s="5">
        <f>D9*Assumptions!$B$40*Assumptions!$D$56</f>
        <v>627200.00000000012</v>
      </c>
      <c r="E10" s="5">
        <f>E9*Assumptions!$B$40*Assumptions!$D$56</f>
        <v>627200.00000000012</v>
      </c>
      <c r="F10" s="5">
        <f>F9*Assumptions!$B$40*Assumptions!$D$56</f>
        <v>537600</v>
      </c>
      <c r="G10" s="5">
        <f>G9*Assumptions!$B$40*Assumptions!$D$56</f>
        <v>448000</v>
      </c>
      <c r="H10" s="5">
        <f>H9*Assumptions!$B$40*Assumptions!$D$56</f>
        <v>448000</v>
      </c>
      <c r="I10" s="5">
        <f>I9*Assumptions!$B$40*Assumptions!$D$56</f>
        <v>134400</v>
      </c>
      <c r="J10" s="5">
        <f>J9*Assumptions!$B$40*Assumptions!$D$56</f>
        <v>224000</v>
      </c>
      <c r="K10" s="5">
        <f>K9*Assumptions!$B$40*Assumptions!$D$56</f>
        <v>313600.00000000006</v>
      </c>
      <c r="L10" s="5">
        <f>L9*Assumptions!$B$40*Assumptions!$D$56</f>
        <v>313600.00000000006</v>
      </c>
      <c r="M10" s="5">
        <f>M9*Assumptions!$B$40*Assumptions!$D$56</f>
        <v>224000</v>
      </c>
      <c r="N10" s="5">
        <f>N9*Assumptions!$B$40*Assumptions!$D$56</f>
        <v>134400</v>
      </c>
    </row>
    <row r="11" spans="1:14">
      <c r="A11" s="28" t="s">
        <v>4</v>
      </c>
      <c r="B11" s="5">
        <f>B9*Assumptions!$B$41*Assumptions!$D$57</f>
        <v>2720000</v>
      </c>
      <c r="C11" s="5">
        <f>C9*Assumptions!$B$41*Assumptions!$D$57</f>
        <v>272000</v>
      </c>
      <c r="D11" s="5">
        <f>D9*Assumptions!$B$41*Assumptions!$D$57</f>
        <v>380800.00000000006</v>
      </c>
      <c r="E11" s="5">
        <f>E9*Assumptions!$B$41*Assumptions!$D$57</f>
        <v>380800.00000000006</v>
      </c>
      <c r="F11" s="5">
        <f>F9*Assumptions!$B$41*Assumptions!$D$57</f>
        <v>326400</v>
      </c>
      <c r="G11" s="5">
        <f>G9*Assumptions!$B$41*Assumptions!$D$57</f>
        <v>272000</v>
      </c>
      <c r="H11" s="5">
        <f>H9*Assumptions!$B$41*Assumptions!$D$57</f>
        <v>272000</v>
      </c>
      <c r="I11" s="5">
        <f>I9*Assumptions!$B$41*Assumptions!$D$57</f>
        <v>81600</v>
      </c>
      <c r="J11" s="5">
        <f>J9*Assumptions!$B$41*Assumptions!$D$57</f>
        <v>136000</v>
      </c>
      <c r="K11" s="5">
        <f>K9*Assumptions!$B$41*Assumptions!$D$57</f>
        <v>190400.00000000003</v>
      </c>
      <c r="L11" s="5">
        <f>L9*Assumptions!$B$41*Assumptions!$D$57</f>
        <v>190400.00000000003</v>
      </c>
      <c r="M11" s="5">
        <f>M9*Assumptions!$B$41*Assumptions!$D$57</f>
        <v>136000</v>
      </c>
      <c r="N11" s="5">
        <f>N9*Assumptions!$B$41*Assumptions!$D$57</f>
        <v>81600</v>
      </c>
    </row>
    <row r="12" spans="1:14" ht="15.6">
      <c r="A12" s="28" t="s">
        <v>216</v>
      </c>
      <c r="B12" s="40">
        <f>B11+B10</f>
        <v>7200000</v>
      </c>
      <c r="C12" s="5">
        <f>C11+C10</f>
        <v>720000</v>
      </c>
      <c r="D12" s="5">
        <f t="shared" ref="D12:N12" si="2">D11+D10</f>
        <v>1008000.0000000002</v>
      </c>
      <c r="E12" s="5">
        <f t="shared" si="2"/>
        <v>1008000.0000000002</v>
      </c>
      <c r="F12" s="5">
        <f t="shared" si="2"/>
        <v>864000</v>
      </c>
      <c r="G12" s="5">
        <f t="shared" si="2"/>
        <v>720000</v>
      </c>
      <c r="H12" s="5">
        <f t="shared" si="2"/>
        <v>720000</v>
      </c>
      <c r="I12" s="5">
        <f t="shared" si="2"/>
        <v>216000</v>
      </c>
      <c r="J12" s="5">
        <f t="shared" si="2"/>
        <v>360000</v>
      </c>
      <c r="K12" s="5">
        <f t="shared" si="2"/>
        <v>504000.00000000012</v>
      </c>
      <c r="L12" s="5">
        <f t="shared" si="2"/>
        <v>504000.00000000012</v>
      </c>
      <c r="M12" s="5">
        <f t="shared" si="2"/>
        <v>360000</v>
      </c>
      <c r="N12" s="5">
        <f t="shared" si="2"/>
        <v>216000</v>
      </c>
    </row>
    <row r="13" spans="1:14">
      <c r="A13" s="28"/>
    </row>
    <row r="14" spans="1:14" ht="15.6">
      <c r="A14" s="28" t="s">
        <v>205</v>
      </c>
      <c r="B14" s="5">
        <f>Assumptions!C40</f>
        <v>200000</v>
      </c>
      <c r="C14" s="5">
        <f>Assumptions!D40</f>
        <v>20000</v>
      </c>
      <c r="D14" s="5">
        <f>Assumptions!E40</f>
        <v>28000.000000000004</v>
      </c>
      <c r="E14" s="5">
        <f>Assumptions!F40</f>
        <v>28000.000000000004</v>
      </c>
      <c r="F14" s="5">
        <f>Assumptions!G40</f>
        <v>24000</v>
      </c>
      <c r="G14" s="5">
        <f>Assumptions!H40</f>
        <v>20000</v>
      </c>
      <c r="H14" s="5">
        <f>Assumptions!I40</f>
        <v>20000</v>
      </c>
      <c r="I14" s="5">
        <f>Assumptions!J40</f>
        <v>6000</v>
      </c>
      <c r="J14" s="5">
        <f>Assumptions!K40</f>
        <v>10000</v>
      </c>
      <c r="K14" s="5">
        <f>Assumptions!L40</f>
        <v>14000.000000000002</v>
      </c>
      <c r="L14" s="5">
        <f>Assumptions!M40</f>
        <v>14000.000000000002</v>
      </c>
      <c r="M14" s="5">
        <f>Assumptions!N40</f>
        <v>10000</v>
      </c>
      <c r="N14" s="5">
        <f>Assumptions!O40</f>
        <v>6000</v>
      </c>
    </row>
    <row r="15" spans="1:14" ht="15.6">
      <c r="A15" s="28" t="s">
        <v>206</v>
      </c>
      <c r="B15" s="5">
        <f>Assumptions!C41</f>
        <v>200000</v>
      </c>
      <c r="C15" s="5">
        <f>Assumptions!D41</f>
        <v>20000</v>
      </c>
      <c r="D15" s="5">
        <f>Assumptions!E41</f>
        <v>28000.000000000004</v>
      </c>
      <c r="E15" s="5">
        <f>Assumptions!F41</f>
        <v>28000.000000000004</v>
      </c>
      <c r="F15" s="5">
        <f>Assumptions!G41</f>
        <v>24000</v>
      </c>
      <c r="G15" s="5">
        <f>Assumptions!H41</f>
        <v>20000</v>
      </c>
      <c r="H15" s="5">
        <f>Assumptions!I41</f>
        <v>20000</v>
      </c>
      <c r="I15" s="5">
        <f>Assumptions!J41</f>
        <v>6000</v>
      </c>
      <c r="J15" s="5">
        <f>Assumptions!K41</f>
        <v>10000</v>
      </c>
      <c r="K15" s="5">
        <f>Assumptions!L41</f>
        <v>14000.000000000002</v>
      </c>
      <c r="L15" s="5">
        <f>Assumptions!M41</f>
        <v>14000.000000000002</v>
      </c>
      <c r="M15" s="5">
        <f>Assumptions!N41</f>
        <v>10000</v>
      </c>
      <c r="N15" s="5">
        <f>Assumptions!O41</f>
        <v>6000</v>
      </c>
    </row>
    <row r="16" spans="1:14">
      <c r="A16" s="28" t="s">
        <v>217</v>
      </c>
      <c r="B16" s="5">
        <f>B14*Assumptions!$D$54</f>
        <v>3200000</v>
      </c>
      <c r="C16" s="5">
        <f>C14*Assumptions!$D$54</f>
        <v>320000</v>
      </c>
      <c r="D16" s="5">
        <f>D14*Assumptions!$D$54</f>
        <v>448000.00000000006</v>
      </c>
      <c r="E16" s="5">
        <f>E14*Assumptions!$D$54</f>
        <v>448000.00000000006</v>
      </c>
      <c r="F16" s="5">
        <f>F14*Assumptions!$D$54</f>
        <v>384000</v>
      </c>
      <c r="G16" s="5">
        <f>G14*Assumptions!$D$54</f>
        <v>320000</v>
      </c>
      <c r="H16" s="5">
        <f>H14*Assumptions!$D$54</f>
        <v>320000</v>
      </c>
      <c r="I16" s="5">
        <f>I14*Assumptions!$D$54</f>
        <v>96000</v>
      </c>
      <c r="J16" s="5">
        <f>J14*Assumptions!$D$54</f>
        <v>160000</v>
      </c>
      <c r="K16" s="5">
        <f>K14*Assumptions!$D$54</f>
        <v>224000.00000000003</v>
      </c>
      <c r="L16" s="5">
        <f>L14*Assumptions!$D$54</f>
        <v>224000.00000000003</v>
      </c>
      <c r="M16" s="5">
        <f>M14*Assumptions!$D$54</f>
        <v>160000</v>
      </c>
      <c r="N16" s="5">
        <f>N14*Assumptions!$D$54</f>
        <v>96000</v>
      </c>
    </row>
    <row r="17" spans="1:14">
      <c r="A17" s="28" t="s">
        <v>218</v>
      </c>
      <c r="B17" s="5">
        <f>B15*Assumptions!$D$55</f>
        <v>4000000</v>
      </c>
      <c r="C17" s="5">
        <f>C15*Assumptions!$D$55</f>
        <v>400000</v>
      </c>
      <c r="D17" s="5">
        <f>D15*Assumptions!$D$55</f>
        <v>560000.00000000012</v>
      </c>
      <c r="E17" s="5">
        <f>E15*Assumptions!$D$55</f>
        <v>560000.00000000012</v>
      </c>
      <c r="F17" s="5">
        <f>F15*Assumptions!$D$55</f>
        <v>480000</v>
      </c>
      <c r="G17" s="5">
        <f>G15*Assumptions!$D$55</f>
        <v>400000</v>
      </c>
      <c r="H17" s="5">
        <f>H15*Assumptions!$D$55</f>
        <v>400000</v>
      </c>
      <c r="I17" s="5">
        <f>I15*Assumptions!$D$55</f>
        <v>120000</v>
      </c>
      <c r="J17" s="5">
        <f>J15*Assumptions!$D$55</f>
        <v>200000</v>
      </c>
      <c r="K17" s="5">
        <f>K15*Assumptions!$D$55</f>
        <v>280000.00000000006</v>
      </c>
      <c r="L17" s="5">
        <f>L15*Assumptions!$D$55</f>
        <v>280000.00000000006</v>
      </c>
      <c r="M17" s="5">
        <f>M15*Assumptions!$D$55</f>
        <v>200000</v>
      </c>
      <c r="N17" s="5">
        <f>N15*Assumptions!$D$55</f>
        <v>120000</v>
      </c>
    </row>
    <row r="18" spans="1:14">
      <c r="A18" s="28" t="s">
        <v>219</v>
      </c>
      <c r="B18" s="5">
        <f>(B14*Assumptions!$B$76+B15*Assumptions!$B$77)*Assumptions!$B$78</f>
        <v>240000</v>
      </c>
      <c r="C18" s="5">
        <f>(C14*Assumptions!$B$76+C15*Assumptions!$B$77)*Assumptions!$B$78</f>
        <v>24000</v>
      </c>
      <c r="D18" s="5">
        <f>(D14*Assumptions!$B$76+D15*Assumptions!$B$77)*Assumptions!$B$78</f>
        <v>33600.000000000007</v>
      </c>
      <c r="E18" s="5">
        <f>(E14*Assumptions!$B$76+E15*Assumptions!$B$77)*Assumptions!$B$78</f>
        <v>33600.000000000007</v>
      </c>
      <c r="F18" s="5">
        <f>(F14*Assumptions!$B$76+F15*Assumptions!$B$77)*Assumptions!$B$78</f>
        <v>28800</v>
      </c>
      <c r="G18" s="5">
        <f>(G14*Assumptions!$B$76+G15*Assumptions!$B$77)*Assumptions!$B$78</f>
        <v>24000</v>
      </c>
      <c r="H18" s="5">
        <f>(H14*Assumptions!$B$76+H15*Assumptions!$B$77)*Assumptions!$B$78</f>
        <v>24000</v>
      </c>
      <c r="I18" s="5">
        <f>(I14*Assumptions!$B$76+I15*Assumptions!$B$77)*Assumptions!$B$78</f>
        <v>7200</v>
      </c>
      <c r="J18" s="5">
        <f>(J14*Assumptions!$B$76+J15*Assumptions!$B$77)*Assumptions!$B$78</f>
        <v>12000</v>
      </c>
      <c r="K18" s="5">
        <f>(K14*Assumptions!$B$76+K15*Assumptions!$B$77)*Assumptions!$B$78</f>
        <v>16800.000000000004</v>
      </c>
      <c r="L18" s="5">
        <f>(L14*Assumptions!$B$76+L15*Assumptions!$B$77)*Assumptions!$B$78</f>
        <v>16800.000000000004</v>
      </c>
      <c r="M18" s="5">
        <f>(M14*Assumptions!$B$76+M15*Assumptions!$B$77)*Assumptions!$B$78</f>
        <v>12000</v>
      </c>
      <c r="N18" s="5">
        <f>(N14*Assumptions!$B$76+N15*Assumptions!$B$77)*Assumptions!$B$78</f>
        <v>7200</v>
      </c>
    </row>
    <row r="19" spans="1:14">
      <c r="A19" s="28" t="s">
        <v>220</v>
      </c>
      <c r="B19" s="5">
        <f>(B16+B17)*Assumptions!$B$75</f>
        <v>720000</v>
      </c>
      <c r="C19" s="5">
        <f>(C16+C17)*Assumptions!$B$75</f>
        <v>72000</v>
      </c>
      <c r="D19" s="5">
        <f>(D16+D17)*Assumptions!$B$75</f>
        <v>100800.00000000003</v>
      </c>
      <c r="E19" s="5">
        <f>(E16+E17)*Assumptions!$B$75</f>
        <v>100800.00000000003</v>
      </c>
      <c r="F19" s="5">
        <f>(F16+F17)*Assumptions!$B$75</f>
        <v>86400</v>
      </c>
      <c r="G19" s="5">
        <f>(G16+G17)*Assumptions!$B$75</f>
        <v>72000</v>
      </c>
      <c r="H19" s="5">
        <f>(H16+H17)*Assumptions!$B$75</f>
        <v>72000</v>
      </c>
      <c r="I19" s="5">
        <f>(I16+I17)*Assumptions!$B$75</f>
        <v>21600</v>
      </c>
      <c r="J19" s="5">
        <f>(J16+J17)*Assumptions!$B$75</f>
        <v>36000</v>
      </c>
      <c r="K19" s="5">
        <f>(K16+K17)*Assumptions!$B$75</f>
        <v>50400.000000000015</v>
      </c>
      <c r="L19" s="5">
        <f>(L16+L17)*Assumptions!$B$75</f>
        <v>50400.000000000015</v>
      </c>
      <c r="M19" s="5">
        <f>(M16+M17)*Assumptions!$B$75</f>
        <v>36000</v>
      </c>
      <c r="N19" s="5">
        <f>(N16+N17)*Assumptions!$B$75</f>
        <v>21600</v>
      </c>
    </row>
    <row r="20" spans="1:14" ht="15.6">
      <c r="A20" s="28" t="s">
        <v>215</v>
      </c>
      <c r="B20" s="40">
        <f t="shared" ref="B20:N20" si="3">SUM(B16:B19)</f>
        <v>8160000</v>
      </c>
      <c r="C20" s="5">
        <f t="shared" si="3"/>
        <v>816000</v>
      </c>
      <c r="D20" s="5">
        <f t="shared" si="3"/>
        <v>1142400.0000000002</v>
      </c>
      <c r="E20" s="5">
        <f t="shared" si="3"/>
        <v>1142400.0000000002</v>
      </c>
      <c r="F20" s="5">
        <f t="shared" si="3"/>
        <v>979200</v>
      </c>
      <c r="G20" s="5">
        <f t="shared" si="3"/>
        <v>816000</v>
      </c>
      <c r="H20" s="5">
        <f t="shared" si="3"/>
        <v>816000</v>
      </c>
      <c r="I20" s="5">
        <f t="shared" si="3"/>
        <v>244800</v>
      </c>
      <c r="J20" s="5">
        <f t="shared" si="3"/>
        <v>408000</v>
      </c>
      <c r="K20" s="5">
        <f t="shared" si="3"/>
        <v>571200.00000000012</v>
      </c>
      <c r="L20" s="5">
        <f t="shared" si="3"/>
        <v>571200.00000000012</v>
      </c>
      <c r="M20" s="5">
        <f t="shared" si="3"/>
        <v>408000</v>
      </c>
      <c r="N20" s="5">
        <f t="shared" si="3"/>
        <v>244800</v>
      </c>
    </row>
    <row r="22" spans="1:14" ht="18">
      <c r="A22" s="29" t="s">
        <v>221</v>
      </c>
      <c r="B22" s="30" t="s">
        <v>190</v>
      </c>
    </row>
    <row r="23" spans="1:14" ht="28.8">
      <c r="A23" s="28" t="s">
        <v>222</v>
      </c>
      <c r="B23" s="1" t="s">
        <v>75</v>
      </c>
      <c r="C23" s="1" t="s">
        <v>129</v>
      </c>
      <c r="D23" s="1" t="s">
        <v>130</v>
      </c>
      <c r="E23" s="1" t="s">
        <v>131</v>
      </c>
      <c r="F23" s="1" t="s">
        <v>132</v>
      </c>
      <c r="G23" s="1" t="s">
        <v>133</v>
      </c>
      <c r="H23" s="1" t="s">
        <v>134</v>
      </c>
      <c r="I23" s="1" t="s">
        <v>135</v>
      </c>
      <c r="J23" s="1" t="s">
        <v>136</v>
      </c>
      <c r="K23" s="1" t="s">
        <v>137</v>
      </c>
      <c r="L23" s="1" t="s">
        <v>138</v>
      </c>
      <c r="M23" s="1" t="s">
        <v>139</v>
      </c>
      <c r="N23" s="1" t="s">
        <v>140</v>
      </c>
    </row>
    <row r="24" spans="1:14">
      <c r="A24" s="60" t="s">
        <v>150</v>
      </c>
      <c r="C24" s="5">
        <f>(Financing!C28/Assumptions!$B$90)/Assumptions!$C$74</f>
        <v>10158.730158730159</v>
      </c>
      <c r="D24" s="5">
        <f>(Financing!D28/Assumptions!$B$90)/Assumptions!$C$74</f>
        <v>10158.730158730159</v>
      </c>
      <c r="E24" s="5">
        <f>(Financing!E28/Assumptions!$B$90)/Assumptions!$C$74</f>
        <v>20317.460317460318</v>
      </c>
      <c r="F24" s="5">
        <f>(Financing!F28/Assumptions!$B$90)/Assumptions!$C$74</f>
        <v>20317.460317460318</v>
      </c>
      <c r="G24" s="5">
        <f>(Financing!G28/Assumptions!$B$90)/Assumptions!$C$74</f>
        <v>20317.460317460318</v>
      </c>
      <c r="H24" s="5">
        <f>(Financing!H28/Assumptions!$B$90)/Assumptions!$C$74</f>
        <v>20317.460317460318</v>
      </c>
      <c r="I24" s="5">
        <f>(Financing!I28/Assumptions!$B$90)/Assumptions!$C$74</f>
        <v>6936.3809523809523</v>
      </c>
      <c r="J24" s="5">
        <f>(Financing!J28/Assumptions!$B$90)/Assumptions!$C$74</f>
        <v>11560.63492063492</v>
      </c>
      <c r="K24" s="5">
        <f>(Financing!K28/Assumptions!$B$90)/Assumptions!$C$74</f>
        <v>16184.888888888891</v>
      </c>
      <c r="L24" s="5">
        <f>(Financing!L28/Assumptions!$B$90)/Assumptions!$C$74</f>
        <v>16184.888888888891</v>
      </c>
      <c r="M24" s="5">
        <f>(Financing!M28/Assumptions!$B$90)/Assumptions!$C$74</f>
        <v>11560.63492063492</v>
      </c>
      <c r="N24" s="5">
        <f>(Financing!N28/Assumptions!$B$90)/Assumptions!$C$74</f>
        <v>6936.3809523809523</v>
      </c>
    </row>
    <row r="25" spans="1:14">
      <c r="A25" s="60" t="s">
        <v>151</v>
      </c>
      <c r="C25" s="5">
        <f>(Financing!C43/Assumptions!$B$90)/Assumptions!$C$74</f>
        <v>10158.730158730159</v>
      </c>
      <c r="D25" s="5">
        <f>(Financing!D43/Assumptions!$B$90)/Assumptions!$C$74</f>
        <v>10158.730158730159</v>
      </c>
      <c r="E25" s="5">
        <f>(Financing!E43/Assumptions!$B$90)/Assumptions!$C$74</f>
        <v>20317.460317460318</v>
      </c>
      <c r="F25" s="5">
        <f>(Financing!F43/Assumptions!$B$90)/Assumptions!$C$74</f>
        <v>20317.460317460318</v>
      </c>
      <c r="G25" s="5">
        <f>(Financing!G43/Assumptions!$B$90)/Assumptions!$C$74</f>
        <v>20317.460317460318</v>
      </c>
      <c r="H25" s="5">
        <f>(Financing!H43/Assumptions!$B$90)/Assumptions!$C$74</f>
        <v>20317.460317460318</v>
      </c>
      <c r="I25" s="5">
        <f>(Financing!I43/Assumptions!$B$90)/Assumptions!$C$74</f>
        <v>7094.8571428571431</v>
      </c>
      <c r="J25" s="5">
        <f>(Financing!J43/Assumptions!$B$90)/Assumptions!$C$74</f>
        <v>11824.761904761905</v>
      </c>
      <c r="K25" s="5">
        <f>(Financing!K43/Assumptions!$B$90)/Assumptions!$C$74</f>
        <v>16554.666666666672</v>
      </c>
      <c r="L25" s="5">
        <f>(Financing!L43/Assumptions!$B$90)/Assumptions!$C$74</f>
        <v>16554.666666666672</v>
      </c>
      <c r="M25" s="5">
        <f>(Financing!M43/Assumptions!$B$90)/Assumptions!$C$74</f>
        <v>11824.761904761905</v>
      </c>
      <c r="N25" s="5">
        <f>(Financing!N43/Assumptions!$B$90)/Assumptions!$C$74</f>
        <v>7094.8571428571431</v>
      </c>
    </row>
    <row r="26" spans="1:14">
      <c r="A26" s="60" t="s">
        <v>152</v>
      </c>
      <c r="C26" s="5">
        <f>(Financing!C58/Assumptions!$B$90)/Assumptions!$C$74</f>
        <v>10158.730158730159</v>
      </c>
      <c r="D26" s="5">
        <f>(Financing!D58/Assumptions!$B$90)/Assumptions!$C$74</f>
        <v>10158.730158730159</v>
      </c>
      <c r="E26" s="5">
        <f>(Financing!E58/Assumptions!$B$90)/Assumptions!$C$74</f>
        <v>20317.460317460318</v>
      </c>
      <c r="F26" s="5">
        <f>(Financing!F58/Assumptions!$B$90)/Assumptions!$C$74</f>
        <v>20317.460317460318</v>
      </c>
      <c r="G26" s="5">
        <f>(Financing!G58/Assumptions!$B$90)/Assumptions!$C$74</f>
        <v>20317.460317460318</v>
      </c>
      <c r="H26" s="5">
        <f>(Financing!H58/Assumptions!$B$90)/Assumptions!$C$74</f>
        <v>20317.460317460318</v>
      </c>
      <c r="I26" s="5">
        <f>(Financing!I58/Assumptions!$B$90)/Assumptions!$C$74</f>
        <v>7204.5714285714284</v>
      </c>
      <c r="J26" s="5">
        <f>(Financing!J58/Assumptions!$B$90)/Assumptions!$C$74</f>
        <v>12007.619047619048</v>
      </c>
      <c r="K26" s="5">
        <f>(Financing!K58/Assumptions!$B$90)/Assumptions!$C$74</f>
        <v>16810.666666666672</v>
      </c>
      <c r="L26" s="5">
        <f>(Financing!L58/Assumptions!$B$90)/Assumptions!$C$74</f>
        <v>16810.666666666672</v>
      </c>
      <c r="M26" s="5">
        <f>(Financing!M58/Assumptions!$B$90)/Assumptions!$C$74</f>
        <v>12007.619047619048</v>
      </c>
      <c r="N26" s="5">
        <f>(Financing!N58/Assumptions!$B$90)/Assumptions!$C$74</f>
        <v>7204.5714285714284</v>
      </c>
    </row>
    <row r="27" spans="1:14" ht="43.2">
      <c r="A27" s="28" t="s">
        <v>223</v>
      </c>
    </row>
    <row r="28" spans="1:14">
      <c r="A28" s="60" t="s">
        <v>150</v>
      </c>
      <c r="C28" s="5">
        <f>Assumptions!D27-C24</f>
        <v>29841.269841269841</v>
      </c>
      <c r="D28" s="5">
        <f>Assumptions!E27-D24</f>
        <v>45841.269841269852</v>
      </c>
      <c r="E28" s="5">
        <f>Assumptions!F27-E24</f>
        <v>35682.539682539689</v>
      </c>
      <c r="F28" s="5">
        <f>Assumptions!G27-F24</f>
        <v>27682.539682539682</v>
      </c>
      <c r="G28" s="5">
        <f>Assumptions!H27-G24</f>
        <v>19682.539682539682</v>
      </c>
      <c r="H28" s="5">
        <f>Assumptions!I27-H24</f>
        <v>19682.539682539682</v>
      </c>
      <c r="I28" s="5">
        <f>Assumptions!J27-I24</f>
        <v>5063.6190476190477</v>
      </c>
      <c r="J28" s="5">
        <f>Assumptions!K27-J24</f>
        <v>8439.3650793650795</v>
      </c>
      <c r="K28" s="5">
        <f>Assumptions!L27-K24</f>
        <v>11815.111111111113</v>
      </c>
      <c r="L28" s="5">
        <f>Assumptions!M27-L24</f>
        <v>11815.111111111113</v>
      </c>
      <c r="M28" s="5">
        <f>Assumptions!N27-M24</f>
        <v>8439.3650793650795</v>
      </c>
      <c r="N28" s="5">
        <f>Assumptions!O27-N24</f>
        <v>5063.6190476190477</v>
      </c>
    </row>
    <row r="29" spans="1:14">
      <c r="A29" s="60" t="s">
        <v>151</v>
      </c>
      <c r="C29" s="5">
        <f>Assumptions!D27-C25</f>
        <v>29841.269841269841</v>
      </c>
      <c r="D29" s="5">
        <f>Assumptions!E27-D25</f>
        <v>45841.269841269852</v>
      </c>
      <c r="E29" s="5">
        <f>Assumptions!F27-E25</f>
        <v>35682.539682539689</v>
      </c>
      <c r="F29" s="5">
        <f>Assumptions!G27-F25</f>
        <v>27682.539682539682</v>
      </c>
      <c r="G29" s="5">
        <f>Assumptions!H27-G25</f>
        <v>19682.539682539682</v>
      </c>
      <c r="H29" s="5">
        <f>Assumptions!I27-H25</f>
        <v>19682.539682539682</v>
      </c>
      <c r="I29" s="5">
        <f>Assumptions!J27-I25</f>
        <v>4905.1428571428569</v>
      </c>
      <c r="J29" s="5">
        <f>Assumptions!K27-J25</f>
        <v>8175.2380952380954</v>
      </c>
      <c r="K29" s="5">
        <f>Assumptions!L27-K25</f>
        <v>11445.333333333332</v>
      </c>
      <c r="L29" s="5">
        <f>Assumptions!M27-L25</f>
        <v>11445.333333333332</v>
      </c>
      <c r="M29" s="5">
        <f>Assumptions!N27-M25</f>
        <v>8175.2380952380954</v>
      </c>
      <c r="N29" s="5">
        <f>Assumptions!O27-N25</f>
        <v>4905.1428571428569</v>
      </c>
    </row>
    <row r="30" spans="1:14">
      <c r="A30" s="60" t="s">
        <v>152</v>
      </c>
      <c r="C30" s="5">
        <f>Assumptions!D27-C26</f>
        <v>29841.269841269841</v>
      </c>
      <c r="D30" s="5">
        <f>Assumptions!E27-D26</f>
        <v>45841.269841269852</v>
      </c>
      <c r="E30" s="5">
        <f>Assumptions!F27-E26</f>
        <v>35682.539682539689</v>
      </c>
      <c r="F30" s="5">
        <f>Assumptions!G27-F26</f>
        <v>27682.539682539682</v>
      </c>
      <c r="G30" s="5">
        <f>Assumptions!H27-G26</f>
        <v>19682.539682539682</v>
      </c>
      <c r="H30" s="5">
        <f>Assumptions!I27-H26</f>
        <v>19682.539682539682</v>
      </c>
      <c r="I30" s="5">
        <f>Assumptions!J27-I26</f>
        <v>4795.4285714285716</v>
      </c>
      <c r="J30" s="5">
        <f>Assumptions!K27-J26</f>
        <v>7992.3809523809523</v>
      </c>
      <c r="K30" s="5">
        <f>Assumptions!L27-K26</f>
        <v>11189.333333333332</v>
      </c>
      <c r="L30" s="5">
        <f>Assumptions!M27-L26</f>
        <v>11189.333333333332</v>
      </c>
      <c r="M30" s="5">
        <f>Assumptions!N27-M26</f>
        <v>7992.3809523809523</v>
      </c>
      <c r="N30" s="5">
        <f>Assumptions!O27-N26</f>
        <v>4795.4285714285716</v>
      </c>
    </row>
    <row r="31" spans="1:14" ht="43.2">
      <c r="A31" s="28" t="s">
        <v>224</v>
      </c>
      <c r="C31" s="40">
        <f t="shared" ref="C31:N31" si="4">C24+C28</f>
        <v>40000</v>
      </c>
      <c r="D31" s="40">
        <f t="shared" si="4"/>
        <v>56000.000000000015</v>
      </c>
      <c r="E31" s="40">
        <f t="shared" si="4"/>
        <v>56000.000000000007</v>
      </c>
      <c r="F31" s="40">
        <f t="shared" si="4"/>
        <v>48000</v>
      </c>
      <c r="G31" s="40">
        <f t="shared" si="4"/>
        <v>40000</v>
      </c>
      <c r="H31" s="40">
        <f t="shared" si="4"/>
        <v>40000</v>
      </c>
      <c r="I31" s="40">
        <f t="shared" si="4"/>
        <v>12000</v>
      </c>
      <c r="J31" s="40">
        <f t="shared" si="4"/>
        <v>20000</v>
      </c>
      <c r="K31" s="40">
        <f t="shared" si="4"/>
        <v>28000.000000000004</v>
      </c>
      <c r="L31" s="40">
        <f t="shared" si="4"/>
        <v>28000.000000000004</v>
      </c>
      <c r="M31" s="40">
        <f t="shared" si="4"/>
        <v>20000</v>
      </c>
      <c r="N31" s="40">
        <f t="shared" si="4"/>
        <v>12000</v>
      </c>
    </row>
    <row r="32" spans="1:14" ht="43.2">
      <c r="A32" s="28" t="s">
        <v>225</v>
      </c>
      <c r="C32" s="5">
        <f>C28*Assumptions!$B$47</f>
        <v>14920.63492063492</v>
      </c>
      <c r="D32" s="5">
        <f>D28*Assumptions!$B$47</f>
        <v>22920.634920634926</v>
      </c>
      <c r="E32" s="5">
        <f>E28*Assumptions!$B$47</f>
        <v>17841.269841269845</v>
      </c>
      <c r="F32" s="5">
        <f>F28*Assumptions!$B$47</f>
        <v>13841.269841269841</v>
      </c>
      <c r="G32" s="5">
        <f>G28*Assumptions!$B$47</f>
        <v>9841.269841269841</v>
      </c>
      <c r="H32" s="5">
        <f>H28*Assumptions!$B$47</f>
        <v>9841.269841269841</v>
      </c>
      <c r="I32" s="5">
        <f>I28*Assumptions!$B$47</f>
        <v>2531.8095238095239</v>
      </c>
      <c r="J32" s="5">
        <f>J28*Assumptions!$B$47</f>
        <v>4219.6825396825398</v>
      </c>
      <c r="K32" s="5">
        <f>K28*Assumptions!$B$47</f>
        <v>5907.5555555555566</v>
      </c>
      <c r="L32" s="5">
        <f>L28*Assumptions!$B$47</f>
        <v>5907.5555555555566</v>
      </c>
      <c r="M32" s="5">
        <f>M28*Assumptions!$B$47</f>
        <v>4219.6825396825398</v>
      </c>
      <c r="N32" s="5">
        <f>N28*Assumptions!$B$47</f>
        <v>2531.8095238095239</v>
      </c>
    </row>
    <row r="33" spans="1:14">
      <c r="A33" s="5" t="s">
        <v>226</v>
      </c>
      <c r="B33" s="40">
        <f>SUM(C33:N33)</f>
        <v>114524.44444444447</v>
      </c>
      <c r="C33" s="5">
        <f>C32*Assumptions!$B$48</f>
        <v>14920.63492063492</v>
      </c>
      <c r="D33" s="5">
        <f>D32*Assumptions!$B$48</f>
        <v>22920.634920634926</v>
      </c>
      <c r="E33" s="5">
        <f>E32*Assumptions!$B$48</f>
        <v>17841.269841269845</v>
      </c>
      <c r="F33" s="5">
        <f>F32*Assumptions!$B$48</f>
        <v>13841.269841269841</v>
      </c>
      <c r="G33" s="5">
        <f>G32*Assumptions!$B$48</f>
        <v>9841.269841269841</v>
      </c>
      <c r="H33" s="5">
        <f>H32*Assumptions!$B$48</f>
        <v>9841.269841269841</v>
      </c>
      <c r="I33" s="5">
        <f>I32*Assumptions!$B$48</f>
        <v>2531.8095238095239</v>
      </c>
      <c r="J33" s="5">
        <f>J32*Assumptions!$B$48</f>
        <v>4219.6825396825398</v>
      </c>
      <c r="K33" s="5">
        <f>K32*Assumptions!$B$48</f>
        <v>5907.5555555555566</v>
      </c>
      <c r="L33" s="5">
        <f>L32*Assumptions!$B$48</f>
        <v>5907.5555555555566</v>
      </c>
      <c r="M33" s="5">
        <f>M32*Assumptions!$B$48</f>
        <v>4219.6825396825398</v>
      </c>
      <c r="N33" s="5">
        <f>N32*Assumptions!$B$48</f>
        <v>2531.8095238095239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A99" sqref="A99"/>
    </sheetView>
  </sheetViews>
  <sheetFormatPr defaultRowHeight="14.4"/>
  <cols>
    <col min="1" max="1" width="46.21875" style="5" customWidth="1"/>
    <col min="2" max="14" width="11.77734375" style="5" customWidth="1"/>
    <col min="15" max="16384" width="8.88671875" style="5"/>
  </cols>
  <sheetData>
    <row r="1" spans="1:14" ht="18">
      <c r="A1" s="29" t="s">
        <v>227</v>
      </c>
      <c r="I1" s="85"/>
    </row>
    <row r="2" spans="1:14" ht="15.6">
      <c r="A2" s="30"/>
      <c r="B2" s="1" t="s">
        <v>75</v>
      </c>
      <c r="C2" s="1" t="s">
        <v>129</v>
      </c>
      <c r="D2" s="1" t="s">
        <v>130</v>
      </c>
      <c r="E2" s="1" t="s">
        <v>131</v>
      </c>
      <c r="F2" s="1" t="s">
        <v>132</v>
      </c>
      <c r="G2" s="1" t="s">
        <v>133</v>
      </c>
      <c r="H2" s="1" t="s">
        <v>134</v>
      </c>
      <c r="I2" s="1" t="s">
        <v>135</v>
      </c>
      <c r="J2" s="1" t="s">
        <v>136</v>
      </c>
      <c r="K2" s="1" t="s">
        <v>137</v>
      </c>
      <c r="L2" s="1" t="s">
        <v>138</v>
      </c>
      <c r="M2" s="1" t="s">
        <v>139</v>
      </c>
      <c r="N2" s="1" t="s">
        <v>140</v>
      </c>
    </row>
    <row r="3" spans="1:14" ht="18">
      <c r="A3" s="84" t="s">
        <v>84</v>
      </c>
      <c r="B3" s="1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5.6">
      <c r="A4" s="138" t="s">
        <v>150</v>
      </c>
      <c r="B4" s="1"/>
      <c r="C4" s="108">
        <f>Assumptions!D108</f>
        <v>1</v>
      </c>
      <c r="D4" s="108">
        <f>Assumptions!E108</f>
        <v>1</v>
      </c>
      <c r="E4" s="108">
        <f>Assumptions!F108</f>
        <v>1</v>
      </c>
      <c r="F4" s="108">
        <f>Assumptions!G108</f>
        <v>0.7</v>
      </c>
      <c r="G4" s="108">
        <f>Assumptions!H108</f>
        <v>0.5</v>
      </c>
      <c r="H4" s="108">
        <f>Assumptions!I108</f>
        <v>0.6</v>
      </c>
      <c r="I4" s="108">
        <f>Assumptions!J108</f>
        <v>0.3</v>
      </c>
      <c r="J4" s="108">
        <f>Assumptions!K108</f>
        <v>0.35</v>
      </c>
      <c r="K4" s="108">
        <f>Assumptions!L108</f>
        <v>0.4</v>
      </c>
      <c r="L4" s="108">
        <f>Assumptions!M108</f>
        <v>0.4</v>
      </c>
      <c r="M4" s="108">
        <f>Assumptions!N108</f>
        <v>0.8</v>
      </c>
      <c r="N4" s="108">
        <f>Assumptions!O108</f>
        <v>1</v>
      </c>
    </row>
    <row r="5" spans="1:14" ht="15" thickBot="1">
      <c r="A5" s="28" t="s">
        <v>228</v>
      </c>
      <c r="C5" s="5">
        <f>Assumptions!D111</f>
        <v>21000000</v>
      </c>
      <c r="D5" s="5">
        <f>Assumptions!E111</f>
        <v>21000000</v>
      </c>
      <c r="E5" s="5">
        <f>Assumptions!F111</f>
        <v>21000000</v>
      </c>
      <c r="F5" s="5">
        <f>Assumptions!G111</f>
        <v>14699999.999999998</v>
      </c>
      <c r="G5" s="5">
        <f>Assumptions!H111</f>
        <v>10500000</v>
      </c>
      <c r="H5" s="5">
        <f>Assumptions!I111</f>
        <v>12600000</v>
      </c>
      <c r="I5" s="5">
        <f>Assumptions!J111</f>
        <v>6300000</v>
      </c>
      <c r="J5" s="5">
        <f>Assumptions!K111</f>
        <v>7349999.9999999991</v>
      </c>
      <c r="K5" s="5">
        <f>Assumptions!L111</f>
        <v>8400000</v>
      </c>
      <c r="L5" s="5">
        <f>Assumptions!M111</f>
        <v>8400000</v>
      </c>
      <c r="M5" s="5">
        <f>Assumptions!N111</f>
        <v>16800000</v>
      </c>
      <c r="N5" s="5">
        <f>Assumptions!O111</f>
        <v>21000000</v>
      </c>
    </row>
    <row r="6" spans="1:14" ht="15" thickBot="1">
      <c r="A6" s="28" t="s">
        <v>229</v>
      </c>
      <c r="C6" s="82">
        <f>Assumptions!B119</f>
        <v>21000000</v>
      </c>
      <c r="D6" s="5">
        <f>IF(D5&gt;C5,D5-C5,0)</f>
        <v>0</v>
      </c>
      <c r="E6" s="5">
        <f t="shared" ref="E6:N6" si="0">IF(E5&gt;D5,E5-D5,0)</f>
        <v>0</v>
      </c>
      <c r="F6" s="5">
        <f t="shared" si="0"/>
        <v>0</v>
      </c>
      <c r="G6" s="5">
        <f t="shared" si="0"/>
        <v>0</v>
      </c>
      <c r="H6" s="5">
        <f t="shared" si="0"/>
        <v>2100000</v>
      </c>
      <c r="I6" s="5">
        <f t="shared" si="0"/>
        <v>0</v>
      </c>
      <c r="J6" s="5">
        <f t="shared" si="0"/>
        <v>1049999.9999999991</v>
      </c>
      <c r="K6" s="5">
        <f t="shared" si="0"/>
        <v>1050000.0000000009</v>
      </c>
      <c r="L6" s="5">
        <f t="shared" si="0"/>
        <v>0</v>
      </c>
      <c r="M6" s="5">
        <f t="shared" si="0"/>
        <v>8400000</v>
      </c>
      <c r="N6" s="5">
        <f t="shared" si="0"/>
        <v>4200000</v>
      </c>
    </row>
    <row r="7" spans="1:14">
      <c r="A7" s="28" t="s">
        <v>230</v>
      </c>
      <c r="C7" s="5">
        <v>0</v>
      </c>
      <c r="D7" s="5">
        <f>IF(D5&lt;C5,C5-D5,0)</f>
        <v>0</v>
      </c>
      <c r="E7" s="5">
        <f t="shared" ref="E7:M7" si="1">IF(E5&lt;D5,D5-E5,0)</f>
        <v>0</v>
      </c>
      <c r="F7" s="5">
        <f t="shared" si="1"/>
        <v>6300000.0000000019</v>
      </c>
      <c r="G7" s="5">
        <f t="shared" si="1"/>
        <v>4199999.9999999981</v>
      </c>
      <c r="H7" s="5">
        <f t="shared" si="1"/>
        <v>0</v>
      </c>
      <c r="I7" s="5">
        <f t="shared" si="1"/>
        <v>6300000</v>
      </c>
      <c r="J7" s="5">
        <f t="shared" si="1"/>
        <v>0</v>
      </c>
      <c r="K7" s="5">
        <f t="shared" si="1"/>
        <v>0</v>
      </c>
      <c r="L7" s="5">
        <f t="shared" si="1"/>
        <v>0</v>
      </c>
      <c r="M7" s="5">
        <f t="shared" si="1"/>
        <v>0</v>
      </c>
      <c r="N7" s="5">
        <v>6500000</v>
      </c>
    </row>
    <row r="8" spans="1:14" ht="15.6">
      <c r="A8" s="5" t="s">
        <v>231</v>
      </c>
      <c r="B8" s="41">
        <f>SUM(C8:N8)</f>
        <v>1690500</v>
      </c>
      <c r="C8" s="5">
        <f>Assumptions!D114</f>
        <v>210000</v>
      </c>
      <c r="D8" s="5">
        <f>Assumptions!E114</f>
        <v>210000</v>
      </c>
      <c r="E8" s="5">
        <f>Assumptions!F114</f>
        <v>210000</v>
      </c>
      <c r="F8" s="5">
        <f>Assumptions!G114</f>
        <v>146999.99999999997</v>
      </c>
      <c r="G8" s="5">
        <f>Assumptions!H114</f>
        <v>105000</v>
      </c>
      <c r="H8" s="5">
        <f>Assumptions!I114</f>
        <v>126000</v>
      </c>
      <c r="I8" s="5">
        <f>Assumptions!J114</f>
        <v>63000</v>
      </c>
      <c r="J8" s="5">
        <f>Assumptions!K114</f>
        <v>73499.999999999985</v>
      </c>
      <c r="K8" s="5">
        <f>Assumptions!L114</f>
        <v>84000</v>
      </c>
      <c r="L8" s="5">
        <f>Assumptions!M114</f>
        <v>84000</v>
      </c>
      <c r="M8" s="5">
        <f>Assumptions!N114</f>
        <v>168000</v>
      </c>
      <c r="N8" s="5">
        <f>Assumptions!O114</f>
        <v>210000</v>
      </c>
    </row>
    <row r="9" spans="1:14" ht="15.6">
      <c r="A9" s="138" t="s">
        <v>232</v>
      </c>
      <c r="B9" s="41"/>
      <c r="C9" s="109">
        <f>100%</f>
        <v>1</v>
      </c>
      <c r="D9" s="109">
        <f>100%</f>
        <v>1</v>
      </c>
      <c r="E9" s="109">
        <f>100%</f>
        <v>1</v>
      </c>
      <c r="F9" s="109">
        <f>100%</f>
        <v>1</v>
      </c>
      <c r="G9" s="109">
        <v>0.5</v>
      </c>
      <c r="H9" s="109">
        <v>0.5</v>
      </c>
      <c r="I9" s="109">
        <v>0.3</v>
      </c>
      <c r="J9" s="109">
        <v>0.3</v>
      </c>
      <c r="K9" s="109">
        <v>0.3</v>
      </c>
      <c r="L9" s="109">
        <v>0.3</v>
      </c>
      <c r="M9" s="109">
        <v>0.3</v>
      </c>
      <c r="N9" s="109">
        <f>100%</f>
        <v>1</v>
      </c>
    </row>
    <row r="10" spans="1:14" ht="15.6">
      <c r="A10" s="28" t="s">
        <v>228</v>
      </c>
      <c r="B10" s="41"/>
      <c r="C10" s="5">
        <f>Assumptions!D112</f>
        <v>16800000</v>
      </c>
      <c r="D10" s="5">
        <f>Assumptions!E112</f>
        <v>16800000</v>
      </c>
      <c r="E10" s="5">
        <f>Assumptions!F112</f>
        <v>14699999.999999998</v>
      </c>
      <c r="F10" s="5">
        <f>Assumptions!G112</f>
        <v>10500000</v>
      </c>
      <c r="G10" s="5">
        <f>Assumptions!H112</f>
        <v>6300000</v>
      </c>
      <c r="H10" s="5">
        <f>Assumptions!I112</f>
        <v>8400000</v>
      </c>
      <c r="I10" s="5">
        <f>Assumptions!J112</f>
        <v>4200000</v>
      </c>
      <c r="J10" s="5">
        <f>Assumptions!K112</f>
        <v>4200000</v>
      </c>
      <c r="K10" s="5">
        <f>Assumptions!L112</f>
        <v>6300000</v>
      </c>
      <c r="L10" s="5">
        <f>Assumptions!M112</f>
        <v>6300000</v>
      </c>
      <c r="M10" s="5">
        <f>Assumptions!N112</f>
        <v>10500000</v>
      </c>
      <c r="N10" s="5">
        <f>Assumptions!O112</f>
        <v>21000000</v>
      </c>
    </row>
    <row r="11" spans="1:14" ht="15.6">
      <c r="A11" s="28" t="s">
        <v>229</v>
      </c>
      <c r="B11" s="41"/>
      <c r="C11" s="5">
        <f>C10</f>
        <v>16800000</v>
      </c>
      <c r="D11" s="5">
        <f>IF(D10&gt;C10,D10-C10,0)</f>
        <v>0</v>
      </c>
      <c r="E11" s="5">
        <f t="shared" ref="E11:N11" si="2">IF(E10&gt;D10,E10-D10,0)</f>
        <v>0</v>
      </c>
      <c r="F11" s="5">
        <f t="shared" si="2"/>
        <v>0</v>
      </c>
      <c r="G11" s="5">
        <f t="shared" si="2"/>
        <v>0</v>
      </c>
      <c r="H11" s="5">
        <f t="shared" si="2"/>
        <v>2100000</v>
      </c>
      <c r="I11" s="5">
        <f t="shared" si="2"/>
        <v>0</v>
      </c>
      <c r="J11" s="5">
        <f t="shared" si="2"/>
        <v>0</v>
      </c>
      <c r="K11" s="5">
        <f t="shared" si="2"/>
        <v>2100000</v>
      </c>
      <c r="L11" s="5">
        <f t="shared" si="2"/>
        <v>0</v>
      </c>
      <c r="M11" s="5">
        <f t="shared" si="2"/>
        <v>4200000</v>
      </c>
      <c r="N11" s="5">
        <f t="shared" si="2"/>
        <v>10500000</v>
      </c>
    </row>
    <row r="12" spans="1:14" ht="15.6">
      <c r="A12" s="28" t="s">
        <v>230</v>
      </c>
      <c r="B12" s="41"/>
      <c r="C12" s="5">
        <v>0</v>
      </c>
      <c r="D12" s="5">
        <f>IF(D10&lt;C10,C10-D10,0)</f>
        <v>0</v>
      </c>
      <c r="E12" s="5">
        <f t="shared" ref="E12:N12" si="3">IF(E10&lt;D10,D10-E10,0)</f>
        <v>2100000.0000000019</v>
      </c>
      <c r="F12" s="5">
        <f t="shared" si="3"/>
        <v>4199999.9999999981</v>
      </c>
      <c r="G12" s="5">
        <f t="shared" si="3"/>
        <v>4200000</v>
      </c>
      <c r="H12" s="5">
        <f t="shared" si="3"/>
        <v>0</v>
      </c>
      <c r="I12" s="5">
        <f t="shared" si="3"/>
        <v>4200000</v>
      </c>
      <c r="J12" s="5">
        <f t="shared" si="3"/>
        <v>0</v>
      </c>
      <c r="K12" s="5">
        <f t="shared" si="3"/>
        <v>0</v>
      </c>
      <c r="L12" s="5">
        <f t="shared" si="3"/>
        <v>0</v>
      </c>
      <c r="M12" s="5">
        <f t="shared" si="3"/>
        <v>0</v>
      </c>
      <c r="N12" s="5">
        <f t="shared" si="3"/>
        <v>0</v>
      </c>
    </row>
    <row r="13" spans="1:14" ht="15.6">
      <c r="A13" s="5" t="s">
        <v>231</v>
      </c>
      <c r="B13" s="41">
        <f>SUM(C13:N13)</f>
        <v>1260000</v>
      </c>
      <c r="C13" s="5">
        <f>C10*Assumptions!$B$114/12</f>
        <v>168000</v>
      </c>
      <c r="D13" s="5">
        <f>D10*Assumptions!$B$114/12</f>
        <v>168000</v>
      </c>
      <c r="E13" s="5">
        <f>E10*Assumptions!$B$114/12</f>
        <v>146999.99999999997</v>
      </c>
      <c r="F13" s="5">
        <f>F10*Assumptions!$B$114/12</f>
        <v>105000</v>
      </c>
      <c r="G13" s="5">
        <f>G10*Assumptions!$B$114/12</f>
        <v>63000</v>
      </c>
      <c r="H13" s="5">
        <f>H10*Assumptions!$B$114/12</f>
        <v>84000</v>
      </c>
      <c r="I13" s="5">
        <f>I10*Assumptions!$B$114/12</f>
        <v>42000</v>
      </c>
      <c r="J13" s="5">
        <f>J10*Assumptions!$B$114/12</f>
        <v>42000</v>
      </c>
      <c r="K13" s="5">
        <f>K10*Assumptions!$B$114/12</f>
        <v>63000</v>
      </c>
      <c r="L13" s="5">
        <f>L10*Assumptions!$B$114/12</f>
        <v>63000</v>
      </c>
      <c r="M13" s="5">
        <f>M10*Assumptions!$B$114/12</f>
        <v>105000</v>
      </c>
      <c r="N13" s="5">
        <f>N10*Assumptions!$B$114/12</f>
        <v>210000</v>
      </c>
    </row>
    <row r="14" spans="1:14" ht="15.6">
      <c r="A14" s="138" t="s">
        <v>152</v>
      </c>
      <c r="B14" s="41"/>
      <c r="C14" s="109">
        <f>100%</f>
        <v>1</v>
      </c>
      <c r="D14" s="109">
        <f>100%</f>
        <v>1</v>
      </c>
      <c r="E14" s="109">
        <f>100%</f>
        <v>1</v>
      </c>
      <c r="F14" s="109">
        <v>0.5</v>
      </c>
      <c r="G14" s="109">
        <v>0.3</v>
      </c>
      <c r="H14" s="109">
        <v>0.3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f t="shared" ref="N14" si="4">N9</f>
        <v>1</v>
      </c>
    </row>
    <row r="15" spans="1:14" ht="15.6">
      <c r="A15" s="28" t="s">
        <v>228</v>
      </c>
      <c r="B15" s="41"/>
      <c r="C15" s="5">
        <f>Assumptions!D113</f>
        <v>16800000</v>
      </c>
      <c r="D15" s="5">
        <f>Assumptions!E113</f>
        <v>16800000</v>
      </c>
      <c r="E15" s="5">
        <f>Assumptions!F113</f>
        <v>12600000</v>
      </c>
      <c r="F15" s="5">
        <f>Assumptions!G113</f>
        <v>6300000</v>
      </c>
      <c r="G15" s="5">
        <f>Assumptions!H113</f>
        <v>0</v>
      </c>
      <c r="H15" s="5">
        <f>Assumptions!I113</f>
        <v>0</v>
      </c>
      <c r="I15" s="5">
        <f>Assumptions!J113</f>
        <v>0</v>
      </c>
      <c r="J15" s="5">
        <f>Assumptions!K113</f>
        <v>0</v>
      </c>
      <c r="K15" s="5">
        <f>Assumptions!L113</f>
        <v>0</v>
      </c>
      <c r="L15" s="5">
        <f>Assumptions!M113</f>
        <v>0</v>
      </c>
      <c r="M15" s="5">
        <f>Assumptions!N113</f>
        <v>10500000</v>
      </c>
      <c r="N15" s="5">
        <f>Assumptions!O113</f>
        <v>21000000</v>
      </c>
    </row>
    <row r="16" spans="1:14" ht="15.6">
      <c r="A16" s="28" t="s">
        <v>229</v>
      </c>
      <c r="B16" s="41"/>
      <c r="C16" s="5">
        <f>C15</f>
        <v>16800000</v>
      </c>
      <c r="D16" s="5">
        <f>IF(D15&gt;C15,D15-C15,0)</f>
        <v>0</v>
      </c>
      <c r="E16" s="5">
        <f t="shared" ref="E16:N16" si="5">IF(E15&gt;D15,E15-D15,0)</f>
        <v>0</v>
      </c>
      <c r="F16" s="5">
        <f t="shared" si="5"/>
        <v>0</v>
      </c>
      <c r="G16" s="5">
        <f t="shared" si="5"/>
        <v>0</v>
      </c>
      <c r="H16" s="5">
        <f t="shared" si="5"/>
        <v>0</v>
      </c>
      <c r="I16" s="5">
        <f t="shared" si="5"/>
        <v>0</v>
      </c>
      <c r="J16" s="5">
        <f t="shared" si="5"/>
        <v>0</v>
      </c>
      <c r="K16" s="5">
        <f t="shared" si="5"/>
        <v>0</v>
      </c>
      <c r="L16" s="5">
        <f t="shared" si="5"/>
        <v>0</v>
      </c>
      <c r="M16" s="5">
        <f t="shared" si="5"/>
        <v>10500000</v>
      </c>
      <c r="N16" s="5">
        <f t="shared" si="5"/>
        <v>10500000</v>
      </c>
    </row>
    <row r="17" spans="1:14" ht="15.6">
      <c r="A17" s="28" t="s">
        <v>230</v>
      </c>
      <c r="B17" s="41"/>
      <c r="C17" s="5">
        <v>0</v>
      </c>
      <c r="D17" s="5">
        <f>IF(D15&lt;C15,C15-D15,0)</f>
        <v>0</v>
      </c>
      <c r="E17" s="5">
        <f t="shared" ref="E17:N17" si="6">IF(E15&lt;D15,D15-E15,0)</f>
        <v>4200000</v>
      </c>
      <c r="F17" s="5">
        <f t="shared" si="6"/>
        <v>6300000</v>
      </c>
      <c r="G17" s="5">
        <f t="shared" si="6"/>
        <v>6300000</v>
      </c>
      <c r="H17" s="5">
        <f t="shared" si="6"/>
        <v>0</v>
      </c>
      <c r="I17" s="5">
        <f t="shared" si="6"/>
        <v>0</v>
      </c>
      <c r="J17" s="5">
        <f t="shared" si="6"/>
        <v>0</v>
      </c>
      <c r="K17" s="5">
        <f t="shared" si="6"/>
        <v>0</v>
      </c>
      <c r="L17" s="5">
        <f t="shared" si="6"/>
        <v>0</v>
      </c>
      <c r="M17" s="5">
        <f t="shared" si="6"/>
        <v>0</v>
      </c>
      <c r="N17" s="5">
        <f t="shared" si="6"/>
        <v>0</v>
      </c>
    </row>
    <row r="18" spans="1:14" ht="15.6">
      <c r="A18" s="5" t="s">
        <v>231</v>
      </c>
      <c r="B18" s="41">
        <f>SUM(C18:N18)</f>
        <v>840000</v>
      </c>
      <c r="C18" s="5">
        <f>C15*Assumptions!$B$114/12</f>
        <v>168000</v>
      </c>
      <c r="D18" s="5">
        <f>D15*Assumptions!$B$114/12</f>
        <v>168000</v>
      </c>
      <c r="E18" s="5">
        <f>E15*Assumptions!$B$114/12</f>
        <v>126000</v>
      </c>
      <c r="F18" s="5">
        <f>F15*Assumptions!$B$114/12</f>
        <v>63000</v>
      </c>
      <c r="G18" s="5">
        <f>G15*Assumptions!$B$114/12</f>
        <v>0</v>
      </c>
      <c r="H18" s="5">
        <f>H15*Assumptions!$B$114/12</f>
        <v>0</v>
      </c>
      <c r="I18" s="5">
        <f>I15*Assumptions!$B$114/12</f>
        <v>0</v>
      </c>
      <c r="J18" s="5">
        <f>J15*Assumptions!$B$114/12</f>
        <v>0</v>
      </c>
      <c r="K18" s="5">
        <f>K15*Assumptions!$B$114/12</f>
        <v>0</v>
      </c>
      <c r="L18" s="5">
        <f>L15*Assumptions!$B$114/12</f>
        <v>0</v>
      </c>
      <c r="M18" s="5">
        <f>M15*Assumptions!$B$114/12</f>
        <v>105000</v>
      </c>
      <c r="N18" s="5">
        <f>N15*Assumptions!$B$114/12</f>
        <v>210000</v>
      </c>
    </row>
    <row r="19" spans="1:14" ht="15.6">
      <c r="B19" s="41"/>
    </row>
    <row r="20" spans="1:14" ht="18">
      <c r="A20" s="84" t="s">
        <v>233</v>
      </c>
    </row>
    <row r="21" spans="1:14">
      <c r="A21" s="28" t="s">
        <v>229</v>
      </c>
      <c r="B21" s="5">
        <v>0</v>
      </c>
      <c r="C21" s="5">
        <f>B21</f>
        <v>0</v>
      </c>
      <c r="D21" s="5">
        <f t="shared" ref="D21:N21" si="7">C21</f>
        <v>0</v>
      </c>
      <c r="E21" s="5">
        <f t="shared" si="7"/>
        <v>0</v>
      </c>
      <c r="F21" s="5">
        <f t="shared" si="7"/>
        <v>0</v>
      </c>
      <c r="G21" s="5">
        <f t="shared" si="7"/>
        <v>0</v>
      </c>
      <c r="H21" s="5">
        <f t="shared" si="7"/>
        <v>0</v>
      </c>
      <c r="I21" s="5">
        <f t="shared" si="7"/>
        <v>0</v>
      </c>
      <c r="J21" s="5">
        <f t="shared" si="7"/>
        <v>0</v>
      </c>
      <c r="K21" s="5">
        <f t="shared" si="7"/>
        <v>0</v>
      </c>
      <c r="L21" s="5">
        <f t="shared" si="7"/>
        <v>0</v>
      </c>
      <c r="M21" s="5">
        <f t="shared" si="7"/>
        <v>0</v>
      </c>
      <c r="N21" s="5">
        <f t="shared" si="7"/>
        <v>0</v>
      </c>
    </row>
    <row r="22" spans="1:14">
      <c r="A22" s="28" t="s">
        <v>230</v>
      </c>
      <c r="B22" s="5">
        <v>0</v>
      </c>
      <c r="C22" s="5">
        <f>B22</f>
        <v>0</v>
      </c>
      <c r="D22" s="5">
        <f t="shared" ref="D22:N23" si="8">C22</f>
        <v>0</v>
      </c>
      <c r="E22" s="5">
        <f t="shared" si="8"/>
        <v>0</v>
      </c>
      <c r="F22" s="5">
        <f t="shared" si="8"/>
        <v>0</v>
      </c>
      <c r="G22" s="5">
        <f t="shared" si="8"/>
        <v>0</v>
      </c>
      <c r="H22" s="5">
        <f t="shared" si="8"/>
        <v>0</v>
      </c>
      <c r="I22" s="5">
        <f t="shared" si="8"/>
        <v>0</v>
      </c>
      <c r="J22" s="5">
        <f t="shared" si="8"/>
        <v>0</v>
      </c>
      <c r="K22" s="5">
        <f t="shared" si="8"/>
        <v>0</v>
      </c>
      <c r="L22" s="5">
        <f t="shared" si="8"/>
        <v>0</v>
      </c>
      <c r="M22" s="5">
        <f t="shared" si="8"/>
        <v>0</v>
      </c>
      <c r="N22" s="5">
        <f t="shared" si="8"/>
        <v>0</v>
      </c>
    </row>
    <row r="23" spans="1:14" ht="15.6">
      <c r="A23" s="5" t="s">
        <v>231</v>
      </c>
      <c r="B23" s="41">
        <v>0</v>
      </c>
      <c r="C23" s="5">
        <f>B23</f>
        <v>0</v>
      </c>
      <c r="D23" s="5">
        <f t="shared" si="8"/>
        <v>0</v>
      </c>
      <c r="E23" s="5">
        <f t="shared" si="8"/>
        <v>0</v>
      </c>
      <c r="F23" s="5">
        <f t="shared" si="8"/>
        <v>0</v>
      </c>
      <c r="G23" s="5">
        <f t="shared" si="8"/>
        <v>0</v>
      </c>
      <c r="H23" s="5">
        <f t="shared" si="8"/>
        <v>0</v>
      </c>
      <c r="I23" s="5">
        <f t="shared" si="8"/>
        <v>0</v>
      </c>
      <c r="J23" s="5">
        <f t="shared" si="8"/>
        <v>0</v>
      </c>
      <c r="K23" s="5">
        <f t="shared" si="8"/>
        <v>0</v>
      </c>
      <c r="L23" s="5">
        <f t="shared" si="8"/>
        <v>0</v>
      </c>
      <c r="M23" s="5">
        <f t="shared" si="8"/>
        <v>0</v>
      </c>
      <c r="N23" s="5">
        <f t="shared" si="8"/>
        <v>0</v>
      </c>
    </row>
    <row r="24" spans="1:14" ht="15.6">
      <c r="B24" s="41"/>
    </row>
    <row r="25" spans="1:14" ht="18">
      <c r="A25" s="84" t="s">
        <v>78</v>
      </c>
      <c r="B25" s="1" t="s">
        <v>75</v>
      </c>
      <c r="C25" s="1" t="s">
        <v>129</v>
      </c>
      <c r="D25" s="1" t="s">
        <v>130</v>
      </c>
      <c r="E25" s="1" t="s">
        <v>131</v>
      </c>
      <c r="F25" s="1" t="s">
        <v>132</v>
      </c>
      <c r="G25" s="1" t="s">
        <v>133</v>
      </c>
      <c r="H25" s="1" t="s">
        <v>134</v>
      </c>
      <c r="I25" s="1" t="s">
        <v>135</v>
      </c>
      <c r="J25" s="1" t="s">
        <v>136</v>
      </c>
      <c r="K25" s="1" t="s">
        <v>137</v>
      </c>
      <c r="L25" s="1" t="s">
        <v>138</v>
      </c>
      <c r="M25" s="1" t="s">
        <v>139</v>
      </c>
      <c r="N25" s="1" t="s">
        <v>140</v>
      </c>
    </row>
    <row r="26" spans="1:14" ht="15.6">
      <c r="A26" s="28" t="s">
        <v>234</v>
      </c>
      <c r="B26" s="5">
        <f>Sales!B13</f>
        <v>113800000</v>
      </c>
      <c r="C26" s="5">
        <f>Sales!C13</f>
        <v>11380000</v>
      </c>
      <c r="D26" s="5">
        <f>Sales!D13</f>
        <v>15932000.000000002</v>
      </c>
      <c r="E26" s="5">
        <f>Sales!E13</f>
        <v>15932000.000000002</v>
      </c>
      <c r="F26" s="5">
        <f>Sales!F13</f>
        <v>13656000</v>
      </c>
      <c r="G26" s="5">
        <f>Sales!G13</f>
        <v>11380000</v>
      </c>
      <c r="H26" s="5">
        <f>Sales!H13</f>
        <v>11380000</v>
      </c>
      <c r="I26" s="5">
        <f>Sales!I13</f>
        <v>3414000</v>
      </c>
      <c r="J26" s="5">
        <f>Sales!J13</f>
        <v>5690000</v>
      </c>
      <c r="K26" s="5">
        <f>Sales!K13</f>
        <v>7966000.0000000009</v>
      </c>
      <c r="L26" s="5">
        <f>Sales!L13</f>
        <v>7966000.0000000009</v>
      </c>
      <c r="M26" s="5">
        <f>Sales!M13</f>
        <v>5690000</v>
      </c>
      <c r="N26" s="5">
        <f>Sales!N13</f>
        <v>3414000</v>
      </c>
    </row>
    <row r="27" spans="1:14">
      <c r="A27" s="28" t="s">
        <v>235</v>
      </c>
    </row>
    <row r="28" spans="1:14">
      <c r="A28" s="5" t="s">
        <v>144</v>
      </c>
      <c r="C28" s="5">
        <f>IF(C26&gt;2*Assumptions!D84,Assumptions!D84,0.4*C26)</f>
        <v>2000000</v>
      </c>
      <c r="D28" s="5">
        <f>IF(D26&gt;2*Assumptions!E84,Assumptions!E84,0.4*D26)</f>
        <v>2000000</v>
      </c>
      <c r="E28" s="5">
        <f>IF(E26&gt;2*Assumptions!F84,Assumptions!F84,0.4*E26)</f>
        <v>4000000</v>
      </c>
      <c r="F28" s="5">
        <f>IF(F26&gt;2*Assumptions!G84,Assumptions!G84,0.4*F26)</f>
        <v>4000000</v>
      </c>
      <c r="G28" s="5">
        <f>IF(G26&gt;2*Assumptions!H84,Assumptions!H84,0.4*G26)</f>
        <v>4000000</v>
      </c>
      <c r="H28" s="5">
        <f>IF(H26&gt;2*Assumptions!I84,Assumptions!I84,0.4*H26)</f>
        <v>4000000</v>
      </c>
      <c r="I28" s="5">
        <f>IF(I26&gt;2*Assumptions!J84,Assumptions!J84,0.4*I26)</f>
        <v>1365600</v>
      </c>
      <c r="J28" s="5">
        <f>IF(J26&gt;2*Assumptions!K84,Assumptions!K84,0.4*J26)</f>
        <v>2276000</v>
      </c>
      <c r="K28" s="5">
        <f>IF(K26&gt;2*Assumptions!L84,Assumptions!L84,0.4*K26)</f>
        <v>3186400.0000000005</v>
      </c>
      <c r="L28" s="5">
        <f>IF(L26&gt;2*Assumptions!M84,Assumptions!M84,0.4*L26)</f>
        <v>3186400.0000000005</v>
      </c>
      <c r="M28" s="5">
        <f>IF(M26&gt;2*Assumptions!N84,Assumptions!N84,0.4*M26)</f>
        <v>2276000</v>
      </c>
      <c r="N28" s="5">
        <f>IF(N26&gt;2*Assumptions!O84,Assumptions!O84,0.4*N26)</f>
        <v>1365600</v>
      </c>
    </row>
    <row r="29" spans="1:14">
      <c r="A29" s="5" t="s">
        <v>145</v>
      </c>
      <c r="C29" s="5">
        <f>IF(C26&gt;Assumptions!D85,Assumptions!D85-C28,C26-C28)</f>
        <v>3000000</v>
      </c>
      <c r="D29" s="5">
        <f>IF(D26&gt;Assumptions!E85,Assumptions!E85-D28,D26-D28)</f>
        <v>3000000</v>
      </c>
      <c r="E29" s="5">
        <f>IF(E26&gt;Assumptions!F85,Assumptions!F85-E28,E26-E28)</f>
        <v>6000000</v>
      </c>
      <c r="F29" s="5">
        <f>IF(F26&gt;Assumptions!G85,Assumptions!G85-F28,F26-F28)</f>
        <v>6000000</v>
      </c>
      <c r="G29" s="5">
        <f>IF(G26&gt;Assumptions!H85,Assumptions!H85-G28,G26-G28)</f>
        <v>6000000</v>
      </c>
      <c r="H29" s="5">
        <f>IF(H26&gt;Assumptions!I85,Assumptions!I85-H28,H26-H28)</f>
        <v>6000000</v>
      </c>
      <c r="I29" s="5">
        <f>IF(I26&gt;Assumptions!J85,Assumptions!J85-I28,I26-I28)</f>
        <v>2048400</v>
      </c>
      <c r="J29" s="5">
        <f>IF(J26&gt;Assumptions!K85,Assumptions!K85-J28,J26-J28)</f>
        <v>3414000</v>
      </c>
      <c r="K29" s="5">
        <f>IF(K26&gt;Assumptions!L85,Assumptions!L85-K28,K26-K28)</f>
        <v>4779600</v>
      </c>
      <c r="L29" s="5">
        <f>IF(L26&gt;Assumptions!M85,Assumptions!M85-L28,L26-L28)</f>
        <v>4779600</v>
      </c>
      <c r="M29" s="5">
        <f>IF(M26&gt;Assumptions!N85,Assumptions!N85-M28,M26-M28)</f>
        <v>3414000</v>
      </c>
      <c r="N29" s="5">
        <f>IF(N26&gt;Assumptions!O85,Assumptions!O85-N28,N26-N28)</f>
        <v>2048400</v>
      </c>
    </row>
    <row r="30" spans="1:14">
      <c r="A30" s="28" t="s">
        <v>236</v>
      </c>
      <c r="F30" s="65"/>
    </row>
    <row r="31" spans="1:14">
      <c r="A31" s="5" t="s">
        <v>144</v>
      </c>
      <c r="D31" s="5">
        <f>C28</f>
        <v>2000000</v>
      </c>
      <c r="E31" s="5">
        <f t="shared" ref="E31:N31" si="9">D28</f>
        <v>2000000</v>
      </c>
      <c r="F31" s="5">
        <f t="shared" si="9"/>
        <v>4000000</v>
      </c>
      <c r="G31" s="5">
        <f t="shared" si="9"/>
        <v>4000000</v>
      </c>
      <c r="H31" s="5">
        <f t="shared" si="9"/>
        <v>4000000</v>
      </c>
      <c r="I31" s="5">
        <f t="shared" si="9"/>
        <v>4000000</v>
      </c>
      <c r="J31" s="5">
        <f t="shared" si="9"/>
        <v>1365600</v>
      </c>
      <c r="K31" s="5">
        <f t="shared" si="9"/>
        <v>2276000</v>
      </c>
      <c r="L31" s="5">
        <f t="shared" si="9"/>
        <v>3186400.0000000005</v>
      </c>
      <c r="M31" s="5">
        <f t="shared" si="9"/>
        <v>3186400.0000000005</v>
      </c>
      <c r="N31" s="5">
        <f t="shared" si="9"/>
        <v>2276000</v>
      </c>
    </row>
    <row r="32" spans="1:14">
      <c r="A32" s="5" t="s">
        <v>145</v>
      </c>
      <c r="D32" s="5">
        <f>C29</f>
        <v>3000000</v>
      </c>
      <c r="E32" s="5">
        <f t="shared" ref="E32:N32" si="10">D29</f>
        <v>3000000</v>
      </c>
      <c r="F32" s="5">
        <f t="shared" si="10"/>
        <v>6000000</v>
      </c>
      <c r="G32" s="5">
        <f t="shared" si="10"/>
        <v>6000000</v>
      </c>
      <c r="H32" s="5">
        <f t="shared" si="10"/>
        <v>6000000</v>
      </c>
      <c r="I32" s="5">
        <f t="shared" si="10"/>
        <v>6000000</v>
      </c>
      <c r="J32" s="5">
        <f t="shared" si="10"/>
        <v>2048400</v>
      </c>
      <c r="K32" s="5">
        <f t="shared" si="10"/>
        <v>3414000</v>
      </c>
      <c r="L32" s="5">
        <f t="shared" si="10"/>
        <v>4779600</v>
      </c>
      <c r="M32" s="5">
        <f t="shared" si="10"/>
        <v>4779600</v>
      </c>
      <c r="N32" s="5">
        <f t="shared" si="10"/>
        <v>3414000</v>
      </c>
    </row>
    <row r="33" spans="1:14">
      <c r="A33" s="28" t="s">
        <v>237</v>
      </c>
      <c r="B33" s="5">
        <f>SUM(C33:N33)</f>
        <v>242178.00000000003</v>
      </c>
      <c r="C33" s="5">
        <f>(C31*Assumptions!$C$87/12)+(C32*Assumptions!$C$88/12)</f>
        <v>0</v>
      </c>
      <c r="D33" s="5">
        <f>(D31*Assumptions!$C$87/12)+(D32*Assumptions!$C$88/12)</f>
        <v>15000.000000000002</v>
      </c>
      <c r="E33" s="5">
        <f>(E31*Assumptions!$C$87/12)+(E32*Assumptions!$C$88/12)</f>
        <v>15000.000000000002</v>
      </c>
      <c r="F33" s="5">
        <f>(F31*Assumptions!$C$87/12)+(F32*Assumptions!$C$88/12)</f>
        <v>30000.000000000004</v>
      </c>
      <c r="G33" s="5">
        <f>(G31*Assumptions!$C$87/12)+(G32*Assumptions!$C$88/12)</f>
        <v>30000.000000000004</v>
      </c>
      <c r="H33" s="5">
        <f>(H31*Assumptions!$C$87/12)+(H32*Assumptions!$C$88/12)</f>
        <v>30000.000000000004</v>
      </c>
      <c r="I33" s="5">
        <f>(I31*Assumptions!$C$87/12)+(I32*Assumptions!$C$88/12)</f>
        <v>30000.000000000004</v>
      </c>
      <c r="J33" s="5">
        <f>(J31*Assumptions!$C$87/12)+(J32*Assumptions!$C$88/12)</f>
        <v>10242</v>
      </c>
      <c r="K33" s="5">
        <f>(K31*Assumptions!$C$87/12)+(K32*Assumptions!$C$88/12)</f>
        <v>17070</v>
      </c>
      <c r="L33" s="5">
        <f>(L31*Assumptions!$C$87/12)+(L32*Assumptions!$C$88/12)</f>
        <v>23898.000000000004</v>
      </c>
      <c r="M33" s="5">
        <f>(M31*Assumptions!$C$87/12)+(M32*Assumptions!$C$88/12)</f>
        <v>23898.000000000004</v>
      </c>
      <c r="N33" s="5">
        <f>(N31*Assumptions!$C$87/12)+(N32*Assumptions!$C$88/12)</f>
        <v>17070</v>
      </c>
    </row>
    <row r="34" spans="1:14">
      <c r="A34" s="28" t="s">
        <v>238</v>
      </c>
      <c r="B34" s="5">
        <f>Assumptions!C96</f>
        <v>79660000</v>
      </c>
      <c r="C34" s="5">
        <f>Assumptions!D96</f>
        <v>7965999.9999999991</v>
      </c>
      <c r="D34" s="5">
        <f>Assumptions!E96</f>
        <v>11152400</v>
      </c>
      <c r="E34" s="5">
        <f>Assumptions!F96</f>
        <v>11152400</v>
      </c>
      <c r="F34" s="5">
        <f>Assumptions!G96</f>
        <v>9559200</v>
      </c>
      <c r="G34" s="5">
        <f>Assumptions!H96</f>
        <v>7965999.9999999991</v>
      </c>
      <c r="H34" s="5">
        <f>Assumptions!I96</f>
        <v>7965999.9999999991</v>
      </c>
      <c r="I34" s="5">
        <f>Assumptions!J96</f>
        <v>2389800</v>
      </c>
      <c r="J34" s="5">
        <f>Assumptions!K96</f>
        <v>3982999.9999999995</v>
      </c>
      <c r="K34" s="5">
        <f>Assumptions!L96</f>
        <v>5576200</v>
      </c>
      <c r="L34" s="5">
        <f>Assumptions!M96</f>
        <v>5576200</v>
      </c>
      <c r="M34" s="5">
        <f>Assumptions!N96</f>
        <v>3982999.9999999995</v>
      </c>
      <c r="N34" s="5">
        <f>Assumptions!O96</f>
        <v>2389800</v>
      </c>
    </row>
    <row r="35" spans="1:14">
      <c r="A35" s="28" t="s">
        <v>239</v>
      </c>
      <c r="B35" s="5">
        <f>B34*Assumptions!$B$99</f>
        <v>995750</v>
      </c>
      <c r="C35" s="5">
        <f>C34*Assumptions!$B$99</f>
        <v>99575</v>
      </c>
      <c r="D35" s="5">
        <f>D34*Assumptions!$B$99</f>
        <v>139405</v>
      </c>
      <c r="E35" s="5">
        <f>E34*Assumptions!$B$99</f>
        <v>139405</v>
      </c>
      <c r="F35" s="5">
        <f>F34*Assumptions!$B$99</f>
        <v>119490</v>
      </c>
      <c r="G35" s="5">
        <f>G34*Assumptions!$B$99</f>
        <v>99575</v>
      </c>
      <c r="H35" s="5">
        <f>H34*Assumptions!$B$99</f>
        <v>99575</v>
      </c>
      <c r="I35" s="5">
        <f>I34*Assumptions!$B$99</f>
        <v>29872.5</v>
      </c>
      <c r="J35" s="5">
        <f>J34*Assumptions!$B$99</f>
        <v>49787.5</v>
      </c>
      <c r="K35" s="5">
        <f>K34*Assumptions!$B$99</f>
        <v>69702.5</v>
      </c>
      <c r="L35" s="5">
        <f>L34*Assumptions!$B$99</f>
        <v>69702.5</v>
      </c>
      <c r="M35" s="5">
        <f>M34*Assumptions!$B$99</f>
        <v>49787.5</v>
      </c>
      <c r="N35" s="5">
        <f>N34*Assumptions!$B$99</f>
        <v>29872.5</v>
      </c>
    </row>
    <row r="36" spans="1:14">
      <c r="A36" s="28" t="s">
        <v>240</v>
      </c>
      <c r="B36" s="5">
        <f>SUM(C36:N36)</f>
        <v>67312</v>
      </c>
      <c r="C36" s="5">
        <f>C28*Assumptions!$B$102</f>
        <v>4000</v>
      </c>
      <c r="D36" s="5">
        <f>D28*Assumptions!$B$102</f>
        <v>4000</v>
      </c>
      <c r="E36" s="5">
        <f>E28*Assumptions!$B$102</f>
        <v>8000</v>
      </c>
      <c r="F36" s="5">
        <f>F28*Assumptions!$B$102</f>
        <v>8000</v>
      </c>
      <c r="G36" s="5">
        <f>G28*Assumptions!$B$102</f>
        <v>8000</v>
      </c>
      <c r="H36" s="5">
        <f>H28*Assumptions!$B$102</f>
        <v>8000</v>
      </c>
      <c r="I36" s="5">
        <f>I28*Assumptions!$B$102</f>
        <v>2731.2000000000003</v>
      </c>
      <c r="J36" s="5">
        <f>J28*Assumptions!$B$102</f>
        <v>4552</v>
      </c>
      <c r="K36" s="5">
        <f>K28*Assumptions!$B$102</f>
        <v>6372.8000000000011</v>
      </c>
      <c r="L36" s="5">
        <f>L28*Assumptions!$B$102</f>
        <v>6372.8000000000011</v>
      </c>
      <c r="M36" s="5">
        <f>M28*Assumptions!$B$102</f>
        <v>4552</v>
      </c>
      <c r="N36" s="5">
        <f>N28*Assumptions!$B$102</f>
        <v>2731.2000000000003</v>
      </c>
    </row>
    <row r="37" spans="1:14">
      <c r="A37" s="28" t="s">
        <v>241</v>
      </c>
      <c r="B37" s="5">
        <f t="shared" ref="B37:B38" si="11">SUM(C37:N37)</f>
        <v>40000</v>
      </c>
      <c r="C37" s="5">
        <f>Assumptions!D100</f>
        <v>4000</v>
      </c>
      <c r="D37" s="5">
        <f>Assumptions!E100</f>
        <v>5600.0000000000009</v>
      </c>
      <c r="E37" s="5">
        <f>Assumptions!F100</f>
        <v>5600.0000000000009</v>
      </c>
      <c r="F37" s="5">
        <f>Assumptions!G100</f>
        <v>4800</v>
      </c>
      <c r="G37" s="5">
        <f>Assumptions!H100</f>
        <v>4000</v>
      </c>
      <c r="H37" s="5">
        <f>Assumptions!I100</f>
        <v>4000</v>
      </c>
      <c r="I37" s="5">
        <f>Assumptions!J100</f>
        <v>1200</v>
      </c>
      <c r="J37" s="5">
        <f>Assumptions!K100</f>
        <v>2000</v>
      </c>
      <c r="K37" s="5">
        <f>Assumptions!L100</f>
        <v>2800.0000000000005</v>
      </c>
      <c r="L37" s="5">
        <f>Assumptions!M100</f>
        <v>2800.0000000000005</v>
      </c>
      <c r="M37" s="5">
        <f>Assumptions!N100</f>
        <v>2000</v>
      </c>
      <c r="N37" s="5">
        <f>Assumptions!O100</f>
        <v>1200</v>
      </c>
    </row>
    <row r="38" spans="1:14">
      <c r="A38" s="28" t="s">
        <v>242</v>
      </c>
      <c r="B38" s="5">
        <f t="shared" si="11"/>
        <v>66666.666666666657</v>
      </c>
      <c r="C38" s="5">
        <f>Assumptions!D101</f>
        <v>6666.666666666667</v>
      </c>
      <c r="D38" s="5">
        <f>Assumptions!E101</f>
        <v>9333.3333333333339</v>
      </c>
      <c r="E38" s="5">
        <f>Assumptions!F101</f>
        <v>9333.3333333333339</v>
      </c>
      <c r="F38" s="5">
        <f>Assumptions!G101</f>
        <v>8000</v>
      </c>
      <c r="G38" s="5">
        <f>Assumptions!H101</f>
        <v>6666.666666666667</v>
      </c>
      <c r="H38" s="5">
        <f>Assumptions!I101</f>
        <v>6666.666666666667</v>
      </c>
      <c r="I38" s="5">
        <f>Assumptions!J101</f>
        <v>2000</v>
      </c>
      <c r="J38" s="5">
        <f>Assumptions!K101</f>
        <v>3333.3333333333335</v>
      </c>
      <c r="K38" s="5">
        <f>Assumptions!L101</f>
        <v>4666.666666666667</v>
      </c>
      <c r="L38" s="5">
        <f>Assumptions!M101</f>
        <v>4666.666666666667</v>
      </c>
      <c r="M38" s="5">
        <f>Assumptions!N101</f>
        <v>3333.3333333333335</v>
      </c>
      <c r="N38" s="5">
        <f>Assumptions!O101</f>
        <v>2000</v>
      </c>
    </row>
    <row r="39" spans="1:14" ht="15.6">
      <c r="A39" s="28" t="s">
        <v>243</v>
      </c>
      <c r="B39" s="41">
        <f>B38+B37+B36+B35+B33</f>
        <v>1411906.6666666667</v>
      </c>
      <c r="C39" s="5">
        <f>C38+C37+C36+C35+C33</f>
        <v>114241.66666666667</v>
      </c>
      <c r="D39" s="5">
        <f t="shared" ref="D39:N39" si="12">D38+D37+D36+D35+D33</f>
        <v>173338.33333333334</v>
      </c>
      <c r="E39" s="5">
        <f t="shared" si="12"/>
        <v>177338.33333333334</v>
      </c>
      <c r="F39" s="5">
        <f t="shared" si="12"/>
        <v>170290</v>
      </c>
      <c r="G39" s="5">
        <f t="shared" si="12"/>
        <v>148241.66666666669</v>
      </c>
      <c r="H39" s="5">
        <f t="shared" si="12"/>
        <v>148241.66666666669</v>
      </c>
      <c r="I39" s="5">
        <f t="shared" si="12"/>
        <v>65803.7</v>
      </c>
      <c r="J39" s="5">
        <f t="shared" si="12"/>
        <v>69914.833333333343</v>
      </c>
      <c r="K39" s="5">
        <f t="shared" si="12"/>
        <v>100611.96666666667</v>
      </c>
      <c r="L39" s="5">
        <f t="shared" si="12"/>
        <v>107439.96666666667</v>
      </c>
      <c r="M39" s="5">
        <f t="shared" si="12"/>
        <v>83570.833333333343</v>
      </c>
      <c r="N39" s="5">
        <f t="shared" si="12"/>
        <v>52873.7</v>
      </c>
    </row>
    <row r="40" spans="1:14" ht="15.6">
      <c r="A40" s="47"/>
      <c r="B40" s="41"/>
    </row>
    <row r="41" spans="1:14" ht="15.6">
      <c r="A41" s="28" t="s">
        <v>246</v>
      </c>
      <c r="B41" s="5">
        <f>Sales!B14</f>
        <v>116400000</v>
      </c>
      <c r="C41" s="5">
        <f>Sales!C14</f>
        <v>11640000</v>
      </c>
      <c r="D41" s="5">
        <f>Sales!D14</f>
        <v>16296000.000000002</v>
      </c>
      <c r="E41" s="5">
        <f>Sales!E14</f>
        <v>16296000.000000002</v>
      </c>
      <c r="F41" s="5">
        <f>Sales!F14</f>
        <v>13968000</v>
      </c>
      <c r="G41" s="5">
        <f>Sales!G14</f>
        <v>11640000</v>
      </c>
      <c r="H41" s="5">
        <f>Sales!H14</f>
        <v>11640000</v>
      </c>
      <c r="I41" s="5">
        <f>Sales!I14</f>
        <v>3492000</v>
      </c>
      <c r="J41" s="5">
        <f>Sales!J14</f>
        <v>5820000</v>
      </c>
      <c r="K41" s="5">
        <f>Sales!K14</f>
        <v>8148000.0000000009</v>
      </c>
      <c r="L41" s="5">
        <f>Sales!L14</f>
        <v>8148000.0000000009</v>
      </c>
      <c r="M41" s="5">
        <f>Sales!M14</f>
        <v>5820000</v>
      </c>
      <c r="N41" s="5">
        <f>Sales!N14</f>
        <v>3492000</v>
      </c>
    </row>
    <row r="42" spans="1:14">
      <c r="A42" s="28" t="s">
        <v>235</v>
      </c>
    </row>
    <row r="43" spans="1:14">
      <c r="A43" s="5" t="s">
        <v>144</v>
      </c>
      <c r="C43" s="5">
        <f>IF(C41&gt;2*Assumptions!D84,Assumptions!D84,0.4*C41)</f>
        <v>2000000</v>
      </c>
      <c r="D43" s="5">
        <f>IF(D41&gt;2*Assumptions!E84,Assumptions!E84,0.4*D41)</f>
        <v>2000000</v>
      </c>
      <c r="E43" s="5">
        <f>IF(E41&gt;2*Assumptions!F84,Assumptions!F84,0.4*E41)</f>
        <v>4000000</v>
      </c>
      <c r="F43" s="5">
        <f>IF(F41&gt;2*Assumptions!G84,Assumptions!G84,0.4*F41)</f>
        <v>4000000</v>
      </c>
      <c r="G43" s="5">
        <f>IF(G41&gt;2*Assumptions!H84,Assumptions!H84,0.4*G41)</f>
        <v>4000000</v>
      </c>
      <c r="H43" s="5">
        <f>IF(H41&gt;2*Assumptions!I84,Assumptions!I84,0.4*H41)</f>
        <v>4000000</v>
      </c>
      <c r="I43" s="5">
        <f>IF(I41&gt;2*Assumptions!J84,Assumptions!J84,0.4*I41)</f>
        <v>1396800</v>
      </c>
      <c r="J43" s="5">
        <f>IF(J41&gt;2*Assumptions!K84,Assumptions!K84,0.4*J41)</f>
        <v>2328000</v>
      </c>
      <c r="K43" s="5">
        <f>IF(K41&gt;2*Assumptions!L84,Assumptions!L84,0.4*K41)</f>
        <v>3259200.0000000005</v>
      </c>
      <c r="L43" s="5">
        <f>IF(L41&gt;2*Assumptions!M84,Assumptions!M84,0.4*L41)</f>
        <v>3259200.0000000005</v>
      </c>
      <c r="M43" s="5">
        <f>IF(M41&gt;2*Assumptions!N84,Assumptions!N84,0.4*M41)</f>
        <v>2328000</v>
      </c>
      <c r="N43" s="5">
        <f>IF(N41&gt;2*Assumptions!O84,Assumptions!O84,0.4*N41)</f>
        <v>1396800</v>
      </c>
    </row>
    <row r="44" spans="1:14">
      <c r="A44" s="5" t="s">
        <v>145</v>
      </c>
      <c r="C44" s="5">
        <f>IF(C41&gt;Assumptions!D85,Assumptions!D85-C43,C41-C43)</f>
        <v>3000000</v>
      </c>
      <c r="D44" s="5">
        <f>IF(D41&gt;Assumptions!E85,Assumptions!E85-D43,D41-D43)</f>
        <v>3000000</v>
      </c>
      <c r="E44" s="5">
        <f>IF(E41&gt;Assumptions!F85,Assumptions!F85-E43,E41-E43)</f>
        <v>6000000</v>
      </c>
      <c r="F44" s="5">
        <f>IF(F41&gt;Assumptions!G85,Assumptions!G85-F43,F41-F43)</f>
        <v>6000000</v>
      </c>
      <c r="G44" s="5">
        <f>IF(G41&gt;Assumptions!H85,Assumptions!H85-G43,G41-G43)</f>
        <v>6000000</v>
      </c>
      <c r="H44" s="5">
        <f>IF(H41&gt;Assumptions!I85,Assumptions!I85-H43,H41-H43)</f>
        <v>6000000</v>
      </c>
      <c r="I44" s="5">
        <f>IF(I41&gt;Assumptions!J85,Assumptions!J85-I43,I41-I43)</f>
        <v>2095200</v>
      </c>
      <c r="J44" s="5">
        <f>IF(J41&gt;Assumptions!K85,Assumptions!K85-J43,J41-J43)</f>
        <v>3492000</v>
      </c>
      <c r="K44" s="5">
        <f>IF(K41&gt;Assumptions!L85,Assumptions!L85-K43,K41-K43)</f>
        <v>4888800</v>
      </c>
      <c r="L44" s="5">
        <f>IF(L41&gt;Assumptions!M85,Assumptions!M85-L43,L41-L43)</f>
        <v>4888800</v>
      </c>
      <c r="M44" s="5">
        <f>IF(M41&gt;Assumptions!N85,Assumptions!N85-M43,M41-M43)</f>
        <v>3492000</v>
      </c>
      <c r="N44" s="5">
        <f>IF(N41&gt;Assumptions!O85,Assumptions!O85-N43,N41-N43)</f>
        <v>2095200</v>
      </c>
    </row>
    <row r="45" spans="1:14">
      <c r="A45" s="28" t="s">
        <v>236</v>
      </c>
    </row>
    <row r="46" spans="1:14">
      <c r="A46" s="5" t="s">
        <v>144</v>
      </c>
      <c r="D46" s="5">
        <f>C43</f>
        <v>2000000</v>
      </c>
      <c r="E46" s="5">
        <f t="shared" ref="E46:N46" si="13">D43</f>
        <v>2000000</v>
      </c>
      <c r="F46" s="5">
        <f t="shared" si="13"/>
        <v>4000000</v>
      </c>
      <c r="G46" s="5">
        <f t="shared" si="13"/>
        <v>4000000</v>
      </c>
      <c r="H46" s="5">
        <f t="shared" si="13"/>
        <v>4000000</v>
      </c>
      <c r="I46" s="5">
        <f t="shared" si="13"/>
        <v>4000000</v>
      </c>
      <c r="J46" s="5">
        <f t="shared" si="13"/>
        <v>1396800</v>
      </c>
      <c r="K46" s="5">
        <f t="shared" si="13"/>
        <v>2328000</v>
      </c>
      <c r="L46" s="5">
        <f t="shared" si="13"/>
        <v>3259200.0000000005</v>
      </c>
      <c r="M46" s="5">
        <f t="shared" si="13"/>
        <v>3259200.0000000005</v>
      </c>
      <c r="N46" s="5">
        <f t="shared" si="13"/>
        <v>2328000</v>
      </c>
    </row>
    <row r="47" spans="1:14">
      <c r="A47" s="5" t="s">
        <v>145</v>
      </c>
      <c r="D47" s="5">
        <f>C44</f>
        <v>3000000</v>
      </c>
      <c r="E47" s="5">
        <f t="shared" ref="E47:N47" si="14">D44</f>
        <v>3000000</v>
      </c>
      <c r="F47" s="5">
        <f t="shared" si="14"/>
        <v>6000000</v>
      </c>
      <c r="G47" s="5">
        <f t="shared" si="14"/>
        <v>6000000</v>
      </c>
      <c r="H47" s="5">
        <f t="shared" si="14"/>
        <v>6000000</v>
      </c>
      <c r="I47" s="5">
        <f t="shared" si="14"/>
        <v>6000000</v>
      </c>
      <c r="J47" s="5">
        <f t="shared" si="14"/>
        <v>2095200</v>
      </c>
      <c r="K47" s="5">
        <f t="shared" si="14"/>
        <v>3492000</v>
      </c>
      <c r="L47" s="5">
        <f t="shared" si="14"/>
        <v>4888800</v>
      </c>
      <c r="M47" s="5">
        <f t="shared" si="14"/>
        <v>4888800</v>
      </c>
      <c r="N47" s="5">
        <f t="shared" si="14"/>
        <v>3492000</v>
      </c>
    </row>
    <row r="48" spans="1:14">
      <c r="A48" s="28" t="s">
        <v>237</v>
      </c>
      <c r="B48" s="5">
        <f>SUM(C48:N48)</f>
        <v>244284.00000000003</v>
      </c>
      <c r="C48" s="5">
        <f>(C46*Assumptions!$C$87/12)+(C47*Assumptions!$C$88/12)</f>
        <v>0</v>
      </c>
      <c r="D48" s="5">
        <f>(D46*Assumptions!$C$87/12)+(D47*Assumptions!$C$88/12)</f>
        <v>15000.000000000002</v>
      </c>
      <c r="E48" s="5">
        <f>(E46*Assumptions!$C$87/12)+(E47*Assumptions!$C$88/12)</f>
        <v>15000.000000000002</v>
      </c>
      <c r="F48" s="5">
        <f>(F46*Assumptions!$C$87/12)+(F47*Assumptions!$C$88/12)</f>
        <v>30000.000000000004</v>
      </c>
      <c r="G48" s="5">
        <f>(G46*Assumptions!$C$87/12)+(G47*Assumptions!$C$88/12)</f>
        <v>30000.000000000004</v>
      </c>
      <c r="H48" s="5">
        <f>(H46*Assumptions!$C$87/12)+(H47*Assumptions!$C$88/12)</f>
        <v>30000.000000000004</v>
      </c>
      <c r="I48" s="5">
        <f>(I46*Assumptions!$C$87/12)+(I47*Assumptions!$C$88/12)</f>
        <v>30000.000000000004</v>
      </c>
      <c r="J48" s="5">
        <f>(J46*Assumptions!$C$87/12)+(J47*Assumptions!$C$88/12)</f>
        <v>10476.000000000002</v>
      </c>
      <c r="K48" s="5">
        <f>(K46*Assumptions!$C$87/12)+(K47*Assumptions!$C$88/12)</f>
        <v>17460</v>
      </c>
      <c r="L48" s="5">
        <f>(L46*Assumptions!$C$87/12)+(L47*Assumptions!$C$88/12)</f>
        <v>24444.000000000004</v>
      </c>
      <c r="M48" s="5">
        <f>(M46*Assumptions!$C$87/12)+(M47*Assumptions!$C$88/12)</f>
        <v>24444.000000000004</v>
      </c>
      <c r="N48" s="5">
        <f>(N46*Assumptions!$C$87/12)+(N47*Assumptions!$C$88/12)</f>
        <v>17460</v>
      </c>
    </row>
    <row r="49" spans="1:14">
      <c r="A49" s="28" t="s">
        <v>238</v>
      </c>
      <c r="B49" s="5">
        <f>Assumptions!C97</f>
        <v>81480000</v>
      </c>
      <c r="C49" s="5">
        <f>Assumptions!D97</f>
        <v>8147999.9999999991</v>
      </c>
      <c r="D49" s="5">
        <f>Assumptions!E97</f>
        <v>11407200</v>
      </c>
      <c r="E49" s="5">
        <f>Assumptions!F97</f>
        <v>11407200</v>
      </c>
      <c r="F49" s="5">
        <f>Assumptions!G97</f>
        <v>9777600</v>
      </c>
      <c r="G49" s="5">
        <f>Assumptions!H97</f>
        <v>8147999.9999999991</v>
      </c>
      <c r="H49" s="5">
        <f>Assumptions!I97</f>
        <v>8147999.9999999991</v>
      </c>
      <c r="I49" s="5">
        <f>Assumptions!J97</f>
        <v>2444400</v>
      </c>
      <c r="J49" s="5">
        <f>Assumptions!K97</f>
        <v>4073999.9999999995</v>
      </c>
      <c r="K49" s="5">
        <f>Assumptions!L97</f>
        <v>5703600</v>
      </c>
      <c r="L49" s="5">
        <f>Assumptions!M97</f>
        <v>5703600</v>
      </c>
      <c r="M49" s="5">
        <f>Assumptions!N97</f>
        <v>4073999.9999999995</v>
      </c>
      <c r="N49" s="5">
        <f>Assumptions!O97</f>
        <v>2444400</v>
      </c>
    </row>
    <row r="50" spans="1:14">
      <c r="A50" s="28" t="s">
        <v>239</v>
      </c>
      <c r="B50" s="5">
        <f>B49*Assumptions!$B$99</f>
        <v>1018500</v>
      </c>
      <c r="C50" s="5">
        <f>C49*Assumptions!$B$99</f>
        <v>101850</v>
      </c>
      <c r="D50" s="5">
        <f>D49*Assumptions!$B$99</f>
        <v>142590</v>
      </c>
      <c r="E50" s="5">
        <f>E49*Assumptions!$B$99</f>
        <v>142590</v>
      </c>
      <c r="F50" s="5">
        <f>F49*Assumptions!$B$99</f>
        <v>122220</v>
      </c>
      <c r="G50" s="5">
        <f>G49*Assumptions!$B$99</f>
        <v>101850</v>
      </c>
      <c r="H50" s="5">
        <f>H49*Assumptions!$B$99</f>
        <v>101850</v>
      </c>
      <c r="I50" s="5">
        <f>I49*Assumptions!$B$99</f>
        <v>30555</v>
      </c>
      <c r="J50" s="5">
        <f>J49*Assumptions!$B$99</f>
        <v>50925</v>
      </c>
      <c r="K50" s="5">
        <f>K49*Assumptions!$B$99</f>
        <v>71295</v>
      </c>
      <c r="L50" s="5">
        <f>L49*Assumptions!$B$99</f>
        <v>71295</v>
      </c>
      <c r="M50" s="5">
        <f>M49*Assumptions!$B$99</f>
        <v>50925</v>
      </c>
      <c r="N50" s="5">
        <f>N49*Assumptions!$B$99</f>
        <v>30555</v>
      </c>
    </row>
    <row r="51" spans="1:14">
      <c r="A51" s="28" t="s">
        <v>240</v>
      </c>
      <c r="B51" s="5">
        <f>SUM(C51:N51)</f>
        <v>67936</v>
      </c>
      <c r="C51" s="5">
        <f>C43*Assumptions!$B$102</f>
        <v>4000</v>
      </c>
      <c r="D51" s="5">
        <f>D43*Assumptions!$B$102</f>
        <v>4000</v>
      </c>
      <c r="E51" s="5">
        <f>E43*Assumptions!$B$102</f>
        <v>8000</v>
      </c>
      <c r="F51" s="5">
        <f>F43*Assumptions!$B$102</f>
        <v>8000</v>
      </c>
      <c r="G51" s="5">
        <f>G43*Assumptions!$B$102</f>
        <v>8000</v>
      </c>
      <c r="H51" s="5">
        <f>H43*Assumptions!$B$102</f>
        <v>8000</v>
      </c>
      <c r="I51" s="5">
        <f>I43*Assumptions!$B$102</f>
        <v>2793.6</v>
      </c>
      <c r="J51" s="5">
        <f>J43*Assumptions!$B$102</f>
        <v>4656</v>
      </c>
      <c r="K51" s="5">
        <f>K43*Assumptions!$B$102</f>
        <v>6518.4000000000015</v>
      </c>
      <c r="L51" s="5">
        <f>L43*Assumptions!$B$102</f>
        <v>6518.4000000000015</v>
      </c>
      <c r="M51" s="5">
        <f>M43*Assumptions!$B$102</f>
        <v>4656</v>
      </c>
      <c r="N51" s="5">
        <f>N43*Assumptions!$B$102</f>
        <v>2793.6</v>
      </c>
    </row>
    <row r="52" spans="1:14">
      <c r="A52" s="28" t="s">
        <v>241</v>
      </c>
      <c r="B52" s="5">
        <f t="shared" ref="B52:N52" si="15">B37</f>
        <v>40000</v>
      </c>
      <c r="C52" s="5">
        <f t="shared" si="15"/>
        <v>4000</v>
      </c>
      <c r="D52" s="5">
        <f t="shared" si="15"/>
        <v>5600.0000000000009</v>
      </c>
      <c r="E52" s="5">
        <f t="shared" si="15"/>
        <v>5600.0000000000009</v>
      </c>
      <c r="F52" s="5">
        <f t="shared" si="15"/>
        <v>4800</v>
      </c>
      <c r="G52" s="5">
        <f t="shared" si="15"/>
        <v>4000</v>
      </c>
      <c r="H52" s="5">
        <f t="shared" si="15"/>
        <v>4000</v>
      </c>
      <c r="I52" s="5">
        <f t="shared" si="15"/>
        <v>1200</v>
      </c>
      <c r="J52" s="5">
        <f t="shared" si="15"/>
        <v>2000</v>
      </c>
      <c r="K52" s="5">
        <f t="shared" si="15"/>
        <v>2800.0000000000005</v>
      </c>
      <c r="L52" s="5">
        <f t="shared" si="15"/>
        <v>2800.0000000000005</v>
      </c>
      <c r="M52" s="5">
        <f t="shared" si="15"/>
        <v>2000</v>
      </c>
      <c r="N52" s="5">
        <f t="shared" si="15"/>
        <v>1200</v>
      </c>
    </row>
    <row r="53" spans="1:14">
      <c r="A53" s="28" t="s">
        <v>242</v>
      </c>
      <c r="B53" s="5">
        <f t="shared" ref="B53:N53" si="16">B38</f>
        <v>66666.666666666657</v>
      </c>
      <c r="C53" s="5">
        <f t="shared" si="16"/>
        <v>6666.666666666667</v>
      </c>
      <c r="D53" s="5">
        <f t="shared" si="16"/>
        <v>9333.3333333333339</v>
      </c>
      <c r="E53" s="5">
        <f t="shared" si="16"/>
        <v>9333.3333333333339</v>
      </c>
      <c r="F53" s="5">
        <f t="shared" si="16"/>
        <v>8000</v>
      </c>
      <c r="G53" s="5">
        <f t="shared" si="16"/>
        <v>6666.666666666667</v>
      </c>
      <c r="H53" s="5">
        <f t="shared" si="16"/>
        <v>6666.666666666667</v>
      </c>
      <c r="I53" s="5">
        <f t="shared" si="16"/>
        <v>2000</v>
      </c>
      <c r="J53" s="5">
        <f t="shared" si="16"/>
        <v>3333.3333333333335</v>
      </c>
      <c r="K53" s="5">
        <f t="shared" si="16"/>
        <v>4666.666666666667</v>
      </c>
      <c r="L53" s="5">
        <f t="shared" si="16"/>
        <v>4666.666666666667</v>
      </c>
      <c r="M53" s="5">
        <f t="shared" si="16"/>
        <v>3333.3333333333335</v>
      </c>
      <c r="N53" s="5">
        <f t="shared" si="16"/>
        <v>2000</v>
      </c>
    </row>
    <row r="54" spans="1:14" ht="15.6">
      <c r="A54" s="28" t="s">
        <v>245</v>
      </c>
      <c r="B54" s="41">
        <f>B53+B52+B51+B50+B48</f>
        <v>1437386.6666666667</v>
      </c>
      <c r="C54" s="5">
        <f>C53+C52+C51+C50+C48</f>
        <v>116516.66666666667</v>
      </c>
      <c r="D54" s="5">
        <f t="shared" ref="D54:N54" si="17">D53+D52+D51+D50+D48</f>
        <v>176523.33333333334</v>
      </c>
      <c r="E54" s="5">
        <f t="shared" si="17"/>
        <v>180523.33333333334</v>
      </c>
      <c r="F54" s="5">
        <f t="shared" si="17"/>
        <v>173020</v>
      </c>
      <c r="G54" s="5">
        <f t="shared" si="17"/>
        <v>150516.66666666669</v>
      </c>
      <c r="H54" s="5">
        <f t="shared" si="17"/>
        <v>150516.66666666669</v>
      </c>
      <c r="I54" s="5">
        <f t="shared" si="17"/>
        <v>66548.600000000006</v>
      </c>
      <c r="J54" s="5">
        <f t="shared" si="17"/>
        <v>71390.333333333343</v>
      </c>
      <c r="K54" s="5">
        <f t="shared" si="17"/>
        <v>102740.06666666667</v>
      </c>
      <c r="L54" s="5">
        <f t="shared" si="17"/>
        <v>109724.06666666667</v>
      </c>
      <c r="M54" s="5">
        <f t="shared" si="17"/>
        <v>85358.333333333343</v>
      </c>
      <c r="N54" s="5">
        <f t="shared" si="17"/>
        <v>54008.6</v>
      </c>
    </row>
    <row r="55" spans="1:14" ht="15.6">
      <c r="A55" s="28"/>
      <c r="B55" s="41"/>
    </row>
    <row r="56" spans="1:14" ht="15.6">
      <c r="A56" s="28" t="s">
        <v>247</v>
      </c>
      <c r="B56" s="5">
        <f>Sales!B15</f>
        <v>118200000</v>
      </c>
      <c r="C56" s="5">
        <f>Sales!C15</f>
        <v>11820000</v>
      </c>
      <c r="D56" s="5">
        <f>Sales!D15</f>
        <v>16548000.000000004</v>
      </c>
      <c r="E56" s="5">
        <f>Sales!E15</f>
        <v>16548000.000000004</v>
      </c>
      <c r="F56" s="5">
        <f>Sales!F15</f>
        <v>14184000</v>
      </c>
      <c r="G56" s="5">
        <f>Sales!G15</f>
        <v>11820000</v>
      </c>
      <c r="H56" s="5">
        <f>Sales!H15</f>
        <v>11820000</v>
      </c>
      <c r="I56" s="5">
        <f>Sales!I15</f>
        <v>3546000</v>
      </c>
      <c r="J56" s="5">
        <f>Sales!J15</f>
        <v>5910000</v>
      </c>
      <c r="K56" s="5">
        <f>Sales!K15</f>
        <v>8274000.0000000019</v>
      </c>
      <c r="L56" s="5">
        <f>Sales!L15</f>
        <v>8274000.0000000019</v>
      </c>
      <c r="M56" s="5">
        <f>Sales!M15</f>
        <v>5910000</v>
      </c>
      <c r="N56" s="5">
        <f>Sales!N15</f>
        <v>3546000</v>
      </c>
    </row>
    <row r="57" spans="1:14">
      <c r="A57" s="28" t="s">
        <v>235</v>
      </c>
    </row>
    <row r="58" spans="1:14">
      <c r="A58" s="5" t="s">
        <v>144</v>
      </c>
      <c r="C58" s="5">
        <f>IF(C56&gt;2*Assumptions!D84,Assumptions!D84,0.4*C56)</f>
        <v>2000000</v>
      </c>
      <c r="D58" s="5">
        <f>IF(D56&gt;2*Assumptions!E84,Assumptions!E84,0.4*D56)</f>
        <v>2000000</v>
      </c>
      <c r="E58" s="5">
        <f>IF(E56&gt;2*Assumptions!F84,Assumptions!F84,0.4*E56)</f>
        <v>4000000</v>
      </c>
      <c r="F58" s="5">
        <f>IF(F56&gt;2*Assumptions!G84,Assumptions!G84,0.4*F56)</f>
        <v>4000000</v>
      </c>
      <c r="G58" s="5">
        <f>IF(G56&gt;2*Assumptions!H84,Assumptions!H84,0.4*G56)</f>
        <v>4000000</v>
      </c>
      <c r="H58" s="5">
        <f>IF(H56&gt;2*Assumptions!I84,Assumptions!I84,0.4*H56)</f>
        <v>4000000</v>
      </c>
      <c r="I58" s="5">
        <f>IF(I56&gt;2*Assumptions!J84,Assumptions!J84,0.4*I56)</f>
        <v>1418400</v>
      </c>
      <c r="J58" s="5">
        <f>IF(J56&gt;2*Assumptions!K84,Assumptions!K84,0.4*J56)</f>
        <v>2364000</v>
      </c>
      <c r="K58" s="5">
        <f>IF(K56&gt;2*Assumptions!L84,Assumptions!L84,0.4*K56)</f>
        <v>3309600.0000000009</v>
      </c>
      <c r="L58" s="5">
        <f>IF(L56&gt;2*Assumptions!M84,Assumptions!M84,0.4*L56)</f>
        <v>3309600.0000000009</v>
      </c>
      <c r="M58" s="5">
        <f>IF(M56&gt;2*Assumptions!N84,Assumptions!N84,0.4*M56)</f>
        <v>2364000</v>
      </c>
      <c r="N58" s="5">
        <f>IF(N56&gt;2*Assumptions!O84,Assumptions!O84,0.4*N56)</f>
        <v>1418400</v>
      </c>
    </row>
    <row r="59" spans="1:14">
      <c r="A59" s="5" t="s">
        <v>145</v>
      </c>
      <c r="C59" s="5">
        <f>IF(C56&gt;Assumptions!D85,Assumptions!D85-C58,C56-C58)</f>
        <v>3000000</v>
      </c>
      <c r="D59" s="5">
        <f>IF(D56&gt;Assumptions!E85,Assumptions!E85-D58,D56-D58)</f>
        <v>3000000</v>
      </c>
      <c r="E59" s="5">
        <f>IF(E56&gt;Assumptions!F85,Assumptions!F85-E58,E56-E58)</f>
        <v>6000000</v>
      </c>
      <c r="F59" s="5">
        <f>IF(F56&gt;Assumptions!G85,Assumptions!G85-F58,F56-F58)</f>
        <v>6000000</v>
      </c>
      <c r="G59" s="5">
        <f>IF(G56&gt;Assumptions!H85,Assumptions!H85-G58,G56-G58)</f>
        <v>6000000</v>
      </c>
      <c r="H59" s="5">
        <f>IF(H56&gt;Assumptions!I85,Assumptions!I85-H58,H56-H58)</f>
        <v>6000000</v>
      </c>
      <c r="I59" s="5">
        <f>IF(I56&gt;Assumptions!J85,Assumptions!J85-I58,I56-I58)</f>
        <v>2127600</v>
      </c>
      <c r="J59" s="5">
        <f>IF(J56&gt;Assumptions!K85,Assumptions!K85-J58,J56-J58)</f>
        <v>3546000</v>
      </c>
      <c r="K59" s="5">
        <f>IF(K56&gt;Assumptions!L85,Assumptions!L85-K58,K56-K58)</f>
        <v>4964400.0000000009</v>
      </c>
      <c r="L59" s="5">
        <f>IF(L56&gt;Assumptions!M85,Assumptions!M85-L58,L56-L58)</f>
        <v>4964400.0000000009</v>
      </c>
      <c r="M59" s="5">
        <f>IF(M56&gt;Assumptions!N85,Assumptions!N85-M58,M56-M58)</f>
        <v>3546000</v>
      </c>
      <c r="N59" s="5">
        <f>IF(N56&gt;Assumptions!O85,Assumptions!O85-N58,N56-N58)</f>
        <v>2127600</v>
      </c>
    </row>
    <row r="60" spans="1:14">
      <c r="A60" s="28" t="s">
        <v>236</v>
      </c>
    </row>
    <row r="61" spans="1:14">
      <c r="A61" s="5" t="s">
        <v>144</v>
      </c>
      <c r="D61" s="5">
        <f>C58</f>
        <v>2000000</v>
      </c>
      <c r="E61" s="5">
        <f t="shared" ref="E61:N61" si="18">D58</f>
        <v>2000000</v>
      </c>
      <c r="F61" s="5">
        <f t="shared" si="18"/>
        <v>4000000</v>
      </c>
      <c r="G61" s="5">
        <f t="shared" si="18"/>
        <v>4000000</v>
      </c>
      <c r="H61" s="5">
        <f t="shared" si="18"/>
        <v>4000000</v>
      </c>
      <c r="I61" s="5">
        <f t="shared" si="18"/>
        <v>4000000</v>
      </c>
      <c r="J61" s="5">
        <f t="shared" si="18"/>
        <v>1418400</v>
      </c>
      <c r="K61" s="5">
        <f t="shared" si="18"/>
        <v>2364000</v>
      </c>
      <c r="L61" s="5">
        <f t="shared" si="18"/>
        <v>3309600.0000000009</v>
      </c>
      <c r="M61" s="5">
        <f t="shared" si="18"/>
        <v>3309600.0000000009</v>
      </c>
      <c r="N61" s="5">
        <f t="shared" si="18"/>
        <v>2364000</v>
      </c>
    </row>
    <row r="62" spans="1:14">
      <c r="A62" s="5" t="s">
        <v>145</v>
      </c>
      <c r="D62" s="5">
        <f>C59</f>
        <v>3000000</v>
      </c>
      <c r="E62" s="5">
        <f t="shared" ref="E62:N62" si="19">D59</f>
        <v>3000000</v>
      </c>
      <c r="F62" s="5">
        <f t="shared" si="19"/>
        <v>6000000</v>
      </c>
      <c r="G62" s="5">
        <f t="shared" si="19"/>
        <v>6000000</v>
      </c>
      <c r="H62" s="5">
        <f t="shared" si="19"/>
        <v>6000000</v>
      </c>
      <c r="I62" s="5">
        <f t="shared" si="19"/>
        <v>6000000</v>
      </c>
      <c r="J62" s="5">
        <f t="shared" si="19"/>
        <v>2127600</v>
      </c>
      <c r="K62" s="5">
        <f t="shared" si="19"/>
        <v>3546000</v>
      </c>
      <c r="L62" s="5">
        <f t="shared" si="19"/>
        <v>4964400.0000000009</v>
      </c>
      <c r="M62" s="5">
        <f t="shared" si="19"/>
        <v>4964400.0000000009</v>
      </c>
      <c r="N62" s="5">
        <f t="shared" si="19"/>
        <v>3546000</v>
      </c>
    </row>
    <row r="63" spans="1:14">
      <c r="A63" s="28" t="s">
        <v>237</v>
      </c>
      <c r="B63" s="5">
        <f>SUM(C63:N63)</f>
        <v>245742.00000000003</v>
      </c>
      <c r="C63" s="5">
        <f>(C61*Assumptions!$C$87/12)+(C62*Assumptions!$C$88/12)</f>
        <v>0</v>
      </c>
      <c r="D63" s="5">
        <f>(D61*Assumptions!$C$87/12)+(D62*Assumptions!$C$88/12)</f>
        <v>15000.000000000002</v>
      </c>
      <c r="E63" s="5">
        <f>(E61*Assumptions!$C$87/12)+(E62*Assumptions!$C$88/12)</f>
        <v>15000.000000000002</v>
      </c>
      <c r="F63" s="5">
        <f>(F61*Assumptions!$C$87/12)+(F62*Assumptions!$C$88/12)</f>
        <v>30000.000000000004</v>
      </c>
      <c r="G63" s="5">
        <f>(G61*Assumptions!$C$87/12)+(G62*Assumptions!$C$88/12)</f>
        <v>30000.000000000004</v>
      </c>
      <c r="H63" s="5">
        <f>(H61*Assumptions!$C$87/12)+(H62*Assumptions!$C$88/12)</f>
        <v>30000.000000000004</v>
      </c>
      <c r="I63" s="5">
        <f>(I61*Assumptions!$C$87/12)+(I62*Assumptions!$C$88/12)</f>
        <v>30000.000000000004</v>
      </c>
      <c r="J63" s="5">
        <f>(J61*Assumptions!$C$87/12)+(J62*Assumptions!$C$88/12)</f>
        <v>10638</v>
      </c>
      <c r="K63" s="5">
        <f>(K61*Assumptions!$C$87/12)+(K62*Assumptions!$C$88/12)</f>
        <v>17730</v>
      </c>
      <c r="L63" s="5">
        <f>(L61*Assumptions!$C$87/12)+(L62*Assumptions!$C$88/12)</f>
        <v>24822.000000000007</v>
      </c>
      <c r="M63" s="5">
        <f>(M61*Assumptions!$C$87/12)+(M62*Assumptions!$C$88/12)</f>
        <v>24822.000000000007</v>
      </c>
      <c r="N63" s="5">
        <f>(N61*Assumptions!$C$87/12)+(N62*Assumptions!$C$88/12)</f>
        <v>17730</v>
      </c>
    </row>
    <row r="64" spans="1:14">
      <c r="A64" s="28" t="s">
        <v>238</v>
      </c>
      <c r="B64" s="5">
        <f>Assumptions!C98</f>
        <v>82740000</v>
      </c>
      <c r="C64" s="5">
        <f>Assumptions!D98</f>
        <v>8273999.9999999991</v>
      </c>
      <c r="D64" s="5">
        <f>Assumptions!E98</f>
        <v>11583600.000000002</v>
      </c>
      <c r="E64" s="5">
        <f>Assumptions!F98</f>
        <v>11583600.000000002</v>
      </c>
      <c r="F64" s="5">
        <f>Assumptions!G98</f>
        <v>9928800</v>
      </c>
      <c r="G64" s="5">
        <f>Assumptions!H98</f>
        <v>8273999.9999999991</v>
      </c>
      <c r="H64" s="5">
        <f>Assumptions!I98</f>
        <v>8273999.9999999991</v>
      </c>
      <c r="I64" s="5">
        <f>Assumptions!J98</f>
        <v>2482200</v>
      </c>
      <c r="J64" s="5">
        <f>Assumptions!K98</f>
        <v>4136999.9999999995</v>
      </c>
      <c r="K64" s="5">
        <f>Assumptions!L98</f>
        <v>5791800.0000000009</v>
      </c>
      <c r="L64" s="5">
        <f>Assumptions!M98</f>
        <v>5791800.0000000009</v>
      </c>
      <c r="M64" s="5">
        <f>Assumptions!N98</f>
        <v>4136999.9999999995</v>
      </c>
      <c r="N64" s="5">
        <f>Assumptions!O98</f>
        <v>2482200</v>
      </c>
    </row>
    <row r="65" spans="1:14">
      <c r="A65" s="28" t="s">
        <v>239</v>
      </c>
      <c r="B65" s="5">
        <f>B64*Assumptions!$B$99</f>
        <v>1034250</v>
      </c>
      <c r="C65" s="5">
        <f>C64*Assumptions!$B$99</f>
        <v>103425</v>
      </c>
      <c r="D65" s="5">
        <f>D64*Assumptions!$B$99</f>
        <v>144795.00000000003</v>
      </c>
      <c r="E65" s="5">
        <f>E64*Assumptions!$B$99</f>
        <v>144795.00000000003</v>
      </c>
      <c r="F65" s="5">
        <f>F64*Assumptions!$B$99</f>
        <v>124110</v>
      </c>
      <c r="G65" s="5">
        <f>G64*Assumptions!$B$99</f>
        <v>103425</v>
      </c>
      <c r="H65" s="5">
        <f>H64*Assumptions!$B$99</f>
        <v>103425</v>
      </c>
      <c r="I65" s="5">
        <f>I64*Assumptions!$B$99</f>
        <v>31027.5</v>
      </c>
      <c r="J65" s="5">
        <f>J64*Assumptions!$B$99</f>
        <v>51712.5</v>
      </c>
      <c r="K65" s="5">
        <f>K64*Assumptions!$B$99</f>
        <v>72397.500000000015</v>
      </c>
      <c r="L65" s="5">
        <f>L64*Assumptions!$B$99</f>
        <v>72397.500000000015</v>
      </c>
      <c r="M65" s="5">
        <f>M64*Assumptions!$B$99</f>
        <v>51712.5</v>
      </c>
      <c r="N65" s="5">
        <f>N64*Assumptions!$B$99</f>
        <v>31027.5</v>
      </c>
    </row>
    <row r="66" spans="1:14">
      <c r="A66" s="28" t="s">
        <v>240</v>
      </c>
      <c r="B66" s="5">
        <f>SUM(C66:N66)</f>
        <v>68368.000000000015</v>
      </c>
      <c r="C66" s="5">
        <f>C58*Assumptions!$B$102</f>
        <v>4000</v>
      </c>
      <c r="D66" s="5">
        <f>D58*Assumptions!$B$102</f>
        <v>4000</v>
      </c>
      <c r="E66" s="5">
        <f>E58*Assumptions!$B$102</f>
        <v>8000</v>
      </c>
      <c r="F66" s="5">
        <f>F58*Assumptions!$B$102</f>
        <v>8000</v>
      </c>
      <c r="G66" s="5">
        <f>G58*Assumptions!$B$102</f>
        <v>8000</v>
      </c>
      <c r="H66" s="5">
        <f>H58*Assumptions!$B$102</f>
        <v>8000</v>
      </c>
      <c r="I66" s="5">
        <f>I58*Assumptions!$B$102</f>
        <v>2836.8</v>
      </c>
      <c r="J66" s="5">
        <f>J58*Assumptions!$B$102</f>
        <v>4728</v>
      </c>
      <c r="K66" s="5">
        <f>K58*Assumptions!$B$102</f>
        <v>6619.2000000000016</v>
      </c>
      <c r="L66" s="5">
        <f>L58*Assumptions!$B$102</f>
        <v>6619.2000000000016</v>
      </c>
      <c r="M66" s="5">
        <f>M58*Assumptions!$B$102</f>
        <v>4728</v>
      </c>
      <c r="N66" s="5">
        <f>N58*Assumptions!$B$102</f>
        <v>2836.8</v>
      </c>
    </row>
    <row r="67" spans="1:14">
      <c r="A67" s="28" t="s">
        <v>241</v>
      </c>
      <c r="B67" s="5">
        <f>B52</f>
        <v>40000</v>
      </c>
      <c r="C67" s="5">
        <f t="shared" ref="C67:N67" si="20">C52</f>
        <v>4000</v>
      </c>
      <c r="D67" s="5">
        <f t="shared" si="20"/>
        <v>5600.0000000000009</v>
      </c>
      <c r="E67" s="5">
        <f t="shared" si="20"/>
        <v>5600.0000000000009</v>
      </c>
      <c r="F67" s="5">
        <f t="shared" si="20"/>
        <v>4800</v>
      </c>
      <c r="G67" s="5">
        <f t="shared" si="20"/>
        <v>4000</v>
      </c>
      <c r="H67" s="5">
        <f t="shared" si="20"/>
        <v>4000</v>
      </c>
      <c r="I67" s="5">
        <f t="shared" si="20"/>
        <v>1200</v>
      </c>
      <c r="J67" s="5">
        <f t="shared" si="20"/>
        <v>2000</v>
      </c>
      <c r="K67" s="5">
        <f t="shared" si="20"/>
        <v>2800.0000000000005</v>
      </c>
      <c r="L67" s="5">
        <f t="shared" si="20"/>
        <v>2800.0000000000005</v>
      </c>
      <c r="M67" s="5">
        <f t="shared" si="20"/>
        <v>2000</v>
      </c>
      <c r="N67" s="5">
        <f t="shared" si="20"/>
        <v>1200</v>
      </c>
    </row>
    <row r="68" spans="1:14">
      <c r="A68" s="28" t="s">
        <v>242</v>
      </c>
      <c r="B68" s="5">
        <f>B53</f>
        <v>66666.666666666657</v>
      </c>
      <c r="C68" s="5">
        <f t="shared" ref="C68:N68" si="21">C53</f>
        <v>6666.666666666667</v>
      </c>
      <c r="D68" s="5">
        <f t="shared" si="21"/>
        <v>9333.3333333333339</v>
      </c>
      <c r="E68" s="5">
        <f t="shared" si="21"/>
        <v>9333.3333333333339</v>
      </c>
      <c r="F68" s="5">
        <f t="shared" si="21"/>
        <v>8000</v>
      </c>
      <c r="G68" s="5">
        <f t="shared" si="21"/>
        <v>6666.666666666667</v>
      </c>
      <c r="H68" s="5">
        <f t="shared" si="21"/>
        <v>6666.666666666667</v>
      </c>
      <c r="I68" s="5">
        <f t="shared" si="21"/>
        <v>2000</v>
      </c>
      <c r="J68" s="5">
        <f t="shared" si="21"/>
        <v>3333.3333333333335</v>
      </c>
      <c r="K68" s="5">
        <f t="shared" si="21"/>
        <v>4666.666666666667</v>
      </c>
      <c r="L68" s="5">
        <f t="shared" si="21"/>
        <v>4666.666666666667</v>
      </c>
      <c r="M68" s="5">
        <f t="shared" si="21"/>
        <v>3333.3333333333335</v>
      </c>
      <c r="N68" s="5">
        <f t="shared" si="21"/>
        <v>2000</v>
      </c>
    </row>
    <row r="69" spans="1:14" ht="15.6">
      <c r="A69" s="28" t="s">
        <v>244</v>
      </c>
      <c r="B69" s="41">
        <f>B68+B67+B66+B65+B63</f>
        <v>1455026.6666666667</v>
      </c>
      <c r="C69" s="5">
        <f>C68+C67+C66+C65+C63</f>
        <v>118091.66666666667</v>
      </c>
      <c r="D69" s="5">
        <f t="shared" ref="D69:N69" si="22">D68+D67+D66+D65+D63</f>
        <v>178728.33333333337</v>
      </c>
      <c r="E69" s="5">
        <f t="shared" si="22"/>
        <v>182728.33333333337</v>
      </c>
      <c r="F69" s="5">
        <f t="shared" si="22"/>
        <v>174910</v>
      </c>
      <c r="G69" s="5">
        <f t="shared" si="22"/>
        <v>152091.66666666669</v>
      </c>
      <c r="H69" s="5">
        <f t="shared" si="22"/>
        <v>152091.66666666669</v>
      </c>
      <c r="I69" s="5">
        <f t="shared" si="22"/>
        <v>67064.3</v>
      </c>
      <c r="J69" s="5">
        <f t="shared" si="22"/>
        <v>72411.833333333343</v>
      </c>
      <c r="K69" s="5">
        <f t="shared" si="22"/>
        <v>104213.36666666668</v>
      </c>
      <c r="L69" s="5">
        <f t="shared" si="22"/>
        <v>111305.3666666667</v>
      </c>
      <c r="M69" s="5">
        <f t="shared" si="22"/>
        <v>86595.833333333343</v>
      </c>
      <c r="N69" s="5">
        <f t="shared" si="22"/>
        <v>54794.3</v>
      </c>
    </row>
    <row r="71" spans="1:14" ht="18">
      <c r="A71" s="29" t="s">
        <v>248</v>
      </c>
      <c r="B71" s="1" t="s">
        <v>75</v>
      </c>
      <c r="C71" s="1" t="s">
        <v>129</v>
      </c>
      <c r="D71" s="1" t="s">
        <v>130</v>
      </c>
      <c r="E71" s="1" t="s">
        <v>131</v>
      </c>
      <c r="F71" s="1" t="s">
        <v>132</v>
      </c>
      <c r="G71" s="1" t="s">
        <v>133</v>
      </c>
      <c r="H71" s="1" t="s">
        <v>134</v>
      </c>
      <c r="I71" s="1" t="s">
        <v>135</v>
      </c>
      <c r="J71" s="1" t="s">
        <v>136</v>
      </c>
      <c r="K71" s="1" t="s">
        <v>137</v>
      </c>
      <c r="L71" s="1" t="s">
        <v>138</v>
      </c>
      <c r="M71" s="1" t="s">
        <v>139</v>
      </c>
      <c r="N71" s="1" t="s">
        <v>140</v>
      </c>
    </row>
    <row r="72" spans="1:14">
      <c r="A72" s="28" t="s">
        <v>249</v>
      </c>
    </row>
    <row r="73" spans="1:14">
      <c r="A73" s="60" t="s">
        <v>150</v>
      </c>
      <c r="B73" s="5">
        <f>-Sales!B4-Purchases!B19</f>
        <v>-76704000</v>
      </c>
    </row>
    <row r="74" spans="1:14">
      <c r="A74" s="60" t="s">
        <v>151</v>
      </c>
      <c r="B74" s="5">
        <f>-Purchases!B20-Sales!B4</f>
        <v>-76640000</v>
      </c>
    </row>
    <row r="75" spans="1:14">
      <c r="A75" s="60" t="s">
        <v>152</v>
      </c>
      <c r="B75" s="5">
        <f>-Sales!B4-Purchases!B21</f>
        <v>-76576000</v>
      </c>
    </row>
    <row r="76" spans="1:14">
      <c r="A76" s="28" t="s">
        <v>250</v>
      </c>
      <c r="B76" s="5">
        <f>-Logistics!B12</f>
        <v>-7200000</v>
      </c>
    </row>
    <row r="77" spans="1:14">
      <c r="A77" s="28" t="s">
        <v>251</v>
      </c>
    </row>
    <row r="78" spans="1:14">
      <c r="A78" s="60" t="s">
        <v>150</v>
      </c>
      <c r="B78" s="5">
        <f>B73*Assumptions!$B$18+$B$76*Assumptions!$B$19</f>
        <v>-8966400</v>
      </c>
      <c r="C78" s="5">
        <f>$B$78*Assumptions!D26</f>
        <v>-896640</v>
      </c>
      <c r="D78" s="5">
        <f>$B$78*Assumptions!E26</f>
        <v>-1255296.0000000002</v>
      </c>
      <c r="E78" s="5">
        <f>$B$78*Assumptions!F26</f>
        <v>-1255296.0000000002</v>
      </c>
      <c r="F78" s="5">
        <f>$B$78*Assumptions!G26</f>
        <v>-1075968</v>
      </c>
      <c r="G78" s="5">
        <f>$B$78*Assumptions!H26</f>
        <v>-896640</v>
      </c>
      <c r="H78" s="5">
        <f>$B$78*Assumptions!I26</f>
        <v>-896640</v>
      </c>
      <c r="I78" s="5">
        <f>$B$78*Assumptions!J26</f>
        <v>-268992</v>
      </c>
      <c r="J78" s="5">
        <f>$B$78*Assumptions!K26</f>
        <v>-448320</v>
      </c>
      <c r="K78" s="5">
        <f>$B$78*Assumptions!L26</f>
        <v>-627648.00000000012</v>
      </c>
      <c r="L78" s="5">
        <f>$B$78*Assumptions!M26</f>
        <v>-627648.00000000012</v>
      </c>
      <c r="M78" s="5">
        <f>$B$78*Assumptions!N26</f>
        <v>-448320</v>
      </c>
      <c r="N78" s="5">
        <f>$B$78*Assumptions!O26</f>
        <v>-268992</v>
      </c>
    </row>
    <row r="79" spans="1:14">
      <c r="A79" s="60" t="s">
        <v>151</v>
      </c>
      <c r="B79" s="5">
        <f>B74*Assumptions!$B$18+$B$76*Assumptions!$B$19</f>
        <v>-8960000</v>
      </c>
      <c r="C79" s="5">
        <f>$B$79*Assumptions!D26</f>
        <v>-896000</v>
      </c>
      <c r="D79" s="5">
        <f>$B$79*Assumptions!E26</f>
        <v>-1254400.0000000002</v>
      </c>
      <c r="E79" s="5">
        <f>$B$79*Assumptions!F26</f>
        <v>-1254400.0000000002</v>
      </c>
      <c r="F79" s="5">
        <f>$B$79*Assumptions!G26</f>
        <v>-1075200</v>
      </c>
      <c r="G79" s="5">
        <f>$B$79*Assumptions!H26</f>
        <v>-896000</v>
      </c>
      <c r="H79" s="5">
        <f>$B$79*Assumptions!I26</f>
        <v>-896000</v>
      </c>
      <c r="I79" s="5">
        <f>$B$79*Assumptions!J26</f>
        <v>-268800</v>
      </c>
      <c r="J79" s="5">
        <f>$B$79*Assumptions!K26</f>
        <v>-448000</v>
      </c>
      <c r="K79" s="5">
        <f>$B$79*Assumptions!L26</f>
        <v>-627200.00000000012</v>
      </c>
      <c r="L79" s="5">
        <f>$B$79*Assumptions!M26</f>
        <v>-627200.00000000012</v>
      </c>
      <c r="M79" s="5">
        <f>$B$79*Assumptions!N26</f>
        <v>-448000</v>
      </c>
      <c r="N79" s="5">
        <f>$B$79*Assumptions!O26</f>
        <v>-268800</v>
      </c>
    </row>
    <row r="80" spans="1:14">
      <c r="A80" s="60" t="s">
        <v>152</v>
      </c>
      <c r="B80" s="5">
        <f>B75*Assumptions!$B$18+$B$76*Assumptions!$B$19</f>
        <v>-8953600</v>
      </c>
      <c r="C80" s="5">
        <f>$B$80*Assumptions!D26</f>
        <v>-895360</v>
      </c>
      <c r="D80" s="5">
        <f>$B$80*Assumptions!E26</f>
        <v>-1253504.0000000002</v>
      </c>
      <c r="E80" s="5">
        <f>$B$80*Assumptions!F26</f>
        <v>-1253504.0000000002</v>
      </c>
      <c r="F80" s="5">
        <f>$B$80*Assumptions!G26</f>
        <v>-1074432</v>
      </c>
      <c r="G80" s="5">
        <f>$B$80*Assumptions!H26</f>
        <v>-895360</v>
      </c>
      <c r="H80" s="5">
        <f>$B$80*Assumptions!I26</f>
        <v>-895360</v>
      </c>
      <c r="I80" s="5">
        <f>$B$80*Assumptions!J26</f>
        <v>-268608</v>
      </c>
      <c r="J80" s="5">
        <f>$B$80*Assumptions!K26</f>
        <v>-447680</v>
      </c>
      <c r="K80" s="5">
        <f>$B$80*Assumptions!L26</f>
        <v>-626752.00000000012</v>
      </c>
      <c r="L80" s="5">
        <f>$B$80*Assumptions!M26</f>
        <v>-626752.00000000012</v>
      </c>
      <c r="M80" s="5">
        <f>$B$80*Assumptions!N26</f>
        <v>-447680</v>
      </c>
      <c r="N80" s="5">
        <f>$B$80*Assumptions!O26</f>
        <v>-268608</v>
      </c>
    </row>
    <row r="81" spans="1:14" ht="28.8">
      <c r="A81" s="28" t="s">
        <v>252</v>
      </c>
    </row>
    <row r="82" spans="1:14">
      <c r="A82" s="60" t="s">
        <v>150</v>
      </c>
      <c r="B82" s="5">
        <f>B78*Assumptions!$B$23</f>
        <v>-896640</v>
      </c>
      <c r="K82" s="5">
        <f>B82</f>
        <v>-896640</v>
      </c>
    </row>
    <row r="83" spans="1:14">
      <c r="A83" s="60" t="s">
        <v>151</v>
      </c>
      <c r="B83" s="5">
        <f>B79*Assumptions!$B$23</f>
        <v>-896000</v>
      </c>
      <c r="K83" s="5">
        <f t="shared" ref="K83:K84" si="23">B83</f>
        <v>-896000</v>
      </c>
    </row>
    <row r="84" spans="1:14">
      <c r="A84" s="60" t="s">
        <v>152</v>
      </c>
      <c r="B84" s="5">
        <f>B80*Assumptions!$B$23</f>
        <v>-895360</v>
      </c>
      <c r="K84" s="5">
        <f t="shared" si="23"/>
        <v>-895360</v>
      </c>
    </row>
    <row r="85" spans="1:14">
      <c r="A85" s="5" t="s">
        <v>253</v>
      </c>
    </row>
    <row r="86" spans="1:14">
      <c r="A86" s="60" t="s">
        <v>150</v>
      </c>
      <c r="K86" s="5">
        <f>-C78*(1-Assumptions!$B$23)</f>
        <v>806976</v>
      </c>
      <c r="L86" s="5">
        <f>-D78*(1-Assumptions!$B$23)</f>
        <v>1129766.4000000001</v>
      </c>
      <c r="M86" s="5">
        <f>-E78*(1-Assumptions!$B$23)</f>
        <v>1129766.4000000001</v>
      </c>
      <c r="N86" s="5">
        <f>-F78*(1-Assumptions!$B$23)</f>
        <v>968371.20000000007</v>
      </c>
    </row>
    <row r="87" spans="1:14">
      <c r="A87" s="60" t="s">
        <v>151</v>
      </c>
      <c r="K87" s="5">
        <f>-C79*(1-Assumptions!$B$23)</f>
        <v>806400</v>
      </c>
      <c r="L87" s="5">
        <f>-D79*(1-Assumptions!$B$23)</f>
        <v>1128960.0000000002</v>
      </c>
      <c r="M87" s="5">
        <f>-E79*(1-Assumptions!$B$23)</f>
        <v>1128960.0000000002</v>
      </c>
      <c r="N87" s="5">
        <f>-F79*(1-Assumptions!$B$23)</f>
        <v>967680</v>
      </c>
    </row>
    <row r="88" spans="1:14">
      <c r="A88" s="60" t="s">
        <v>152</v>
      </c>
      <c r="K88" s="5">
        <f>-C80*(1-Assumptions!$B$23)</f>
        <v>805824</v>
      </c>
      <c r="L88" s="5">
        <f>-D80*(1-Assumptions!$B$23)</f>
        <v>1128153.6000000003</v>
      </c>
      <c r="M88" s="5">
        <f>-E80*(1-Assumptions!$B$23)</f>
        <v>1128153.6000000003</v>
      </c>
      <c r="N88" s="5">
        <f>-F80*(1-Assumptions!$B$23)</f>
        <v>966988.80000000005</v>
      </c>
    </row>
    <row r="90" spans="1:14">
      <c r="A90" s="118" t="s">
        <v>254</v>
      </c>
    </row>
    <row r="91" spans="1:14">
      <c r="A91" s="60" t="s">
        <v>150</v>
      </c>
      <c r="C91" s="5">
        <f>C78+C86-C82</f>
        <v>-896640</v>
      </c>
      <c r="D91" s="5">
        <f>C91+D78+D86-D82</f>
        <v>-2151936</v>
      </c>
      <c r="E91" s="5">
        <f t="shared" ref="E91:N91" si="24">D91+E78+E86-E82</f>
        <v>-3407232</v>
      </c>
      <c r="F91" s="5">
        <f t="shared" si="24"/>
        <v>-4483200</v>
      </c>
      <c r="G91" s="5">
        <f t="shared" si="24"/>
        <v>-5379840</v>
      </c>
      <c r="H91" s="5">
        <f t="shared" si="24"/>
        <v>-6276480</v>
      </c>
      <c r="I91" s="5">
        <f t="shared" si="24"/>
        <v>-6545472</v>
      </c>
      <c r="J91" s="5">
        <f t="shared" si="24"/>
        <v>-6993792</v>
      </c>
      <c r="K91" s="5">
        <f t="shared" si="24"/>
        <v>-5917824</v>
      </c>
      <c r="L91" s="5">
        <f t="shared" si="24"/>
        <v>-5415705.5999999996</v>
      </c>
      <c r="M91" s="5">
        <f t="shared" si="24"/>
        <v>-4734259.1999999993</v>
      </c>
      <c r="N91" s="5">
        <f t="shared" si="24"/>
        <v>-4034879.9999999991</v>
      </c>
    </row>
    <row r="92" spans="1:14">
      <c r="A92" s="60" t="s">
        <v>151</v>
      </c>
      <c r="C92" s="5">
        <f>C79+C87-C83</f>
        <v>-896000</v>
      </c>
      <c r="D92" s="5">
        <f>C92+D79+D87-D83</f>
        <v>-2150400</v>
      </c>
      <c r="E92" s="5">
        <f t="shared" ref="E92:N92" si="25">D92+E79+E87-E83</f>
        <v>-3404800</v>
      </c>
      <c r="F92" s="5">
        <f t="shared" si="25"/>
        <v>-4480000</v>
      </c>
      <c r="G92" s="5">
        <f t="shared" si="25"/>
        <v>-5376000</v>
      </c>
      <c r="H92" s="5">
        <f t="shared" si="25"/>
        <v>-6272000</v>
      </c>
      <c r="I92" s="5">
        <f t="shared" si="25"/>
        <v>-6540800</v>
      </c>
      <c r="J92" s="5">
        <f t="shared" si="25"/>
        <v>-6988800</v>
      </c>
      <c r="K92" s="5">
        <f t="shared" si="25"/>
        <v>-5913600</v>
      </c>
      <c r="L92" s="5">
        <f t="shared" si="25"/>
        <v>-5411840</v>
      </c>
      <c r="M92" s="5">
        <f t="shared" si="25"/>
        <v>-4730880</v>
      </c>
      <c r="N92" s="5">
        <f t="shared" si="25"/>
        <v>-4032000</v>
      </c>
    </row>
    <row r="93" spans="1:14">
      <c r="A93" s="60" t="s">
        <v>152</v>
      </c>
      <c r="C93" s="5">
        <f>C80+C88</f>
        <v>-895360</v>
      </c>
      <c r="D93" s="5">
        <f>C93+D80+D88-D84</f>
        <v>-2148864</v>
      </c>
      <c r="E93" s="5">
        <f t="shared" ref="E93:N93" si="26">D93+E80+E88-E84</f>
        <v>-3402368</v>
      </c>
      <c r="F93" s="5">
        <f t="shared" si="26"/>
        <v>-4476800</v>
      </c>
      <c r="G93" s="5">
        <f t="shared" si="26"/>
        <v>-5372160</v>
      </c>
      <c r="H93" s="5">
        <f t="shared" si="26"/>
        <v>-6267520</v>
      </c>
      <c r="I93" s="5">
        <f t="shared" si="26"/>
        <v>-6536128</v>
      </c>
      <c r="J93" s="5">
        <f t="shared" si="26"/>
        <v>-6983808</v>
      </c>
      <c r="K93" s="5">
        <f t="shared" si="26"/>
        <v>-5909376</v>
      </c>
      <c r="L93" s="5">
        <f t="shared" si="26"/>
        <v>-5407974.3999999994</v>
      </c>
      <c r="M93" s="5">
        <f t="shared" si="26"/>
        <v>-4727500.7999999989</v>
      </c>
      <c r="N93" s="5">
        <f t="shared" si="26"/>
        <v>-4029119.9999999991</v>
      </c>
    </row>
    <row r="95" spans="1:14" ht="18">
      <c r="A95" s="29" t="s">
        <v>255</v>
      </c>
      <c r="B95" s="1" t="s">
        <v>75</v>
      </c>
      <c r="C95" s="1" t="s">
        <v>129</v>
      </c>
      <c r="D95" s="1" t="s">
        <v>130</v>
      </c>
      <c r="E95" s="1" t="s">
        <v>131</v>
      </c>
      <c r="F95" s="1" t="s">
        <v>132</v>
      </c>
      <c r="G95" s="1" t="s">
        <v>133</v>
      </c>
      <c r="H95" s="1" t="s">
        <v>134</v>
      </c>
      <c r="I95" s="1" t="s">
        <v>135</v>
      </c>
      <c r="J95" s="1" t="s">
        <v>136</v>
      </c>
      <c r="K95" s="1" t="s">
        <v>137</v>
      </c>
      <c r="L95" s="1" t="s">
        <v>138</v>
      </c>
      <c r="M95" s="1" t="s">
        <v>139</v>
      </c>
      <c r="N95" s="1" t="s">
        <v>140</v>
      </c>
    </row>
    <row r="96" spans="1:14">
      <c r="A96" s="5" t="s">
        <v>256</v>
      </c>
      <c r="C96" s="5">
        <f>Assumptions!B129</f>
        <v>4000000</v>
      </c>
      <c r="D96" s="5">
        <f>C96</f>
        <v>4000000</v>
      </c>
      <c r="E96" s="5">
        <f t="shared" ref="E96:N96" si="27">D96</f>
        <v>4000000</v>
      </c>
      <c r="F96" s="5">
        <f t="shared" si="27"/>
        <v>4000000</v>
      </c>
      <c r="G96" s="5">
        <f t="shared" si="27"/>
        <v>4000000</v>
      </c>
      <c r="H96" s="5">
        <f t="shared" si="27"/>
        <v>4000000</v>
      </c>
      <c r="I96" s="5">
        <f t="shared" si="27"/>
        <v>4000000</v>
      </c>
      <c r="J96" s="5">
        <f t="shared" si="27"/>
        <v>4000000</v>
      </c>
      <c r="K96" s="5">
        <f t="shared" si="27"/>
        <v>4000000</v>
      </c>
      <c r="L96" s="5">
        <f t="shared" si="27"/>
        <v>4000000</v>
      </c>
      <c r="M96" s="5">
        <f t="shared" si="27"/>
        <v>4000000</v>
      </c>
      <c r="N96" s="5">
        <f t="shared" si="27"/>
        <v>4000000</v>
      </c>
    </row>
    <row r="97" spans="1:14">
      <c r="A97" s="5" t="s">
        <v>257</v>
      </c>
      <c r="N97" s="5">
        <f>-C96</f>
        <v>-4000000</v>
      </c>
    </row>
    <row r="98" spans="1:14">
      <c r="A98" s="5" t="s">
        <v>258</v>
      </c>
      <c r="F98" s="5">
        <f>Assumptions!$B$131*Assumptions!$C$132*SUM(C96:E96)/3</f>
        <v>120000</v>
      </c>
      <c r="I98" s="5">
        <f>Assumptions!$B$131*Assumptions!$C$132*SUM(F96:H96)/3</f>
        <v>120000</v>
      </c>
      <c r="L98" s="5">
        <f>Assumptions!$B$131*Assumptions!$C$132*SUM(I96:K96)/3</f>
        <v>120000</v>
      </c>
      <c r="N98" s="5">
        <f>Assumptions!$B$131*Assumptions!$C$132*SUM(L96:N96)/3</f>
        <v>120000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RowHeight="14.4"/>
  <cols>
    <col min="1" max="1" width="47.21875" style="5" customWidth="1"/>
    <col min="2" max="6" width="20.77734375" style="5" customWidth="1"/>
    <col min="7" max="16384" width="8.88671875" style="5"/>
  </cols>
  <sheetData>
    <row r="1" spans="1:6" ht="15.6">
      <c r="A1" s="30" t="s">
        <v>259</v>
      </c>
    </row>
    <row r="2" spans="1:6" s="28" customFormat="1" ht="43.2">
      <c r="A2" s="23" t="s">
        <v>260</v>
      </c>
      <c r="B2" s="6" t="s">
        <v>261</v>
      </c>
      <c r="C2" s="6" t="s">
        <v>262</v>
      </c>
      <c r="D2" s="6" t="s">
        <v>263</v>
      </c>
      <c r="E2" s="6" t="s">
        <v>264</v>
      </c>
      <c r="F2" s="6" t="s">
        <v>265</v>
      </c>
    </row>
    <row r="3" spans="1:6">
      <c r="A3" s="5" t="s">
        <v>266</v>
      </c>
      <c r="B3" s="5">
        <v>10000</v>
      </c>
      <c r="C3" s="5">
        <f>Assumptions!$B$11*B3</f>
        <v>1915</v>
      </c>
      <c r="D3" s="5">
        <f>B3*Assumptions!$B$12</f>
        <v>3421</v>
      </c>
      <c r="E3" s="5">
        <v>8000</v>
      </c>
      <c r="F3" s="5">
        <f>B3-D3+E3</f>
        <v>14579</v>
      </c>
    </row>
    <row r="4" spans="1:6">
      <c r="A4" s="5" t="s">
        <v>267</v>
      </c>
      <c r="B4" s="5">
        <v>10000</v>
      </c>
      <c r="C4" s="5">
        <f>Assumptions!$B$11*B4</f>
        <v>1915</v>
      </c>
      <c r="D4" s="5">
        <f>B4*Assumptions!$B$12</f>
        <v>3421</v>
      </c>
      <c r="E4" s="5">
        <v>8000</v>
      </c>
      <c r="F4" s="5">
        <f t="shared" ref="F4:F6" si="0">B4-D4+E4</f>
        <v>14579</v>
      </c>
    </row>
    <row r="5" spans="1:6">
      <c r="A5" s="5" t="s">
        <v>268</v>
      </c>
      <c r="B5" s="5">
        <v>7000</v>
      </c>
      <c r="C5" s="5">
        <f>Assumptions!$B$11*B5</f>
        <v>1340.5</v>
      </c>
      <c r="D5" s="5">
        <f>B5*Assumptions!$B$12</f>
        <v>2394.7000000000003</v>
      </c>
      <c r="E5" s="5">
        <v>0</v>
      </c>
      <c r="F5" s="5">
        <f t="shared" si="0"/>
        <v>4605.2999999999993</v>
      </c>
    </row>
    <row r="6" spans="1:6">
      <c r="A6" s="5" t="s">
        <v>277</v>
      </c>
      <c r="B6" s="5">
        <v>5000</v>
      </c>
      <c r="C6" s="5">
        <f>Assumptions!$B$11*B6</f>
        <v>957.5</v>
      </c>
      <c r="D6" s="5">
        <f>B6*Assumptions!$B$12</f>
        <v>1710.5</v>
      </c>
      <c r="E6" s="5">
        <v>0</v>
      </c>
      <c r="F6" s="5">
        <f t="shared" si="0"/>
        <v>3289.5</v>
      </c>
    </row>
    <row r="7" spans="1:6">
      <c r="A7" s="40" t="s">
        <v>269</v>
      </c>
      <c r="B7" s="40">
        <f>SUM(B3:B6)</f>
        <v>32000</v>
      </c>
      <c r="C7" s="40">
        <f>SUM(C3:C6)</f>
        <v>6128</v>
      </c>
      <c r="D7" s="40">
        <f>SUM(D3:D6)</f>
        <v>10947.2</v>
      </c>
      <c r="E7" s="40">
        <f>SUM(E3:E6)</f>
        <v>16000</v>
      </c>
      <c r="F7" s="40">
        <f>SUM(F3:F6)</f>
        <v>37052.800000000003</v>
      </c>
    </row>
    <row r="9" spans="1:6" ht="15.6">
      <c r="A9" s="23" t="s">
        <v>270</v>
      </c>
    </row>
    <row r="10" spans="1:6">
      <c r="A10" s="28" t="s">
        <v>271</v>
      </c>
      <c r="B10" s="5">
        <v>5000</v>
      </c>
      <c r="C10" s="5">
        <f>B10*Assumptions!$B$15</f>
        <v>1300</v>
      </c>
      <c r="D10" s="5">
        <f>B10*Assumptions!$B$16</f>
        <v>650</v>
      </c>
      <c r="E10" s="5">
        <v>5000</v>
      </c>
      <c r="F10" s="5">
        <f t="shared" ref="F10:F17" si="1">B10-D10+E10</f>
        <v>9350</v>
      </c>
    </row>
    <row r="11" spans="1:6">
      <c r="A11" s="28" t="s">
        <v>272</v>
      </c>
      <c r="B11" s="5">
        <v>4000</v>
      </c>
      <c r="C11" s="5">
        <f>B11*Assumptions!$B$15</f>
        <v>1040</v>
      </c>
      <c r="D11" s="5">
        <f>B11*Assumptions!$B$16</f>
        <v>520</v>
      </c>
      <c r="E11" s="5">
        <v>0</v>
      </c>
      <c r="F11" s="5">
        <f t="shared" si="1"/>
        <v>3480</v>
      </c>
    </row>
    <row r="12" spans="1:6">
      <c r="A12" s="5" t="s">
        <v>273</v>
      </c>
      <c r="B12" s="5">
        <v>3000</v>
      </c>
      <c r="C12" s="5">
        <f>B12*Assumptions!$B$15</f>
        <v>780</v>
      </c>
      <c r="D12" s="5">
        <f>B12*Assumptions!$B$16</f>
        <v>390</v>
      </c>
      <c r="E12" s="5">
        <v>0</v>
      </c>
      <c r="F12" s="5">
        <f t="shared" si="1"/>
        <v>2610</v>
      </c>
    </row>
    <row r="13" spans="1:6">
      <c r="A13" s="5" t="s">
        <v>274</v>
      </c>
      <c r="B13" s="5">
        <v>5000</v>
      </c>
      <c r="C13" s="5">
        <f>B13*Assumptions!$B$15</f>
        <v>1300</v>
      </c>
      <c r="D13" s="5">
        <f>B13*Assumptions!$B$16</f>
        <v>650</v>
      </c>
      <c r="E13" s="5">
        <v>0</v>
      </c>
      <c r="F13" s="5">
        <f t="shared" si="1"/>
        <v>4350</v>
      </c>
    </row>
    <row r="14" spans="1:6">
      <c r="A14" s="5" t="s">
        <v>275</v>
      </c>
      <c r="B14" s="5">
        <v>5000</v>
      </c>
      <c r="C14" s="5">
        <f>B14*Assumptions!$B$15</f>
        <v>1300</v>
      </c>
      <c r="D14" s="5">
        <f>B14*Assumptions!$B$16</f>
        <v>650</v>
      </c>
      <c r="E14" s="5">
        <v>0</v>
      </c>
      <c r="F14" s="5">
        <f t="shared" si="1"/>
        <v>4350</v>
      </c>
    </row>
    <row r="15" spans="1:6">
      <c r="A15" s="28" t="s">
        <v>276</v>
      </c>
      <c r="B15" s="5">
        <v>3000</v>
      </c>
      <c r="C15" s="5">
        <f>B15*Assumptions!$B$15</f>
        <v>780</v>
      </c>
      <c r="D15" s="5">
        <f>B15*Assumptions!$B$16</f>
        <v>390</v>
      </c>
      <c r="E15" s="5">
        <v>0</v>
      </c>
      <c r="F15" s="5">
        <f t="shared" si="1"/>
        <v>2610</v>
      </c>
    </row>
    <row r="16" spans="1:6">
      <c r="A16" s="5" t="s">
        <v>277</v>
      </c>
      <c r="B16" s="5">
        <v>1500</v>
      </c>
      <c r="C16" s="5">
        <f>B16*Assumptions!$B$15</f>
        <v>390</v>
      </c>
      <c r="D16" s="5">
        <f>B16*Assumptions!$B$16</f>
        <v>195</v>
      </c>
      <c r="E16" s="5">
        <v>0</v>
      </c>
      <c r="F16" s="5">
        <f t="shared" ref="F16" si="2">B16-D16+E16</f>
        <v>1305</v>
      </c>
    </row>
    <row r="17" spans="1:6">
      <c r="A17" s="5" t="s">
        <v>278</v>
      </c>
      <c r="B17" s="5">
        <v>45000</v>
      </c>
      <c r="C17" s="5">
        <f>B17*Assumptions!$B$15</f>
        <v>11700</v>
      </c>
      <c r="D17" s="5">
        <f>B17*Assumptions!$B$16</f>
        <v>5850</v>
      </c>
      <c r="E17" s="5">
        <v>15000</v>
      </c>
      <c r="F17" s="5">
        <f t="shared" si="1"/>
        <v>54150</v>
      </c>
    </row>
    <row r="18" spans="1:6">
      <c r="A18" s="5" t="s">
        <v>279</v>
      </c>
      <c r="B18" s="5">
        <v>1500</v>
      </c>
      <c r="C18" s="5">
        <f>B18*Assumptions!$B$15</f>
        <v>390</v>
      </c>
      <c r="D18" s="5">
        <f>B18*Assumptions!$B$16</f>
        <v>195</v>
      </c>
      <c r="E18" s="5">
        <v>0</v>
      </c>
      <c r="F18" s="5">
        <f t="shared" ref="F18" si="3">B18-D18+E18</f>
        <v>1305</v>
      </c>
    </row>
    <row r="19" spans="1:6">
      <c r="A19" s="40" t="s">
        <v>280</v>
      </c>
      <c r="B19" s="40">
        <f>SUM(B10:B18)</f>
        <v>73000</v>
      </c>
      <c r="C19" s="40">
        <f t="shared" ref="C19:F19" si="4">SUM(C10:C18)</f>
        <v>18980</v>
      </c>
      <c r="D19" s="40">
        <f t="shared" si="4"/>
        <v>9490</v>
      </c>
      <c r="E19" s="40">
        <f t="shared" si="4"/>
        <v>20000</v>
      </c>
      <c r="F19" s="40">
        <f t="shared" si="4"/>
        <v>83510</v>
      </c>
    </row>
    <row r="21" spans="1:6" ht="72">
      <c r="A21" s="18" t="s">
        <v>281</v>
      </c>
      <c r="B21" s="39" t="s">
        <v>260</v>
      </c>
      <c r="C21" s="39" t="s">
        <v>282</v>
      </c>
    </row>
    <row r="22" spans="1:6">
      <c r="A22" s="5" t="s">
        <v>283</v>
      </c>
      <c r="B22" s="5">
        <v>3000</v>
      </c>
    </row>
    <row r="23" spans="1:6">
      <c r="A23" s="5" t="s">
        <v>284</v>
      </c>
      <c r="B23" s="5">
        <f>300*70/12</f>
        <v>1750</v>
      </c>
    </row>
    <row r="24" spans="1:6">
      <c r="A24" s="5" t="s">
        <v>285</v>
      </c>
      <c r="B24" s="5">
        <v>1000</v>
      </c>
    </row>
    <row r="25" spans="1:6">
      <c r="A25" s="5" t="s">
        <v>286</v>
      </c>
      <c r="B25" s="5">
        <v>500</v>
      </c>
    </row>
    <row r="26" spans="1:6">
      <c r="A26" s="5" t="s">
        <v>287</v>
      </c>
      <c r="B26" s="5">
        <v>2500</v>
      </c>
    </row>
    <row r="27" spans="1:6">
      <c r="A27" s="5" t="s">
        <v>288</v>
      </c>
      <c r="B27" s="5">
        <v>500</v>
      </c>
    </row>
    <row r="28" spans="1:6">
      <c r="A28" s="5" t="s">
        <v>289</v>
      </c>
      <c r="B28" s="5">
        <v>1000</v>
      </c>
    </row>
    <row r="29" spans="1:6">
      <c r="A29" s="5" t="s">
        <v>290</v>
      </c>
      <c r="B29" s="5">
        <v>600</v>
      </c>
    </row>
    <row r="30" spans="1:6">
      <c r="A30" s="5" t="s">
        <v>291</v>
      </c>
      <c r="B30" s="5">
        <f>200*15</f>
        <v>3000</v>
      </c>
    </row>
    <row r="31" spans="1:6">
      <c r="A31" s="5" t="s">
        <v>292</v>
      </c>
      <c r="B31" s="5">
        <v>500</v>
      </c>
    </row>
    <row r="32" spans="1:6">
      <c r="A32" s="5" t="s">
        <v>293</v>
      </c>
      <c r="B32" s="5">
        <v>100</v>
      </c>
    </row>
    <row r="33" spans="1:3">
      <c r="A33" s="5" t="s">
        <v>294</v>
      </c>
      <c r="B33" s="5">
        <f>50000/12</f>
        <v>4166.666666666667</v>
      </c>
    </row>
    <row r="34" spans="1:3">
      <c r="A34" s="5" t="s">
        <v>295</v>
      </c>
      <c r="B34" s="5">
        <v>500</v>
      </c>
    </row>
    <row r="35" spans="1:3">
      <c r="A35" s="40" t="s">
        <v>269</v>
      </c>
      <c r="B35" s="40">
        <f>SUM(B22:B34)</f>
        <v>19116.666666666668</v>
      </c>
      <c r="C35" s="40">
        <f>500*15</f>
        <v>7500</v>
      </c>
    </row>
    <row r="37" spans="1:3" ht="15.6">
      <c r="A37" s="5" t="s">
        <v>296</v>
      </c>
      <c r="B37" s="41">
        <f>(B35+B7+C7+E7)*12</f>
        <v>878936</v>
      </c>
    </row>
    <row r="38" spans="1:3">
      <c r="A38" s="5" t="s">
        <v>297</v>
      </c>
      <c r="B38" s="5">
        <f>F7*12</f>
        <v>444633.60000000003</v>
      </c>
    </row>
    <row r="39" spans="1:3" ht="15.6">
      <c r="A39" s="5" t="s">
        <v>298</v>
      </c>
      <c r="B39" s="5">
        <f>B37*Assumptions!B5</f>
        <v>926134.86320000002</v>
      </c>
    </row>
    <row r="41" spans="1:3" ht="15.6">
      <c r="A41" s="5" t="s">
        <v>299</v>
      </c>
      <c r="B41" s="41">
        <f>(C35+B19+C19+E19)*12</f>
        <v>1433760</v>
      </c>
    </row>
    <row r="43" spans="1:3" s="41" customFormat="1" ht="15.6">
      <c r="A43" s="41" t="s">
        <v>300</v>
      </c>
      <c r="B43" s="41">
        <f>B41+B37</f>
        <v>2312696</v>
      </c>
    </row>
    <row r="45" spans="1:3">
      <c r="A45" s="28" t="s">
        <v>185</v>
      </c>
      <c r="B45" s="5">
        <f>Assumptions!B136</f>
        <v>50000</v>
      </c>
    </row>
    <row r="46" spans="1:3">
      <c r="A46" s="28" t="s">
        <v>186</v>
      </c>
      <c r="B46" s="5">
        <f>Assumptions!B137</f>
        <v>100000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workbookViewId="0">
      <selection activeCell="A111" sqref="A111:A118"/>
    </sheetView>
  </sheetViews>
  <sheetFormatPr defaultRowHeight="14.4"/>
  <cols>
    <col min="1" max="1" width="46.21875" style="5" customWidth="1"/>
    <col min="2" max="2" width="12.109375" style="5" bestFit="1" customWidth="1"/>
    <col min="3" max="14" width="11.77734375" style="5" customWidth="1"/>
    <col min="15" max="16384" width="8.88671875" style="5"/>
  </cols>
  <sheetData>
    <row r="1" spans="1:14" ht="18">
      <c r="A1" s="29" t="s">
        <v>301</v>
      </c>
      <c r="I1" s="85"/>
    </row>
    <row r="2" spans="1:14" ht="18">
      <c r="A2" s="115" t="s">
        <v>150</v>
      </c>
      <c r="B2" s="1" t="s">
        <v>75</v>
      </c>
      <c r="C2" s="1" t="s">
        <v>129</v>
      </c>
      <c r="D2" s="1" t="s">
        <v>130</v>
      </c>
      <c r="E2" s="1" t="s">
        <v>131</v>
      </c>
      <c r="F2" s="1" t="s">
        <v>132</v>
      </c>
      <c r="G2" s="1" t="s">
        <v>133</v>
      </c>
      <c r="H2" s="1" t="s">
        <v>134</v>
      </c>
      <c r="I2" s="1" t="s">
        <v>135</v>
      </c>
      <c r="J2" s="1" t="s">
        <v>136</v>
      </c>
      <c r="K2" s="1" t="s">
        <v>137</v>
      </c>
      <c r="L2" s="1" t="s">
        <v>138</v>
      </c>
      <c r="M2" s="1" t="s">
        <v>139</v>
      </c>
      <c r="N2" s="1" t="s">
        <v>140</v>
      </c>
    </row>
    <row r="3" spans="1:14" ht="18">
      <c r="A3" s="84" t="s">
        <v>84</v>
      </c>
      <c r="B3" s="1"/>
    </row>
    <row r="4" spans="1:14" ht="15.6">
      <c r="A4" s="110" t="s">
        <v>302</v>
      </c>
      <c r="B4" s="23">
        <f>Sales!B4</f>
        <v>69120000</v>
      </c>
      <c r="C4" s="113">
        <f>Sales!C4</f>
        <v>6912000</v>
      </c>
      <c r="D4" s="113">
        <f>Sales!D4</f>
        <v>9676800.0000000019</v>
      </c>
      <c r="E4" s="113">
        <f>Sales!E4</f>
        <v>9676800.0000000019</v>
      </c>
      <c r="F4" s="113">
        <f>Sales!F4</f>
        <v>8294400</v>
      </c>
      <c r="G4" s="113">
        <f>Sales!G4</f>
        <v>6912000</v>
      </c>
      <c r="H4" s="113">
        <f>Sales!H4</f>
        <v>6912000</v>
      </c>
      <c r="I4" s="113">
        <f>Sales!I4</f>
        <v>2073600</v>
      </c>
      <c r="J4" s="113">
        <f>Sales!J4</f>
        <v>3456000</v>
      </c>
      <c r="K4" s="113">
        <f>Sales!K4</f>
        <v>4838400.0000000009</v>
      </c>
      <c r="L4" s="113">
        <f>Sales!L4</f>
        <v>4838400.0000000009</v>
      </c>
      <c r="M4" s="113">
        <f>Sales!M4</f>
        <v>3456000</v>
      </c>
      <c r="N4" s="113">
        <f>Sales!N4</f>
        <v>2073600</v>
      </c>
    </row>
    <row r="5" spans="1:14" ht="15.6">
      <c r="A5" s="110" t="s">
        <v>303</v>
      </c>
      <c r="B5" s="114">
        <f>-'P&amp;L PurCo Bad'!B7</f>
        <v>66902284.444444448</v>
      </c>
      <c r="C5" s="113">
        <f>-'P&amp;L PurCo Bad'!C7</f>
        <v>6674967.3015873022</v>
      </c>
      <c r="D5" s="113">
        <f>-'P&amp;L PurCo Bad'!D7</f>
        <v>9286606.6666666679</v>
      </c>
      <c r="E5" s="113">
        <f>-'P&amp;L PurCo Bad'!E7</f>
        <v>9286606.6666666679</v>
      </c>
      <c r="F5" s="113">
        <f>-'P&amp;L PurCo Bad'!F7</f>
        <v>7973326.666666667</v>
      </c>
      <c r="G5" s="113">
        <f>-'P&amp;L PurCo Bad'!G7</f>
        <v>6660046.666666667</v>
      </c>
      <c r="H5" s="113">
        <f>-'P&amp;L PurCo Bad'!H7</f>
        <v>6660046.666666667</v>
      </c>
      <c r="I5" s="113">
        <f>-'P&amp;L PurCo Bad'!I7</f>
        <v>2063566.6666666667</v>
      </c>
      <c r="J5" s="113">
        <f>-'P&amp;L PurCo Bad'!J7</f>
        <v>3376846.6666666665</v>
      </c>
      <c r="K5" s="113">
        <f>-'P&amp;L PurCo Bad'!K7</f>
        <v>4690126.6666666679</v>
      </c>
      <c r="L5" s="113">
        <f>-'P&amp;L PurCo Bad'!L7</f>
        <v>4690126.6666666679</v>
      </c>
      <c r="M5" s="113">
        <f>-'P&amp;L PurCo Bad'!M7</f>
        <v>3376846.6666666665</v>
      </c>
      <c r="N5" s="113">
        <f>-'P&amp;L PurCo Bad'!N7</f>
        <v>2063566.6666666667</v>
      </c>
    </row>
    <row r="6" spans="1:14">
      <c r="A6" s="110" t="s">
        <v>304</v>
      </c>
      <c r="C6" s="5">
        <f t="shared" ref="C6:N6" si="0">C4-C19</f>
        <v>4912000</v>
      </c>
      <c r="D6" s="5">
        <f t="shared" si="0"/>
        <v>7676800.0000000019</v>
      </c>
      <c r="E6" s="5">
        <f t="shared" si="0"/>
        <v>5676800.0000000019</v>
      </c>
      <c r="F6" s="5">
        <f t="shared" si="0"/>
        <v>4294400</v>
      </c>
      <c r="G6" s="5">
        <f t="shared" si="0"/>
        <v>2912000</v>
      </c>
      <c r="H6" s="5">
        <f t="shared" si="0"/>
        <v>2912000</v>
      </c>
      <c r="I6" s="5">
        <f t="shared" si="0"/>
        <v>708000</v>
      </c>
      <c r="J6" s="5">
        <f t="shared" si="0"/>
        <v>1180000</v>
      </c>
      <c r="K6" s="5">
        <f t="shared" si="0"/>
        <v>1652000.0000000005</v>
      </c>
      <c r="L6" s="5">
        <f t="shared" si="0"/>
        <v>1652000.0000000005</v>
      </c>
      <c r="M6" s="5">
        <f t="shared" si="0"/>
        <v>1180000</v>
      </c>
      <c r="N6" s="5">
        <f t="shared" si="0"/>
        <v>708000</v>
      </c>
    </row>
    <row r="7" spans="1:14" ht="28.8">
      <c r="A7" s="110" t="s">
        <v>305</v>
      </c>
      <c r="B7" s="34">
        <f>Assumptions!B103</f>
        <v>0.5</v>
      </c>
      <c r="C7" s="5">
        <f>$B$7*(Purchases!D6+Purchases!D7)</f>
        <v>4142880.0000000009</v>
      </c>
      <c r="D7" s="5">
        <f>$B$7*(Purchases!E6+Purchases!E7)</f>
        <v>4142880.0000000009</v>
      </c>
      <c r="E7" s="5">
        <f>$B$7*(Purchases!F6+Purchases!F7)</f>
        <v>3551040</v>
      </c>
      <c r="F7" s="5">
        <f>$B$7*(Purchases!G6+Purchases!G7)</f>
        <v>2959200</v>
      </c>
      <c r="G7" s="5">
        <f>$B$7*(Purchases!H6+Purchases!H7)</f>
        <v>2959200</v>
      </c>
      <c r="H7" s="5">
        <f>$B$7*(Purchases!I6+Purchases!I7)</f>
        <v>887760</v>
      </c>
      <c r="I7" s="5">
        <f>$B$7*(Purchases!J6+Purchases!J7)</f>
        <v>1479600</v>
      </c>
      <c r="J7" s="5">
        <f>$B$7*(Purchases!K6+Purchases!K7)</f>
        <v>2071440.0000000005</v>
      </c>
      <c r="K7" s="5">
        <f>$B$7*(Purchases!L6+Purchases!L7)</f>
        <v>2071440.0000000005</v>
      </c>
      <c r="L7" s="5">
        <f>$B$7*(Purchases!M6+Purchases!M7)</f>
        <v>1479600</v>
      </c>
      <c r="M7" s="5">
        <f>$B$7*(Purchases!N6+Purchases!N7)</f>
        <v>887760</v>
      </c>
      <c r="N7" s="5">
        <f>$B$7*(Purchases!O6+Purchases!O7)</f>
        <v>0</v>
      </c>
    </row>
    <row r="8" spans="1:14">
      <c r="A8" s="110" t="s">
        <v>306</v>
      </c>
      <c r="B8" s="34">
        <v>0.8</v>
      </c>
      <c r="C8" s="5">
        <f>$B$8*(Purchases!C6+Purchases!C7)</f>
        <v>4734720</v>
      </c>
      <c r="D8" s="5">
        <f>$B$8*(Purchases!D6+Purchases!D7)</f>
        <v>6628608.0000000019</v>
      </c>
      <c r="E8" s="5">
        <f>$B$8*(Purchases!E6+Purchases!E7)</f>
        <v>6628608.0000000019</v>
      </c>
      <c r="F8" s="5">
        <f>$B$8*(Purchases!F6+Purchases!F7)</f>
        <v>5681664</v>
      </c>
      <c r="G8" s="5">
        <f>$B$8*(Purchases!G6+Purchases!G7)</f>
        <v>4734720</v>
      </c>
      <c r="H8" s="5">
        <f>$B$8*(Purchases!H6+Purchases!H7)</f>
        <v>4734720</v>
      </c>
      <c r="I8" s="5">
        <f>$B$8*(Purchases!I6+Purchases!I7)</f>
        <v>1420416</v>
      </c>
      <c r="J8" s="5">
        <f>$B$8*(Purchases!J6+Purchases!J7)</f>
        <v>2367360</v>
      </c>
      <c r="K8" s="5">
        <f>$B$8*(Purchases!K6+Purchases!K7)</f>
        <v>3314304.0000000009</v>
      </c>
      <c r="L8" s="5">
        <f>$B$8*(Purchases!L6+Purchases!L7)</f>
        <v>3314304.0000000009</v>
      </c>
      <c r="M8" s="5">
        <f>$B$8*(Purchases!M6+Purchases!M7)</f>
        <v>2367360</v>
      </c>
      <c r="N8" s="5">
        <f>$B$8*(Purchases!N6+Purchases!N7)</f>
        <v>1420416</v>
      </c>
    </row>
    <row r="9" spans="1:14" ht="28.8">
      <c r="A9" s="110" t="s">
        <v>307</v>
      </c>
      <c r="B9" s="34">
        <f>Assumptions!B104</f>
        <v>0.5</v>
      </c>
      <c r="C9" s="5">
        <f>$B$9*(Purchases!D6+Purchases!D7)</f>
        <v>4142880.0000000009</v>
      </c>
      <c r="D9" s="5">
        <f>$B$9*(Purchases!E6+Purchases!E7)</f>
        <v>4142880.0000000009</v>
      </c>
      <c r="E9" s="5">
        <f>$B$9*(Purchases!F6+Purchases!F7)</f>
        <v>3551040</v>
      </c>
      <c r="F9" s="5">
        <f>$B$9*(Purchases!G6+Purchases!G7)</f>
        <v>2959200</v>
      </c>
      <c r="G9" s="5">
        <f>$B$9*(Purchases!H6+Purchases!H7)</f>
        <v>2959200</v>
      </c>
      <c r="H9" s="5">
        <f>$B$9*(Purchases!I6+Purchases!I7)</f>
        <v>887760</v>
      </c>
      <c r="I9" s="5">
        <f>$B$9*(Purchases!J6+Purchases!J7)</f>
        <v>1479600</v>
      </c>
      <c r="J9" s="5">
        <f>$B$9*(Purchases!K6+Purchases!K7)</f>
        <v>2071440.0000000005</v>
      </c>
      <c r="K9" s="5">
        <f>$B$9*(Purchases!L6+Purchases!L7)</f>
        <v>2071440.0000000005</v>
      </c>
      <c r="L9" s="5">
        <f>$B$9*(Purchases!M6+Purchases!M7)</f>
        <v>1479600</v>
      </c>
      <c r="M9" s="5">
        <f>$B$9*(Purchases!N6+Purchases!N7)</f>
        <v>887760</v>
      </c>
      <c r="N9" s="5">
        <f>$B$9*(Purchases!O6+Purchases!O7)</f>
        <v>0</v>
      </c>
    </row>
    <row r="10" spans="1:14">
      <c r="A10" s="110"/>
    </row>
    <row r="11" spans="1:14" ht="18">
      <c r="A11" s="61" t="s">
        <v>81</v>
      </c>
    </row>
    <row r="12" spans="1:14" ht="15.6">
      <c r="A12" s="110" t="s">
        <v>302</v>
      </c>
      <c r="B12" s="41">
        <f>Sales!B8</f>
        <v>84000000</v>
      </c>
      <c r="C12" s="5">
        <f>Sales!C8</f>
        <v>8400000</v>
      </c>
      <c r="D12" s="5">
        <f>Sales!D8</f>
        <v>11760000.000000002</v>
      </c>
      <c r="E12" s="5">
        <f>Sales!E8</f>
        <v>11760000.000000002</v>
      </c>
      <c r="F12" s="5">
        <f>Sales!F8</f>
        <v>10080000</v>
      </c>
      <c r="G12" s="5">
        <f>Sales!G8</f>
        <v>8400000</v>
      </c>
      <c r="H12" s="5">
        <f>Sales!H8</f>
        <v>8400000</v>
      </c>
      <c r="I12" s="5">
        <f>Sales!I8</f>
        <v>2520000</v>
      </c>
      <c r="J12" s="5">
        <f>Sales!J8</f>
        <v>4200000</v>
      </c>
      <c r="K12" s="5">
        <f>Sales!K8</f>
        <v>5880000.0000000009</v>
      </c>
      <c r="L12" s="5">
        <f>Sales!L8</f>
        <v>5880000.0000000009</v>
      </c>
      <c r="M12" s="5">
        <f>Sales!M8</f>
        <v>4200000</v>
      </c>
      <c r="N12" s="5">
        <f>Sales!N8</f>
        <v>2520000</v>
      </c>
    </row>
    <row r="13" spans="1:14" ht="15.6">
      <c r="A13" s="110" t="s">
        <v>303</v>
      </c>
      <c r="B13" s="41">
        <f>-'P&amp;L ExCo Bad'!B7</f>
        <v>83904000</v>
      </c>
      <c r="C13" s="5">
        <f>-'P&amp;L ExCo Bad'!C7</f>
        <v>8390400</v>
      </c>
      <c r="D13" s="5">
        <f>-'P&amp;L ExCo Bad'!D7</f>
        <v>11746560.000000002</v>
      </c>
      <c r="E13" s="5">
        <f>-'P&amp;L ExCo Bad'!E7</f>
        <v>11746560.000000002</v>
      </c>
      <c r="F13" s="5">
        <f>-'P&amp;L ExCo Bad'!F7</f>
        <v>10068480</v>
      </c>
      <c r="G13" s="5">
        <f>-'P&amp;L ExCo Bad'!G7</f>
        <v>8390400</v>
      </c>
      <c r="H13" s="5">
        <f>-'P&amp;L ExCo Bad'!H7</f>
        <v>8390400</v>
      </c>
      <c r="I13" s="5">
        <f>-'P&amp;L ExCo Bad'!I7</f>
        <v>2517120</v>
      </c>
      <c r="J13" s="5">
        <f>-'P&amp;L ExCo Bad'!J7</f>
        <v>4195200</v>
      </c>
      <c r="K13" s="5">
        <f>-'P&amp;L ExCo Bad'!K7</f>
        <v>5873280.0000000009</v>
      </c>
      <c r="L13" s="5">
        <f>-'P&amp;L ExCo Bad'!L7</f>
        <v>5873280.0000000009</v>
      </c>
      <c r="M13" s="5">
        <f>-'P&amp;L ExCo Bad'!M7</f>
        <v>4195200</v>
      </c>
      <c r="N13" s="5">
        <f>-'P&amp;L ExCo Bad'!N7</f>
        <v>2517120</v>
      </c>
    </row>
    <row r="14" spans="1:14">
      <c r="A14" s="110" t="s">
        <v>308</v>
      </c>
      <c r="C14" s="5">
        <f>Sales!C8-Financing!C29</f>
        <v>5400000</v>
      </c>
      <c r="D14" s="5">
        <f>Sales!D8-Financing!D29</f>
        <v>8760000.0000000019</v>
      </c>
      <c r="E14" s="5">
        <f>Sales!E8-Financing!E29</f>
        <v>5760000.0000000019</v>
      </c>
      <c r="F14" s="5">
        <f>Sales!F8-Financing!F29</f>
        <v>4080000</v>
      </c>
      <c r="G14" s="5">
        <f>Sales!G8-Financing!G29</f>
        <v>2400000</v>
      </c>
      <c r="H14" s="5">
        <f>Sales!H8-Financing!H29</f>
        <v>2400000</v>
      </c>
      <c r="I14" s="5">
        <f>Sales!I8-Financing!I29</f>
        <v>471600</v>
      </c>
      <c r="J14" s="5">
        <f>Sales!J8-Financing!J29</f>
        <v>786000</v>
      </c>
      <c r="K14" s="5">
        <f>Sales!K8-Financing!K29</f>
        <v>1100400.0000000009</v>
      </c>
      <c r="L14" s="5">
        <f>Sales!L8-Financing!L29</f>
        <v>1100400.0000000009</v>
      </c>
      <c r="M14" s="5">
        <f>Sales!M8-Financing!M29</f>
        <v>786000</v>
      </c>
      <c r="N14" s="5">
        <f>Sales!N8-Financing!N29</f>
        <v>471600</v>
      </c>
    </row>
    <row r="15" spans="1:14">
      <c r="A15" s="110" t="s">
        <v>309</v>
      </c>
      <c r="C15" s="5">
        <f>-Financing!C91</f>
        <v>896640</v>
      </c>
      <c r="D15" s="5">
        <f>-Financing!D91</f>
        <v>2151936</v>
      </c>
      <c r="E15" s="5">
        <f>-Financing!E91</f>
        <v>3407232</v>
      </c>
      <c r="F15" s="5">
        <f>-Financing!F91</f>
        <v>4483200</v>
      </c>
      <c r="G15" s="5">
        <f>-Financing!G91</f>
        <v>5379840</v>
      </c>
      <c r="H15" s="5">
        <f>-Financing!H91</f>
        <v>6276480</v>
      </c>
      <c r="I15" s="5">
        <f>-Financing!I91</f>
        <v>6545472</v>
      </c>
      <c r="J15" s="5">
        <f>-Financing!J91</f>
        <v>6993792</v>
      </c>
      <c r="K15" s="5">
        <f>-Financing!K91</f>
        <v>5917824</v>
      </c>
      <c r="L15" s="5">
        <f>-Financing!L91</f>
        <v>5415705.5999999996</v>
      </c>
      <c r="M15" s="5">
        <f>-Financing!M91</f>
        <v>4734259.1999999993</v>
      </c>
      <c r="N15" s="5">
        <f>-Financing!N91</f>
        <v>4034879.9999999991</v>
      </c>
    </row>
    <row r="16" spans="1:14">
      <c r="A16" s="110" t="s">
        <v>310</v>
      </c>
      <c r="C16" s="5">
        <f>Logistics!C12</f>
        <v>720000</v>
      </c>
      <c r="D16" s="5">
        <f>Logistics!D12</f>
        <v>1008000.0000000002</v>
      </c>
      <c r="E16" s="5">
        <f>Logistics!E12</f>
        <v>1008000.0000000002</v>
      </c>
      <c r="F16" s="5">
        <f>Logistics!F12</f>
        <v>864000</v>
      </c>
      <c r="G16" s="5">
        <f>Logistics!G12</f>
        <v>720000</v>
      </c>
      <c r="H16" s="5">
        <f>Logistics!H12</f>
        <v>720000</v>
      </c>
      <c r="I16" s="5">
        <f>Logistics!I12</f>
        <v>216000</v>
      </c>
      <c r="J16" s="5">
        <f>Logistics!J12</f>
        <v>360000</v>
      </c>
      <c r="K16" s="5">
        <f>Logistics!K12</f>
        <v>504000.00000000012</v>
      </c>
      <c r="L16" s="5">
        <f>Logistics!L12</f>
        <v>504000.00000000012</v>
      </c>
      <c r="M16" s="5">
        <f>Logistics!M12</f>
        <v>360000</v>
      </c>
      <c r="N16" s="5">
        <f>Logistics!N12</f>
        <v>216000</v>
      </c>
    </row>
    <row r="17" spans="1:14" ht="43.2">
      <c r="A17" s="110" t="s">
        <v>311</v>
      </c>
      <c r="B17" s="34">
        <v>0.5</v>
      </c>
      <c r="C17" s="5">
        <f>IF($B$17*(Sales!C4+Purchases!C19)-C19&gt;0,$B$17*(Sales!C4+Purchases!C19),C19)</f>
        <v>3835200</v>
      </c>
      <c r="D17" s="5">
        <f>IF($B$17*(Sales!D4+Purchases!D19)-D19&gt;0,$B$17*(Sales!D4+Purchases!D19),D19)</f>
        <v>5369280.0000000009</v>
      </c>
      <c r="E17" s="5">
        <f>IF($B$17*(Sales!E4+Purchases!E19)-E19&gt;0,$B$17*(Sales!E4+Purchases!E19),E19)</f>
        <v>5369280.0000000009</v>
      </c>
      <c r="F17" s="5">
        <f>IF($B$17*(Sales!F4+Purchases!F19)-F19&gt;0,$B$17*(Sales!F4+Purchases!F19),F19)</f>
        <v>4602240</v>
      </c>
      <c r="G17" s="5">
        <f>IF($B$17*(Sales!G4+Purchases!G19)-G19&gt;0,$B$17*(Sales!G4+Purchases!G19),G19)</f>
        <v>4000000</v>
      </c>
      <c r="H17" s="5">
        <f>IF($B$17*(Sales!H4+Purchases!H19)-H19&gt;0,$B$17*(Sales!H4+Purchases!H19),H19)</f>
        <v>4000000</v>
      </c>
      <c r="I17" s="5">
        <f>IF($B$17*(Sales!I4+Purchases!I19)-I19&gt;0,$B$17*(Sales!I4+Purchases!I19),I19)</f>
        <v>1365600</v>
      </c>
      <c r="J17" s="5">
        <f>IF($B$17*(Sales!J4+Purchases!J19)-J19&gt;0,$B$17*(Sales!J4+Purchases!J19),J19)</f>
        <v>2276000</v>
      </c>
      <c r="K17" s="5">
        <f>IF($B$17*(Sales!K4+Purchases!K19)-K19&gt;0,$B$17*(Sales!K4+Purchases!K19),K19)</f>
        <v>3186400.0000000005</v>
      </c>
      <c r="L17" s="5">
        <f>IF($B$17*(Sales!L4+Purchases!L19)-L19&gt;0,$B$17*(Sales!L4+Purchases!L19),L19)</f>
        <v>3186400.0000000005</v>
      </c>
      <c r="M17" s="5">
        <f>IF($B$17*(Sales!M4+Purchases!M19)-M19&gt;0,$B$17*(Sales!M4+Purchases!M19),M19)</f>
        <v>2276000</v>
      </c>
      <c r="N17" s="5">
        <f>IF($B$17*(Sales!N4+Purchases!N19)-N19&gt;0,$B$17*(Sales!N4+Purchases!N19),N19)</f>
        <v>1365600</v>
      </c>
    </row>
    <row r="18" spans="1:14" ht="28.8">
      <c r="A18" s="110" t="s">
        <v>312</v>
      </c>
      <c r="B18" s="34">
        <v>0.3</v>
      </c>
      <c r="C18" s="5">
        <f>$B$18*Purchases!C19</f>
        <v>227520</v>
      </c>
      <c r="D18" s="5">
        <f>$B$18*Purchases!D19</f>
        <v>318528.00000000006</v>
      </c>
      <c r="E18" s="5">
        <f>$B$18*Purchases!E19</f>
        <v>318528.00000000006</v>
      </c>
      <c r="F18" s="5">
        <f>$B$18*Purchases!F19</f>
        <v>273024</v>
      </c>
      <c r="G18" s="5">
        <f>$B$18*Purchases!G19</f>
        <v>227520</v>
      </c>
      <c r="H18" s="5">
        <f>$B$18*Purchases!H19</f>
        <v>227520</v>
      </c>
      <c r="I18" s="5">
        <f>$B$18*Purchases!I19</f>
        <v>68256</v>
      </c>
      <c r="J18" s="5">
        <f>$B$18*Purchases!J19</f>
        <v>113760</v>
      </c>
      <c r="K18" s="5">
        <f>$B$18*Purchases!K19</f>
        <v>159264.00000000003</v>
      </c>
      <c r="L18" s="5">
        <f>$B$18*Purchases!L19</f>
        <v>159264.00000000003</v>
      </c>
      <c r="M18" s="5">
        <f>$B$18*Purchases!M19</f>
        <v>113760</v>
      </c>
      <c r="N18" s="5">
        <f>$B$18*Purchases!N19</f>
        <v>68256</v>
      </c>
    </row>
    <row r="19" spans="1:14">
      <c r="A19" s="110" t="s">
        <v>320</v>
      </c>
      <c r="C19" s="5">
        <f>Financing!C28</f>
        <v>2000000</v>
      </c>
      <c r="D19" s="5">
        <f>Financing!D28</f>
        <v>2000000</v>
      </c>
      <c r="E19" s="5">
        <f>Financing!E28</f>
        <v>4000000</v>
      </c>
      <c r="F19" s="5">
        <f>Financing!F28</f>
        <v>4000000</v>
      </c>
      <c r="G19" s="5">
        <f>Financing!G28</f>
        <v>4000000</v>
      </c>
      <c r="H19" s="5">
        <f>Financing!H28</f>
        <v>4000000</v>
      </c>
      <c r="I19" s="5">
        <f>Financing!I28</f>
        <v>1365600</v>
      </c>
      <c r="J19" s="5">
        <f>Financing!J28</f>
        <v>2276000</v>
      </c>
      <c r="K19" s="5">
        <f>Financing!K28</f>
        <v>3186400.0000000005</v>
      </c>
      <c r="L19" s="5">
        <f>Financing!L28</f>
        <v>3186400.0000000005</v>
      </c>
      <c r="M19" s="5">
        <f>Financing!M28</f>
        <v>2276000</v>
      </c>
      <c r="N19" s="5">
        <f>Financing!N28</f>
        <v>1365600</v>
      </c>
    </row>
    <row r="21" spans="1:14" ht="18">
      <c r="A21" s="61" t="s">
        <v>78</v>
      </c>
    </row>
    <row r="22" spans="1:14" ht="15.6">
      <c r="A22" s="110" t="s">
        <v>302</v>
      </c>
      <c r="B22" s="41">
        <f>Sales!B13</f>
        <v>113800000</v>
      </c>
      <c r="C22" s="5">
        <f>Sales!C13</f>
        <v>11380000</v>
      </c>
      <c r="D22" s="5">
        <f>Sales!D13</f>
        <v>15932000.000000002</v>
      </c>
      <c r="E22" s="5">
        <f>Sales!E13</f>
        <v>15932000.000000002</v>
      </c>
      <c r="F22" s="5">
        <f>Sales!F13</f>
        <v>13656000</v>
      </c>
      <c r="G22" s="5">
        <f>Sales!G13</f>
        <v>11380000</v>
      </c>
      <c r="H22" s="5">
        <f>Sales!H13</f>
        <v>11380000</v>
      </c>
      <c r="I22" s="5">
        <f>Sales!I13</f>
        <v>3414000</v>
      </c>
      <c r="J22" s="5">
        <f>Sales!J13</f>
        <v>5690000</v>
      </c>
      <c r="K22" s="5">
        <f>Sales!K13</f>
        <v>7966000.0000000009</v>
      </c>
      <c r="L22" s="5">
        <f>Sales!L13</f>
        <v>7966000.0000000009</v>
      </c>
      <c r="M22" s="5">
        <f>Sales!M13</f>
        <v>5690000</v>
      </c>
      <c r="N22" s="5">
        <f>Sales!N13</f>
        <v>3414000</v>
      </c>
    </row>
    <row r="23" spans="1:14" ht="15.6">
      <c r="A23" s="110" t="s">
        <v>303</v>
      </c>
      <c r="B23" s="41">
        <f>-'P&amp;L SwCo Bad'!B8</f>
        <v>105000000</v>
      </c>
      <c r="C23" s="5">
        <f>-'P&amp;L SwCo Bad'!C8</f>
        <v>10500000</v>
      </c>
      <c r="D23" s="5">
        <f>-'P&amp;L SwCo Bad'!D8</f>
        <v>14700000.000000002</v>
      </c>
      <c r="E23" s="5">
        <f>-'P&amp;L SwCo Bad'!E8</f>
        <v>14700000.000000002</v>
      </c>
      <c r="F23" s="5">
        <f>-'P&amp;L SwCo Bad'!F8</f>
        <v>12600000</v>
      </c>
      <c r="G23" s="5">
        <f>-'P&amp;L SwCo Bad'!G8</f>
        <v>10500000</v>
      </c>
      <c r="H23" s="5">
        <f>-'P&amp;L SwCo Bad'!H8</f>
        <v>10500000</v>
      </c>
      <c r="I23" s="5">
        <f>-'P&amp;L SwCo Bad'!I8</f>
        <v>3150000</v>
      </c>
      <c r="J23" s="5">
        <f>-'P&amp;L SwCo Bad'!J8</f>
        <v>5250000</v>
      </c>
      <c r="K23" s="5">
        <f>-'P&amp;L SwCo Bad'!K8</f>
        <v>7350000.0000000009</v>
      </c>
      <c r="L23" s="5">
        <f>-'P&amp;L SwCo Bad'!L8</f>
        <v>7350000.0000000009</v>
      </c>
      <c r="M23" s="5">
        <f>-'P&amp;L SwCo Bad'!M8</f>
        <v>5250000</v>
      </c>
      <c r="N23" s="5">
        <f>-'P&amp;L SwCo Bad'!N8</f>
        <v>3150000</v>
      </c>
    </row>
    <row r="24" spans="1:14" ht="28.8">
      <c r="A24" s="110" t="s">
        <v>314</v>
      </c>
      <c r="B24" s="34">
        <v>1</v>
      </c>
      <c r="C24" s="5">
        <f>IF($B$24*C22-Financing!C29&gt;0,$B$24*C22-Financing!C29,0)</f>
        <v>8380000</v>
      </c>
      <c r="D24" s="5">
        <f>IF($B$24*D22-Financing!D29&gt;0,$B$24*D22-Financing!D29,0)</f>
        <v>12932000.000000002</v>
      </c>
      <c r="E24" s="5">
        <f>IF($B$24*E22-Financing!E29&gt;0,$B$24*E22-Financing!E29,0)</f>
        <v>9932000.0000000019</v>
      </c>
      <c r="F24" s="5">
        <f>IF($B$24*F22-Financing!F29&gt;0,$B$24*F22-Financing!F29,0)</f>
        <v>7656000</v>
      </c>
      <c r="G24" s="5">
        <f>IF($B$24*G22-Financing!G29&gt;0,$B$24*G22-Financing!G29,0)</f>
        <v>5380000</v>
      </c>
      <c r="H24" s="5">
        <f>IF($B$24*H22-Financing!H29&gt;0,$B$24*H22-Financing!H29,0)</f>
        <v>5380000</v>
      </c>
      <c r="I24" s="5">
        <f>IF($B$24*I22-Financing!I29&gt;0,$B$24*I22-Financing!I29,0)</f>
        <v>1365600</v>
      </c>
      <c r="J24" s="5">
        <f>IF($B$24*J22-Financing!J29&gt;0,$B$24*J22-Financing!J29,0)</f>
        <v>2276000</v>
      </c>
      <c r="K24" s="5">
        <f>IF($B$24*K22-Financing!K29&gt;0,$B$24*K22-Financing!K29,0)</f>
        <v>3186400.0000000009</v>
      </c>
      <c r="L24" s="5">
        <f>IF($B$24*L22-Financing!L29&gt;0,$B$24*L22-Financing!L29,0)</f>
        <v>3186400.0000000009</v>
      </c>
      <c r="M24" s="5">
        <f>IF($B$24*M22-Financing!M29&gt;0,$B$24*M22-Financing!M29,0)</f>
        <v>2276000</v>
      </c>
      <c r="N24" s="5">
        <f>IF($B$24*N22-Financing!N29&gt;0,$B$24*N22-Financing!N29,0)</f>
        <v>1365600</v>
      </c>
    </row>
    <row r="25" spans="1:14" ht="28.8">
      <c r="A25" s="110" t="s">
        <v>315</v>
      </c>
      <c r="B25" s="34">
        <v>0.5</v>
      </c>
      <c r="C25" s="5">
        <f>$B$25*C24</f>
        <v>4190000</v>
      </c>
      <c r="D25" s="5">
        <f t="shared" ref="D25:N25" si="1">$B$25*D24</f>
        <v>6466000.0000000009</v>
      </c>
      <c r="E25" s="5">
        <f t="shared" si="1"/>
        <v>4966000.0000000009</v>
      </c>
      <c r="F25" s="5">
        <f t="shared" si="1"/>
        <v>3828000</v>
      </c>
      <c r="G25" s="5">
        <f t="shared" si="1"/>
        <v>2690000</v>
      </c>
      <c r="H25" s="5">
        <f t="shared" si="1"/>
        <v>2690000</v>
      </c>
      <c r="I25" s="5">
        <f t="shared" si="1"/>
        <v>682800</v>
      </c>
      <c r="J25" s="5">
        <f t="shared" si="1"/>
        <v>1138000</v>
      </c>
      <c r="K25" s="5">
        <f t="shared" si="1"/>
        <v>1593200.0000000005</v>
      </c>
      <c r="L25" s="5">
        <f t="shared" si="1"/>
        <v>1593200.0000000005</v>
      </c>
      <c r="M25" s="5">
        <f t="shared" si="1"/>
        <v>1138000</v>
      </c>
      <c r="N25" s="5">
        <f t="shared" si="1"/>
        <v>682800</v>
      </c>
    </row>
    <row r="26" spans="1:14" ht="43.2">
      <c r="A26" s="110" t="s">
        <v>316</v>
      </c>
      <c r="C26" s="5">
        <f>(1-Assumptions!$B$90)*Financing!C28+(1-Assumptions!$B$91)*Financing!C29</f>
        <v>650000.00000000012</v>
      </c>
      <c r="D26" s="5">
        <f>(1-Assumptions!$B$90)*Financing!D28+(1-Assumptions!$B$91)*Financing!D29</f>
        <v>650000.00000000012</v>
      </c>
      <c r="E26" s="5">
        <f>(1-Assumptions!$B$90)*Financing!E28+(1-Assumptions!$B$91)*Financing!E29</f>
        <v>1300000.0000000002</v>
      </c>
      <c r="F26" s="5">
        <f>(1-Assumptions!$B$90)*Financing!F28+(1-Assumptions!$B$91)*Financing!F29</f>
        <v>1300000.0000000002</v>
      </c>
      <c r="G26" s="5">
        <f>(1-Assumptions!$B$90)*Financing!G28+(1-Assumptions!$B$91)*Financing!G29</f>
        <v>1300000.0000000002</v>
      </c>
      <c r="H26" s="5">
        <f>(1-Assumptions!$B$90)*Financing!H28+(1-Assumptions!$B$91)*Financing!H29</f>
        <v>1300000.0000000002</v>
      </c>
      <c r="I26" s="5">
        <f>(1-Assumptions!$B$90)*Financing!I28+(1-Assumptions!$B$91)*Financing!I29</f>
        <v>443820.00000000012</v>
      </c>
      <c r="J26" s="5">
        <f>(1-Assumptions!$B$90)*Financing!J28+(1-Assumptions!$B$91)*Financing!J29</f>
        <v>739700.00000000012</v>
      </c>
      <c r="K26" s="5">
        <f>(1-Assumptions!$B$90)*Financing!K28+(1-Assumptions!$B$91)*Financing!K29</f>
        <v>1035580.0000000003</v>
      </c>
      <c r="L26" s="5">
        <f>(1-Assumptions!$B$90)*Financing!L28+(1-Assumptions!$B$91)*Financing!L29</f>
        <v>1035580.0000000003</v>
      </c>
      <c r="M26" s="5">
        <f>(1-Assumptions!$B$90)*Financing!M28+(1-Assumptions!$B$91)*Financing!M29</f>
        <v>739700.00000000012</v>
      </c>
      <c r="N26" s="5">
        <f>(1-Assumptions!$B$90)*Financing!N28+(1-Assumptions!$B$91)*Financing!N29</f>
        <v>443820.00000000012</v>
      </c>
    </row>
    <row r="27" spans="1:14" ht="28.8">
      <c r="A27" s="110" t="s">
        <v>317</v>
      </c>
      <c r="C27" s="5">
        <f>Logistics!C16+Logistics!C17</f>
        <v>720000</v>
      </c>
      <c r="D27" s="5">
        <f>Logistics!D16+Logistics!D17</f>
        <v>1008000.0000000002</v>
      </c>
      <c r="E27" s="5">
        <f>Logistics!E16+Logistics!E17</f>
        <v>1008000.0000000002</v>
      </c>
      <c r="F27" s="5">
        <f>Logistics!F16+Logistics!F17</f>
        <v>864000</v>
      </c>
      <c r="G27" s="5">
        <f>Logistics!G16+Logistics!G17</f>
        <v>720000</v>
      </c>
      <c r="H27" s="5">
        <f>Logistics!H16+Logistics!H17</f>
        <v>720000</v>
      </c>
      <c r="I27" s="5">
        <f>Logistics!I16+Logistics!I17</f>
        <v>216000</v>
      </c>
      <c r="J27" s="5">
        <f>Logistics!J16+Logistics!J17</f>
        <v>360000</v>
      </c>
      <c r="K27" s="5">
        <f>Logistics!K16+Logistics!K17</f>
        <v>504000.00000000012</v>
      </c>
      <c r="L27" s="5">
        <f>Logistics!L16+Logistics!L17</f>
        <v>504000.00000000012</v>
      </c>
      <c r="M27" s="5">
        <f>Logistics!M16+Logistics!M17</f>
        <v>360000</v>
      </c>
      <c r="N27" s="5">
        <f>Logistics!N16+Logistics!N17</f>
        <v>216000</v>
      </c>
    </row>
    <row r="28" spans="1:14">
      <c r="A28" s="110" t="s">
        <v>318</v>
      </c>
      <c r="C28" s="5">
        <v>0</v>
      </c>
      <c r="D28" s="5">
        <f>C28</f>
        <v>0</v>
      </c>
      <c r="E28" s="5">
        <f t="shared" ref="E28:N28" si="2">D28</f>
        <v>0</v>
      </c>
      <c r="F28" s="5">
        <f t="shared" si="2"/>
        <v>0</v>
      </c>
      <c r="G28" s="5">
        <f t="shared" si="2"/>
        <v>0</v>
      </c>
      <c r="H28" s="5">
        <f t="shared" si="2"/>
        <v>0</v>
      </c>
      <c r="I28" s="5">
        <f t="shared" si="2"/>
        <v>0</v>
      </c>
      <c r="J28" s="5">
        <f t="shared" si="2"/>
        <v>0</v>
      </c>
      <c r="K28" s="5">
        <f t="shared" si="2"/>
        <v>0</v>
      </c>
      <c r="L28" s="5">
        <f t="shared" si="2"/>
        <v>0</v>
      </c>
      <c r="M28" s="5">
        <f t="shared" si="2"/>
        <v>0</v>
      </c>
      <c r="N28" s="5">
        <f t="shared" si="2"/>
        <v>0</v>
      </c>
    </row>
    <row r="29" spans="1:14" ht="28.8">
      <c r="A29" s="110" t="s">
        <v>319</v>
      </c>
      <c r="B29" s="34">
        <v>0.5</v>
      </c>
      <c r="C29" s="5">
        <f>$B$29*Purchases!C23</f>
        <v>1050000</v>
      </c>
      <c r="D29" s="5">
        <f>$B$29*Purchases!D23</f>
        <v>1470000.0000000002</v>
      </c>
      <c r="E29" s="5">
        <f>$B$29*Purchases!E23</f>
        <v>1470000.0000000002</v>
      </c>
      <c r="F29" s="5">
        <f>$B$29*Purchases!F23</f>
        <v>1260000</v>
      </c>
      <c r="G29" s="5">
        <f>$B$29*Purchases!G23</f>
        <v>1050000</v>
      </c>
      <c r="H29" s="5">
        <f>$B$29*Purchases!H23</f>
        <v>1050000</v>
      </c>
      <c r="I29" s="5">
        <f>$B$29*Purchases!I23</f>
        <v>315000</v>
      </c>
      <c r="J29" s="5">
        <f>$B$29*Purchases!J23</f>
        <v>525000</v>
      </c>
      <c r="K29" s="5">
        <f>$B$29*Purchases!K23</f>
        <v>735000.00000000012</v>
      </c>
      <c r="L29" s="5">
        <f>$B$29*Purchases!L23</f>
        <v>735000.00000000012</v>
      </c>
      <c r="M29" s="5">
        <f>$B$29*Purchases!M23</f>
        <v>525000</v>
      </c>
      <c r="N29" s="5">
        <f>$B$29*Purchases!N23</f>
        <v>315000</v>
      </c>
    </row>
    <row r="30" spans="1:14">
      <c r="A30" s="110" t="s">
        <v>313</v>
      </c>
      <c r="C30" s="5">
        <f>'P&amp;L SwCo Bad'!C35</f>
        <v>179911.33333333334</v>
      </c>
      <c r="D30" s="5">
        <f>'P&amp;L SwCo Bad'!D35</f>
        <v>237578.00000000006</v>
      </c>
      <c r="E30" s="5">
        <f>'P&amp;L SwCo Bad'!E35</f>
        <v>237578.00000000006</v>
      </c>
      <c r="F30" s="5">
        <f>'P&amp;L SwCo Bad'!F35</f>
        <v>231244.66666666669</v>
      </c>
      <c r="G30" s="5">
        <f>'P&amp;L SwCo Bad'!G35</f>
        <v>209911.33333333331</v>
      </c>
      <c r="H30" s="5">
        <f>'P&amp;L SwCo Bad'!H35</f>
        <v>209911.33333333331</v>
      </c>
      <c r="I30" s="5">
        <f>'P&amp;L SwCo Bad'!I35</f>
        <v>135244.66666666669</v>
      </c>
      <c r="J30" s="5">
        <f>'P&amp;L SwCo Bad'!J35</f>
        <v>136820</v>
      </c>
      <c r="K30" s="5">
        <f>'P&amp;L SwCo Bad'!K35</f>
        <v>164981.33333333337</v>
      </c>
      <c r="L30" s="5">
        <f>'P&amp;L SwCo Bad'!L35</f>
        <v>171809.33333333337</v>
      </c>
      <c r="M30" s="5">
        <f>'P&amp;L SwCo Bad'!M35</f>
        <v>150476</v>
      </c>
      <c r="N30" s="5">
        <f>'P&amp;L SwCo Bad'!N35</f>
        <v>122314.66666666667</v>
      </c>
    </row>
    <row r="31" spans="1:14" ht="15.6">
      <c r="B31" s="41"/>
    </row>
    <row r="32" spans="1:14" ht="18">
      <c r="A32" s="117" t="s">
        <v>321</v>
      </c>
    </row>
    <row r="33" spans="1:14">
      <c r="A33" s="116" t="s">
        <v>322</v>
      </c>
    </row>
    <row r="34" spans="1:14">
      <c r="A34" s="110" t="s">
        <v>323</v>
      </c>
      <c r="C34" s="5">
        <f>C25+C15</f>
        <v>5086640</v>
      </c>
      <c r="D34" s="5">
        <f t="shared" ref="D34:N34" si="3">D25+D15</f>
        <v>8617936</v>
      </c>
      <c r="E34" s="5">
        <f t="shared" si="3"/>
        <v>8373232.0000000009</v>
      </c>
      <c r="F34" s="5">
        <f t="shared" si="3"/>
        <v>8311200</v>
      </c>
      <c r="G34" s="5">
        <f t="shared" si="3"/>
        <v>8069840</v>
      </c>
      <c r="H34" s="5">
        <f t="shared" si="3"/>
        <v>8966480</v>
      </c>
      <c r="I34" s="5">
        <f t="shared" si="3"/>
        <v>7228272</v>
      </c>
      <c r="J34" s="5">
        <f t="shared" si="3"/>
        <v>8131792</v>
      </c>
      <c r="K34" s="5">
        <f t="shared" si="3"/>
        <v>7511024</v>
      </c>
      <c r="L34" s="5">
        <f t="shared" si="3"/>
        <v>7008905.5999999996</v>
      </c>
      <c r="M34" s="5">
        <f t="shared" si="3"/>
        <v>5872259.1999999993</v>
      </c>
      <c r="N34" s="5">
        <f t="shared" si="3"/>
        <v>4717679.9999999991</v>
      </c>
    </row>
    <row r="35" spans="1:14">
      <c r="A35" s="110" t="s">
        <v>324</v>
      </c>
      <c r="C35" s="5">
        <f>C7+C16+C27</f>
        <v>5582880.0000000009</v>
      </c>
      <c r="D35" s="5">
        <f t="shared" ref="D35:N35" si="4">D7+D16+D27</f>
        <v>6158880.0000000009</v>
      </c>
      <c r="E35" s="5">
        <f t="shared" si="4"/>
        <v>5567040</v>
      </c>
      <c r="F35" s="5">
        <f t="shared" si="4"/>
        <v>4687200</v>
      </c>
      <c r="G35" s="5">
        <f t="shared" si="4"/>
        <v>4399200</v>
      </c>
      <c r="H35" s="5">
        <f t="shared" si="4"/>
        <v>2327760</v>
      </c>
      <c r="I35" s="5">
        <f t="shared" si="4"/>
        <v>1911600</v>
      </c>
      <c r="J35" s="5">
        <f t="shared" si="4"/>
        <v>2791440.0000000005</v>
      </c>
      <c r="K35" s="5">
        <f t="shared" si="4"/>
        <v>3079440.0000000005</v>
      </c>
      <c r="L35" s="5">
        <f t="shared" si="4"/>
        <v>2487600</v>
      </c>
      <c r="M35" s="5">
        <f t="shared" si="4"/>
        <v>1607760</v>
      </c>
      <c r="N35" s="5">
        <f t="shared" si="4"/>
        <v>432000</v>
      </c>
    </row>
    <row r="36" spans="1:14">
      <c r="A36" s="110" t="s">
        <v>318</v>
      </c>
      <c r="C36" s="5">
        <f t="shared" ref="C36:N36" si="5">C28+C17+C8</f>
        <v>8569920</v>
      </c>
      <c r="D36" s="5">
        <f t="shared" si="5"/>
        <v>11997888.000000004</v>
      </c>
      <c r="E36" s="5">
        <f t="shared" si="5"/>
        <v>11997888.000000004</v>
      </c>
      <c r="F36" s="5">
        <f t="shared" si="5"/>
        <v>10283904</v>
      </c>
      <c r="G36" s="5">
        <f t="shared" si="5"/>
        <v>8734720</v>
      </c>
      <c r="H36" s="5">
        <f t="shared" si="5"/>
        <v>8734720</v>
      </c>
      <c r="I36" s="5">
        <f t="shared" si="5"/>
        <v>2786016</v>
      </c>
      <c r="J36" s="5">
        <f t="shared" si="5"/>
        <v>4643360</v>
      </c>
      <c r="K36" s="5">
        <f t="shared" si="5"/>
        <v>6500704.0000000019</v>
      </c>
      <c r="L36" s="5">
        <f t="shared" si="5"/>
        <v>6500704.0000000019</v>
      </c>
      <c r="M36" s="5">
        <f t="shared" si="5"/>
        <v>4643360</v>
      </c>
      <c r="N36" s="5">
        <f t="shared" si="5"/>
        <v>2786016</v>
      </c>
    </row>
    <row r="37" spans="1:14">
      <c r="A37" s="110" t="s">
        <v>325</v>
      </c>
      <c r="C37" s="5">
        <f>C30+C9+C18</f>
        <v>4550311.333333334</v>
      </c>
      <c r="D37" s="5">
        <f t="shared" ref="D37:N37" si="6">D30+D9+D18</f>
        <v>4698986.0000000009</v>
      </c>
      <c r="E37" s="5">
        <f t="shared" si="6"/>
        <v>4107146</v>
      </c>
      <c r="F37" s="5">
        <f t="shared" si="6"/>
        <v>3463468.6666666665</v>
      </c>
      <c r="G37" s="5">
        <f t="shared" si="6"/>
        <v>3396631.3333333335</v>
      </c>
      <c r="H37" s="5">
        <f t="shared" si="6"/>
        <v>1325191.3333333333</v>
      </c>
      <c r="I37" s="5">
        <f t="shared" si="6"/>
        <v>1683100.6666666667</v>
      </c>
      <c r="J37" s="5">
        <f t="shared" si="6"/>
        <v>2322020.0000000005</v>
      </c>
      <c r="K37" s="5">
        <f t="shared" si="6"/>
        <v>2395685.333333334</v>
      </c>
      <c r="L37" s="5">
        <f t="shared" si="6"/>
        <v>1810673.3333333335</v>
      </c>
      <c r="M37" s="5">
        <f t="shared" si="6"/>
        <v>1151996</v>
      </c>
      <c r="N37" s="5">
        <f t="shared" si="6"/>
        <v>190570.66666666669</v>
      </c>
    </row>
    <row r="38" spans="1:14" s="119" customFormat="1" ht="15.6">
      <c r="A38" s="121" t="s">
        <v>326</v>
      </c>
      <c r="C38" s="120">
        <f>C34+C35+C36-C37</f>
        <v>14689128.666666666</v>
      </c>
      <c r="D38" s="120">
        <f t="shared" ref="D38:N38" si="7">D34+D35+D36-D37</f>
        <v>22075718.000000004</v>
      </c>
      <c r="E38" s="120">
        <f t="shared" si="7"/>
        <v>21831014.000000004</v>
      </c>
      <c r="F38" s="120">
        <f t="shared" si="7"/>
        <v>19818835.333333332</v>
      </c>
      <c r="G38" s="120">
        <f t="shared" si="7"/>
        <v>17807128.666666668</v>
      </c>
      <c r="H38" s="120">
        <f t="shared" si="7"/>
        <v>18703768.666666668</v>
      </c>
      <c r="I38" s="120">
        <f t="shared" si="7"/>
        <v>10242787.333333334</v>
      </c>
      <c r="J38" s="120">
        <f t="shared" si="7"/>
        <v>13244572</v>
      </c>
      <c r="K38" s="120">
        <f t="shared" si="7"/>
        <v>14695482.666666666</v>
      </c>
      <c r="L38" s="120">
        <f t="shared" si="7"/>
        <v>14186536.266666668</v>
      </c>
      <c r="M38" s="120">
        <f t="shared" si="7"/>
        <v>10971383.199999999</v>
      </c>
      <c r="N38" s="120">
        <f t="shared" si="7"/>
        <v>7745125.3333333321</v>
      </c>
    </row>
    <row r="39" spans="1:14">
      <c r="A39" s="107" t="s">
        <v>327</v>
      </c>
      <c r="C39" s="5">
        <f>C38-B38</f>
        <v>14689128.666666666</v>
      </c>
      <c r="D39" s="5">
        <f>D38-C38</f>
        <v>7386589.3333333377</v>
      </c>
      <c r="E39" s="5">
        <f t="shared" ref="E39:N39" si="8">E38-D38</f>
        <v>-244704</v>
      </c>
      <c r="F39" s="5">
        <f t="shared" si="8"/>
        <v>-2012178.6666666716</v>
      </c>
      <c r="G39" s="5">
        <f t="shared" si="8"/>
        <v>-2011706.6666666642</v>
      </c>
      <c r="H39" s="5">
        <f t="shared" si="8"/>
        <v>896640</v>
      </c>
      <c r="I39" s="5">
        <f t="shared" si="8"/>
        <v>-8460981.333333334</v>
      </c>
      <c r="J39" s="5">
        <f t="shared" si="8"/>
        <v>3001784.666666666</v>
      </c>
      <c r="K39" s="5">
        <f t="shared" si="8"/>
        <v>1450910.666666666</v>
      </c>
      <c r="L39" s="5">
        <f t="shared" si="8"/>
        <v>-508946.39999999851</v>
      </c>
      <c r="M39" s="5">
        <f t="shared" si="8"/>
        <v>-3215153.0666666683</v>
      </c>
      <c r="N39" s="5">
        <f t="shared" si="8"/>
        <v>-3226257.8666666672</v>
      </c>
    </row>
    <row r="41" spans="1:14" ht="18">
      <c r="A41" s="115" t="s">
        <v>232</v>
      </c>
      <c r="B41" s="1" t="s">
        <v>75</v>
      </c>
      <c r="C41" s="1" t="s">
        <v>129</v>
      </c>
      <c r="D41" s="1" t="s">
        <v>130</v>
      </c>
      <c r="E41" s="1" t="s">
        <v>131</v>
      </c>
      <c r="F41" s="1" t="s">
        <v>132</v>
      </c>
      <c r="G41" s="1" t="s">
        <v>133</v>
      </c>
      <c r="H41" s="1" t="s">
        <v>134</v>
      </c>
      <c r="I41" s="1" t="s">
        <v>135</v>
      </c>
      <c r="J41" s="1" t="s">
        <v>136</v>
      </c>
      <c r="K41" s="1" t="s">
        <v>137</v>
      </c>
      <c r="L41" s="1" t="s">
        <v>138</v>
      </c>
      <c r="M41" s="1" t="s">
        <v>139</v>
      </c>
      <c r="N41" s="1" t="s">
        <v>140</v>
      </c>
    </row>
    <row r="42" spans="1:14" ht="18">
      <c r="A42" s="84" t="s">
        <v>84</v>
      </c>
    </row>
    <row r="43" spans="1:14" ht="15.6">
      <c r="A43" s="110" t="s">
        <v>302</v>
      </c>
      <c r="B43" s="41">
        <f>Sales!B4</f>
        <v>69120000</v>
      </c>
      <c r="C43" s="5">
        <f>Sales!C4</f>
        <v>6912000</v>
      </c>
      <c r="D43" s="5">
        <f>Sales!D4</f>
        <v>9676800.0000000019</v>
      </c>
      <c r="E43" s="5">
        <f>Sales!E4</f>
        <v>9676800.0000000019</v>
      </c>
      <c r="F43" s="5">
        <f>Sales!F4</f>
        <v>8294400</v>
      </c>
      <c r="G43" s="5">
        <f>Sales!G4</f>
        <v>6912000</v>
      </c>
      <c r="H43" s="5">
        <f>Sales!H4</f>
        <v>6912000</v>
      </c>
      <c r="I43" s="5">
        <f>Sales!I4</f>
        <v>2073600</v>
      </c>
      <c r="J43" s="5">
        <f>Sales!J4</f>
        <v>3456000</v>
      </c>
      <c r="K43" s="5">
        <f>Sales!K4</f>
        <v>4838400.0000000009</v>
      </c>
      <c r="L43" s="5">
        <f>Sales!L4</f>
        <v>4838400.0000000009</v>
      </c>
      <c r="M43" s="5">
        <f>Sales!M4</f>
        <v>3456000</v>
      </c>
      <c r="N43" s="5">
        <f>Sales!N4</f>
        <v>2073600</v>
      </c>
    </row>
    <row r="44" spans="1:14" ht="15.6">
      <c r="A44" s="110" t="s">
        <v>303</v>
      </c>
      <c r="B44" s="41">
        <f>-'P&amp;L PurCo Mid'!B7</f>
        <v>66326284.444444448</v>
      </c>
      <c r="C44" s="5">
        <f>-'P&amp;L PurCo Mid'!C7</f>
        <v>6617367.3015873022</v>
      </c>
      <c r="D44" s="5">
        <f>-'P&amp;L PurCo Mid'!D7</f>
        <v>9205966.6666666679</v>
      </c>
      <c r="E44" s="5">
        <f>-'P&amp;L PurCo Mid'!E7</f>
        <v>9205966.6666666679</v>
      </c>
      <c r="F44" s="5">
        <f>-'P&amp;L PurCo Mid'!F7</f>
        <v>7904206.666666667</v>
      </c>
      <c r="G44" s="5">
        <f>-'P&amp;L PurCo Mid'!G7</f>
        <v>6602446.666666667</v>
      </c>
      <c r="H44" s="5">
        <f>-'P&amp;L PurCo Mid'!H7</f>
        <v>6602446.666666667</v>
      </c>
      <c r="I44" s="5">
        <f>-'P&amp;L PurCo Mid'!I7</f>
        <v>2046286.6666666667</v>
      </c>
      <c r="J44" s="5">
        <f>-'P&amp;L PurCo Mid'!J7</f>
        <v>3348046.6666666665</v>
      </c>
      <c r="K44" s="5">
        <f>-'P&amp;L PurCo Mid'!K7</f>
        <v>4649806.6666666679</v>
      </c>
      <c r="L44" s="5">
        <f>-'P&amp;L PurCo Mid'!L7</f>
        <v>4649806.6666666679</v>
      </c>
      <c r="M44" s="5">
        <f>-'P&amp;L PurCo Mid'!M7</f>
        <v>3348046.6666666665</v>
      </c>
      <c r="N44" s="5">
        <f>-'P&amp;L PurCo Mid'!N7</f>
        <v>2046286.6666666667</v>
      </c>
    </row>
    <row r="45" spans="1:14">
      <c r="A45" s="110" t="s">
        <v>304</v>
      </c>
      <c r="C45" s="5">
        <f>C43-C58</f>
        <v>4912000</v>
      </c>
      <c r="D45" s="5">
        <f t="shared" ref="D45:N45" si="9">D43-D58</f>
        <v>7676800.0000000019</v>
      </c>
      <c r="E45" s="5">
        <f t="shared" si="9"/>
        <v>5676800.0000000019</v>
      </c>
      <c r="F45" s="5">
        <f t="shared" si="9"/>
        <v>4294400</v>
      </c>
      <c r="G45" s="5">
        <f t="shared" si="9"/>
        <v>2912000</v>
      </c>
      <c r="H45" s="5">
        <f t="shared" si="9"/>
        <v>2912000</v>
      </c>
      <c r="I45" s="5">
        <f t="shared" si="9"/>
        <v>676800</v>
      </c>
      <c r="J45" s="5">
        <f t="shared" si="9"/>
        <v>1128000</v>
      </c>
      <c r="K45" s="5">
        <f t="shared" si="9"/>
        <v>1579200.0000000005</v>
      </c>
      <c r="L45" s="5">
        <f t="shared" si="9"/>
        <v>1579200.0000000005</v>
      </c>
      <c r="M45" s="5">
        <f t="shared" si="9"/>
        <v>1128000</v>
      </c>
      <c r="N45" s="5">
        <f t="shared" si="9"/>
        <v>676800</v>
      </c>
    </row>
    <row r="46" spans="1:14" ht="28.8">
      <c r="A46" s="110" t="s">
        <v>305</v>
      </c>
      <c r="B46" s="34">
        <f>Assumptions!B103</f>
        <v>0.5</v>
      </c>
      <c r="C46" s="5">
        <f>$B$7*(Purchases!D10+Purchases!D11)</f>
        <v>4102560.0000000009</v>
      </c>
      <c r="D46" s="5">
        <f>$B$7*(Purchases!E10+Purchases!E11)</f>
        <v>4102560.0000000009</v>
      </c>
      <c r="E46" s="5">
        <f>$B$7*(Purchases!F10+Purchases!F11)</f>
        <v>3516480</v>
      </c>
      <c r="F46" s="5">
        <f>$B$7*(Purchases!G10+Purchases!G11)</f>
        <v>2930400</v>
      </c>
      <c r="G46" s="5">
        <f>$B$7*(Purchases!H10+Purchases!H11)</f>
        <v>2930400</v>
      </c>
      <c r="H46" s="5">
        <f>$B$7*(Purchases!I10+Purchases!I11)</f>
        <v>879120</v>
      </c>
      <c r="I46" s="5">
        <f>$B$7*(Purchases!J10+Purchases!J11)</f>
        <v>1465200</v>
      </c>
      <c r="J46" s="5">
        <f>$B$7*(Purchases!K10+Purchases!K11)</f>
        <v>2051280.0000000005</v>
      </c>
      <c r="K46" s="5">
        <f>$B$7*(Purchases!L10+Purchases!L11)</f>
        <v>2051280.0000000005</v>
      </c>
      <c r="L46" s="5">
        <f>$B$7*(Purchases!M10+Purchases!M11)</f>
        <v>1465200</v>
      </c>
      <c r="M46" s="5">
        <f>$B$7*(Purchases!N10+Purchases!N11)</f>
        <v>879120</v>
      </c>
      <c r="N46" s="5">
        <f>$B$7*(Purchases!O10+Purchases!O11)</f>
        <v>0</v>
      </c>
    </row>
    <row r="47" spans="1:14">
      <c r="A47" s="110" t="s">
        <v>306</v>
      </c>
      <c r="B47" s="34">
        <v>0.8</v>
      </c>
      <c r="C47" s="5">
        <f>$B$47*(Purchases!C10+Purchases!C11)</f>
        <v>4688640</v>
      </c>
      <c r="D47" s="5">
        <f>$B$47*(Purchases!D10+Purchases!D11)</f>
        <v>6564096.0000000019</v>
      </c>
      <c r="E47" s="5">
        <f>$B$47*(Purchases!E10+Purchases!E11)</f>
        <v>6564096.0000000019</v>
      </c>
      <c r="F47" s="5">
        <f>$B$47*(Purchases!F10+Purchases!F11)</f>
        <v>5626368</v>
      </c>
      <c r="G47" s="5">
        <f>$B$47*(Purchases!G10+Purchases!G11)</f>
        <v>4688640</v>
      </c>
      <c r="H47" s="5">
        <f>$B$47*(Purchases!H10+Purchases!H11)</f>
        <v>4688640</v>
      </c>
      <c r="I47" s="5">
        <f>$B$47*(Purchases!I10+Purchases!I11)</f>
        <v>1406592</v>
      </c>
      <c r="J47" s="5">
        <f>$B$47*(Purchases!J10+Purchases!J11)</f>
        <v>2344320</v>
      </c>
      <c r="K47" s="5">
        <f>$B$47*(Purchases!K10+Purchases!K11)</f>
        <v>3282048.0000000009</v>
      </c>
      <c r="L47" s="5">
        <f>$B$47*(Purchases!L10+Purchases!L11)</f>
        <v>3282048.0000000009</v>
      </c>
      <c r="M47" s="5">
        <f>$B$47*(Purchases!M10+Purchases!M11)</f>
        <v>2344320</v>
      </c>
      <c r="N47" s="5">
        <f>$B$47*(Purchases!N10+Purchases!N11)</f>
        <v>1406592</v>
      </c>
    </row>
    <row r="48" spans="1:14" ht="28.8">
      <c r="A48" s="110" t="s">
        <v>307</v>
      </c>
      <c r="B48" s="34">
        <f>Assumptions!B104</f>
        <v>0.5</v>
      </c>
      <c r="C48" s="5">
        <f>$B$9*(Purchases!D10+Purchases!D11)</f>
        <v>4102560.0000000009</v>
      </c>
      <c r="D48" s="5">
        <f>$B$9*(Purchases!E10+Purchases!E11)</f>
        <v>4102560.0000000009</v>
      </c>
      <c r="E48" s="5">
        <f>$B$9*(Purchases!F10+Purchases!F11)</f>
        <v>3516480</v>
      </c>
      <c r="F48" s="5">
        <f>$B$9*(Purchases!G10+Purchases!G11)</f>
        <v>2930400</v>
      </c>
      <c r="G48" s="5">
        <f>$B$9*(Purchases!H10+Purchases!H11)</f>
        <v>2930400</v>
      </c>
      <c r="H48" s="5">
        <f>$B$9*(Purchases!I10+Purchases!I11)</f>
        <v>879120</v>
      </c>
      <c r="I48" s="5">
        <f>$B$9*(Purchases!J10+Purchases!J11)</f>
        <v>1465200</v>
      </c>
      <c r="J48" s="5">
        <f>$B$9*(Purchases!K10+Purchases!K11)</f>
        <v>2051280.0000000005</v>
      </c>
      <c r="K48" s="5">
        <f>$B$9*(Purchases!L10+Purchases!L11)</f>
        <v>2051280.0000000005</v>
      </c>
      <c r="L48" s="5">
        <f>$B$9*(Purchases!M10+Purchases!M11)</f>
        <v>1465200</v>
      </c>
      <c r="M48" s="5">
        <f>$B$9*(Purchases!N10+Purchases!N11)</f>
        <v>879120</v>
      </c>
      <c r="N48" s="5">
        <f>$B$9*(Purchases!O10+Purchases!O11)</f>
        <v>0</v>
      </c>
    </row>
    <row r="49" spans="1:14">
      <c r="A49" s="110"/>
    </row>
    <row r="50" spans="1:14" ht="18">
      <c r="A50" s="61" t="s">
        <v>81</v>
      </c>
    </row>
    <row r="51" spans="1:14" ht="15.6">
      <c r="A51" s="110" t="s">
        <v>302</v>
      </c>
      <c r="B51" s="41">
        <f>Sales!B8</f>
        <v>84000000</v>
      </c>
      <c r="C51" s="5">
        <f>Sales!C8</f>
        <v>8400000</v>
      </c>
      <c r="D51" s="5">
        <f>Sales!D8</f>
        <v>11760000.000000002</v>
      </c>
      <c r="E51" s="5">
        <f>Sales!E8</f>
        <v>11760000.000000002</v>
      </c>
      <c r="F51" s="5">
        <f>Sales!F8</f>
        <v>10080000</v>
      </c>
      <c r="G51" s="5">
        <f>Sales!G8</f>
        <v>8400000</v>
      </c>
      <c r="H51" s="5">
        <f>Sales!H8</f>
        <v>8400000</v>
      </c>
      <c r="I51" s="5">
        <f>Sales!I8</f>
        <v>2520000</v>
      </c>
      <c r="J51" s="5">
        <f>Sales!J8</f>
        <v>4200000</v>
      </c>
      <c r="K51" s="5">
        <f>Sales!K8</f>
        <v>5880000.0000000009</v>
      </c>
      <c r="L51" s="5">
        <f>Sales!L8</f>
        <v>5880000.0000000009</v>
      </c>
      <c r="M51" s="5">
        <f>Sales!M8</f>
        <v>4200000</v>
      </c>
      <c r="N51" s="5">
        <f>Sales!N8</f>
        <v>2520000</v>
      </c>
    </row>
    <row r="52" spans="1:14" ht="15.6">
      <c r="A52" s="110" t="s">
        <v>303</v>
      </c>
      <c r="B52" s="41">
        <f>-'P&amp;L ExCo Mid'!B7</f>
        <v>83840000</v>
      </c>
      <c r="C52" s="5">
        <f>-'P&amp;L ExCo Mid'!C7</f>
        <v>8384000</v>
      </c>
      <c r="D52" s="5">
        <f>-'P&amp;L ExCo Mid'!D7</f>
        <v>11737600.000000002</v>
      </c>
      <c r="E52" s="5">
        <f>-'P&amp;L ExCo Mid'!E7</f>
        <v>11737600.000000002</v>
      </c>
      <c r="F52" s="5">
        <f>-'P&amp;L ExCo Mid'!F7</f>
        <v>10060800</v>
      </c>
      <c r="G52" s="5">
        <f>-'P&amp;L ExCo Mid'!G7</f>
        <v>8384000</v>
      </c>
      <c r="H52" s="5">
        <f>-'P&amp;L ExCo Mid'!H7</f>
        <v>8384000</v>
      </c>
      <c r="I52" s="5">
        <f>-'P&amp;L ExCo Mid'!I7</f>
        <v>2515200</v>
      </c>
      <c r="J52" s="5">
        <f>-'P&amp;L ExCo Mid'!J7</f>
        <v>4192000</v>
      </c>
      <c r="K52" s="5">
        <f>-'P&amp;L ExCo Mid'!K7</f>
        <v>5868800.0000000009</v>
      </c>
      <c r="L52" s="5">
        <f>-'P&amp;L ExCo Mid'!L7</f>
        <v>5868800.0000000009</v>
      </c>
      <c r="M52" s="5">
        <f>-'P&amp;L ExCo Mid'!M7</f>
        <v>4192000</v>
      </c>
      <c r="N52" s="5">
        <f>-'P&amp;L ExCo Mid'!N7</f>
        <v>2515200</v>
      </c>
    </row>
    <row r="53" spans="1:14">
      <c r="A53" s="110" t="s">
        <v>308</v>
      </c>
      <c r="C53" s="5">
        <f>Sales!C8-Financing!C44</f>
        <v>5400000</v>
      </c>
      <c r="D53" s="5">
        <f>Sales!D8-Financing!D44</f>
        <v>8760000.0000000019</v>
      </c>
      <c r="E53" s="5">
        <f>Sales!E8-Financing!E44</f>
        <v>5760000.0000000019</v>
      </c>
      <c r="F53" s="5">
        <f>Sales!F8-Financing!F44</f>
        <v>4080000</v>
      </c>
      <c r="G53" s="5">
        <f>Sales!G8-Financing!G44</f>
        <v>2400000</v>
      </c>
      <c r="H53" s="5">
        <f>Sales!H8-Financing!H44</f>
        <v>2400000</v>
      </c>
      <c r="I53" s="5">
        <f>Sales!I8-Financing!I44</f>
        <v>424800</v>
      </c>
      <c r="J53" s="5">
        <f>Sales!J8-Financing!J44</f>
        <v>708000</v>
      </c>
      <c r="K53" s="5">
        <f>Sales!K8-Financing!K44</f>
        <v>991200.00000000093</v>
      </c>
      <c r="L53" s="5">
        <f>Sales!L8-Financing!L44</f>
        <v>991200.00000000093</v>
      </c>
      <c r="M53" s="5">
        <f>Sales!M8-Financing!M44</f>
        <v>708000</v>
      </c>
      <c r="N53" s="5">
        <f>Sales!N8-Financing!N44</f>
        <v>424800</v>
      </c>
    </row>
    <row r="54" spans="1:14">
      <c r="A54" s="110" t="s">
        <v>309</v>
      </c>
      <c r="C54" s="5">
        <f>-Financing!C92</f>
        <v>896000</v>
      </c>
      <c r="D54" s="5">
        <f>-Financing!D92</f>
        <v>2150400</v>
      </c>
      <c r="E54" s="5">
        <f>-Financing!E92</f>
        <v>3404800</v>
      </c>
      <c r="F54" s="5">
        <f>-Financing!F92</f>
        <v>4480000</v>
      </c>
      <c r="G54" s="5">
        <f>-Financing!G92</f>
        <v>5376000</v>
      </c>
      <c r="H54" s="5">
        <f>-Financing!H92</f>
        <v>6272000</v>
      </c>
      <c r="I54" s="5">
        <f>-Financing!I92</f>
        <v>6540800</v>
      </c>
      <c r="J54" s="5">
        <f>-Financing!J92</f>
        <v>6988800</v>
      </c>
      <c r="K54" s="5">
        <f>-Financing!K92</f>
        <v>5913600</v>
      </c>
      <c r="L54" s="5">
        <f>-Financing!L92</f>
        <v>5411840</v>
      </c>
      <c r="M54" s="5">
        <f>-Financing!M92</f>
        <v>4730880</v>
      </c>
      <c r="N54" s="5">
        <f>-Financing!N92</f>
        <v>4032000</v>
      </c>
    </row>
    <row r="55" spans="1:14">
      <c r="A55" s="110" t="s">
        <v>310</v>
      </c>
      <c r="C55" s="5">
        <f>Logistics!C12</f>
        <v>720000</v>
      </c>
      <c r="D55" s="5">
        <f>Logistics!D12</f>
        <v>1008000.0000000002</v>
      </c>
      <c r="E55" s="5">
        <f>Logistics!E12</f>
        <v>1008000.0000000002</v>
      </c>
      <c r="F55" s="5">
        <f>Logistics!F12</f>
        <v>864000</v>
      </c>
      <c r="G55" s="5">
        <f>Logistics!G12</f>
        <v>720000</v>
      </c>
      <c r="H55" s="5">
        <f>Logistics!H12</f>
        <v>720000</v>
      </c>
      <c r="I55" s="5">
        <f>Logistics!I12</f>
        <v>216000</v>
      </c>
      <c r="J55" s="5">
        <f>Logistics!J12</f>
        <v>360000</v>
      </c>
      <c r="K55" s="5">
        <f>Logistics!K12</f>
        <v>504000.00000000012</v>
      </c>
      <c r="L55" s="5">
        <f>Logistics!L12</f>
        <v>504000.00000000012</v>
      </c>
      <c r="M55" s="5">
        <f>Logistics!M12</f>
        <v>360000</v>
      </c>
      <c r="N55" s="5">
        <f>Logistics!N12</f>
        <v>216000</v>
      </c>
    </row>
    <row r="56" spans="1:14" ht="43.2">
      <c r="A56" s="110" t="s">
        <v>311</v>
      </c>
      <c r="B56" s="34">
        <v>0.5</v>
      </c>
      <c r="C56" s="5">
        <f>IF($B$56*(Sales!C4+Purchases!C20)-C58&gt;0,$B$56*(Sales!C4+Purchases!C20),C58)</f>
        <v>3832000</v>
      </c>
      <c r="D56" s="5">
        <f>IF($B$56*(Sales!D4+Purchases!D20)-D58&gt;0,$B$56*(Sales!D4+Purchases!D20),D58)</f>
        <v>5364800.0000000009</v>
      </c>
      <c r="E56" s="5">
        <f>IF($B$56*(Sales!E4+Purchases!E20)-E58&gt;0,$B$56*(Sales!E4+Purchases!E20),E58)</f>
        <v>5364800.0000000009</v>
      </c>
      <c r="F56" s="5">
        <f>IF($B$56*(Sales!F4+Purchases!F20)-F58&gt;0,$B$56*(Sales!F4+Purchases!F20),F58)</f>
        <v>4598400</v>
      </c>
      <c r="G56" s="5">
        <f>IF($B$56*(Sales!G4+Purchases!G20)-G58&gt;0,$B$56*(Sales!G4+Purchases!G20),G58)</f>
        <v>4000000</v>
      </c>
      <c r="H56" s="5">
        <f>IF($B$56*(Sales!H4+Purchases!H20)-H58&gt;0,$B$56*(Sales!H4+Purchases!H20),H58)</f>
        <v>4000000</v>
      </c>
      <c r="I56" s="5">
        <f>IF($B$56*(Sales!I4+Purchases!I20)-I58&gt;0,$B$56*(Sales!I4+Purchases!I20),I58)</f>
        <v>1396800</v>
      </c>
      <c r="J56" s="5">
        <f>IF($B$56*(Sales!J4+Purchases!J20)-J58&gt;0,$B$56*(Sales!J4+Purchases!J20),J58)</f>
        <v>2328000</v>
      </c>
      <c r="K56" s="5">
        <f>IF($B$56*(Sales!K4+Purchases!K20)-K58&gt;0,$B$56*(Sales!K4+Purchases!K20),K58)</f>
        <v>3259200.0000000005</v>
      </c>
      <c r="L56" s="5">
        <f>IF($B$56*(Sales!L4+Purchases!L20)-L58&gt;0,$B$56*(Sales!L4+Purchases!L20),L58)</f>
        <v>3259200.0000000005</v>
      </c>
      <c r="M56" s="5">
        <f>IF($B$56*(Sales!M4+Purchases!M20)-M58&gt;0,$B$56*(Sales!M4+Purchases!M20),M58)</f>
        <v>2328000</v>
      </c>
      <c r="N56" s="5">
        <f>IF($B$56*(Sales!N4+Purchases!N20)-N58&gt;0,$B$56*(Sales!N4+Purchases!N20),N58)</f>
        <v>1396800</v>
      </c>
    </row>
    <row r="57" spans="1:14" ht="28.8">
      <c r="A57" s="110" t="s">
        <v>312</v>
      </c>
      <c r="B57" s="34">
        <v>0.3</v>
      </c>
      <c r="C57" s="5">
        <f>$B$18*Purchases!C20</f>
        <v>225600</v>
      </c>
      <c r="D57" s="5">
        <f>$B$18*Purchases!D20</f>
        <v>315840.00000000006</v>
      </c>
      <c r="E57" s="5">
        <f>$B$18*Purchases!E20</f>
        <v>315840.00000000006</v>
      </c>
      <c r="F57" s="5">
        <f>$B$18*Purchases!F20</f>
        <v>270720</v>
      </c>
      <c r="G57" s="5">
        <f>$B$18*Purchases!G20</f>
        <v>225600</v>
      </c>
      <c r="H57" s="5">
        <f>$B$18*Purchases!H20</f>
        <v>225600</v>
      </c>
      <c r="I57" s="5">
        <f>$B$18*Purchases!I20</f>
        <v>67680</v>
      </c>
      <c r="J57" s="5">
        <f>$B$18*Purchases!J20</f>
        <v>112800</v>
      </c>
      <c r="K57" s="5">
        <f>$B$18*Purchases!K20</f>
        <v>157920.00000000003</v>
      </c>
      <c r="L57" s="5">
        <f>$B$18*Purchases!L20</f>
        <v>157920.00000000003</v>
      </c>
      <c r="M57" s="5">
        <f>$B$18*Purchases!M20</f>
        <v>112800</v>
      </c>
      <c r="N57" s="5">
        <f>$B$18*Purchases!N20</f>
        <v>67680</v>
      </c>
    </row>
    <row r="58" spans="1:14">
      <c r="A58" s="110" t="s">
        <v>320</v>
      </c>
      <c r="C58" s="5">
        <f>Financing!C43</f>
        <v>2000000</v>
      </c>
      <c r="D58" s="5">
        <f>Financing!D43</f>
        <v>2000000</v>
      </c>
      <c r="E58" s="5">
        <f>Financing!E43</f>
        <v>4000000</v>
      </c>
      <c r="F58" s="5">
        <f>Financing!F43</f>
        <v>4000000</v>
      </c>
      <c r="G58" s="5">
        <f>Financing!G43</f>
        <v>4000000</v>
      </c>
      <c r="H58" s="5">
        <f>Financing!H43</f>
        <v>4000000</v>
      </c>
      <c r="I58" s="5">
        <f>Financing!I43</f>
        <v>1396800</v>
      </c>
      <c r="J58" s="5">
        <f>Financing!J43</f>
        <v>2328000</v>
      </c>
      <c r="K58" s="5">
        <f>Financing!K43</f>
        <v>3259200.0000000005</v>
      </c>
      <c r="L58" s="5">
        <f>Financing!L43</f>
        <v>3259200.0000000005</v>
      </c>
      <c r="M58" s="5">
        <f>Financing!M43</f>
        <v>2328000</v>
      </c>
      <c r="N58" s="5">
        <f>Financing!N43</f>
        <v>1396800</v>
      </c>
    </row>
    <row r="60" spans="1:14" ht="18">
      <c r="A60" s="61" t="s">
        <v>78</v>
      </c>
    </row>
    <row r="61" spans="1:14" ht="15.6">
      <c r="A61" s="110" t="s">
        <v>302</v>
      </c>
      <c r="B61" s="41">
        <f>Sales!B14</f>
        <v>116400000</v>
      </c>
      <c r="C61" s="5">
        <f>Sales!C14</f>
        <v>11640000</v>
      </c>
      <c r="D61" s="5">
        <f>Sales!D14</f>
        <v>16296000.000000002</v>
      </c>
      <c r="E61" s="5">
        <f>Sales!E14</f>
        <v>16296000.000000002</v>
      </c>
      <c r="F61" s="5">
        <f>Sales!F14</f>
        <v>13968000</v>
      </c>
      <c r="G61" s="5">
        <f>Sales!G14</f>
        <v>11640000</v>
      </c>
      <c r="H61" s="5">
        <f>Sales!H14</f>
        <v>11640000</v>
      </c>
      <c r="I61" s="5">
        <f>Sales!I14</f>
        <v>3492000</v>
      </c>
      <c r="J61" s="5">
        <f>Sales!J14</f>
        <v>5820000</v>
      </c>
      <c r="K61" s="5">
        <f>Sales!K14</f>
        <v>8148000.0000000009</v>
      </c>
      <c r="L61" s="5">
        <f>Sales!L14</f>
        <v>8148000.0000000009</v>
      </c>
      <c r="M61" s="5">
        <f>Sales!M14</f>
        <v>5820000</v>
      </c>
      <c r="N61" s="5">
        <f>Sales!N14</f>
        <v>3492000</v>
      </c>
    </row>
    <row r="62" spans="1:14" ht="15.6">
      <c r="A62" s="110" t="s">
        <v>303</v>
      </c>
      <c r="B62" s="41">
        <f>-'P&amp;L SwCo Mid'!B8</f>
        <v>105000000</v>
      </c>
      <c r="C62" s="5">
        <f>-'P&amp;L SwCo Mid'!C8</f>
        <v>10500000</v>
      </c>
      <c r="D62" s="5">
        <f>-'P&amp;L SwCo Mid'!D8</f>
        <v>14700000.000000002</v>
      </c>
      <c r="E62" s="5">
        <f>-'P&amp;L SwCo Mid'!E8</f>
        <v>14700000.000000002</v>
      </c>
      <c r="F62" s="5">
        <f>-'P&amp;L SwCo Mid'!F8</f>
        <v>12600000</v>
      </c>
      <c r="G62" s="5">
        <f>-'P&amp;L SwCo Mid'!G8</f>
        <v>10500000</v>
      </c>
      <c r="H62" s="5">
        <f>-'P&amp;L SwCo Mid'!H8</f>
        <v>10500000</v>
      </c>
      <c r="I62" s="5">
        <f>-'P&amp;L SwCo Mid'!I8</f>
        <v>3150000</v>
      </c>
      <c r="J62" s="5">
        <f>-'P&amp;L SwCo Mid'!J8</f>
        <v>5250000</v>
      </c>
      <c r="K62" s="5">
        <f>-'P&amp;L SwCo Mid'!K8</f>
        <v>7350000.0000000009</v>
      </c>
      <c r="L62" s="5">
        <f>-'P&amp;L SwCo Mid'!L8</f>
        <v>7350000.0000000009</v>
      </c>
      <c r="M62" s="5">
        <f>-'P&amp;L SwCo Mid'!M8</f>
        <v>5250000</v>
      </c>
      <c r="N62" s="5">
        <f>-'P&amp;L SwCo Mid'!N8</f>
        <v>3150000</v>
      </c>
    </row>
    <row r="63" spans="1:14" ht="28.8">
      <c r="A63" s="110" t="s">
        <v>314</v>
      </c>
      <c r="B63" s="34">
        <v>1</v>
      </c>
      <c r="C63" s="5">
        <f>IF($B$63*C61-Financing!C44&gt;0,$B$63*C61-Financing!C44,0)</f>
        <v>8640000</v>
      </c>
      <c r="D63" s="5">
        <f>IF($B$63*D61-Financing!D44&gt;0,$B$63*D61-Financing!D44,0)</f>
        <v>13296000.000000002</v>
      </c>
      <c r="E63" s="5">
        <f>IF($B$63*E61-Financing!E44&gt;0,$B$63*E61-Financing!E44,0)</f>
        <v>10296000.000000002</v>
      </c>
      <c r="F63" s="5">
        <f>IF($B$63*F61-Financing!F44&gt;0,$B$63*F61-Financing!F44,0)</f>
        <v>7968000</v>
      </c>
      <c r="G63" s="5">
        <f>IF($B$63*G61-Financing!G44&gt;0,$B$63*G61-Financing!G44,0)</f>
        <v>5640000</v>
      </c>
      <c r="H63" s="5">
        <f>IF($B$63*H61-Financing!H44&gt;0,$B$63*H61-Financing!H44,0)</f>
        <v>5640000</v>
      </c>
      <c r="I63" s="5">
        <f>IF($B$63*I61-Financing!I44&gt;0,$B$63*I61-Financing!I44,0)</f>
        <v>1396800</v>
      </c>
      <c r="J63" s="5">
        <f>IF($B$63*J61-Financing!J44&gt;0,$B$63*J61-Financing!J44,0)</f>
        <v>2328000</v>
      </c>
      <c r="K63" s="5">
        <f>IF($B$63*K61-Financing!K44&gt;0,$B$63*K61-Financing!K44,0)</f>
        <v>3259200.0000000009</v>
      </c>
      <c r="L63" s="5">
        <f>IF($B$63*L61-Financing!L44&gt;0,$B$63*L61-Financing!L44,0)</f>
        <v>3259200.0000000009</v>
      </c>
      <c r="M63" s="5">
        <f>IF($B$63*M61-Financing!M44&gt;0,$B$63*M61-Financing!M44,0)</f>
        <v>2328000</v>
      </c>
      <c r="N63" s="5">
        <f>IF($B$63*N61-Financing!N44&gt;0,$B$63*N61-Financing!N44,0)</f>
        <v>1396800</v>
      </c>
    </row>
    <row r="64" spans="1:14" ht="28.8">
      <c r="A64" s="110" t="s">
        <v>315</v>
      </c>
      <c r="B64" s="34">
        <v>0.5</v>
      </c>
      <c r="C64" s="5">
        <f>$B$64*C63</f>
        <v>4320000</v>
      </c>
      <c r="D64" s="5">
        <f t="shared" ref="D64:N64" si="10">$B$64*D63</f>
        <v>6648000.0000000009</v>
      </c>
      <c r="E64" s="5">
        <f t="shared" si="10"/>
        <v>5148000.0000000009</v>
      </c>
      <c r="F64" s="5">
        <f t="shared" si="10"/>
        <v>3984000</v>
      </c>
      <c r="G64" s="5">
        <f t="shared" si="10"/>
        <v>2820000</v>
      </c>
      <c r="H64" s="5">
        <f t="shared" si="10"/>
        <v>2820000</v>
      </c>
      <c r="I64" s="5">
        <f t="shared" si="10"/>
        <v>698400</v>
      </c>
      <c r="J64" s="5">
        <f t="shared" si="10"/>
        <v>1164000</v>
      </c>
      <c r="K64" s="5">
        <f t="shared" si="10"/>
        <v>1629600.0000000005</v>
      </c>
      <c r="L64" s="5">
        <f t="shared" si="10"/>
        <v>1629600.0000000005</v>
      </c>
      <c r="M64" s="5">
        <f t="shared" si="10"/>
        <v>1164000</v>
      </c>
      <c r="N64" s="5">
        <f t="shared" si="10"/>
        <v>698400</v>
      </c>
    </row>
    <row r="65" spans="1:14" ht="43.2">
      <c r="A65" s="110" t="s">
        <v>316</v>
      </c>
      <c r="C65" s="5">
        <f>(1-Assumptions!$B$90)*Financing!C43+(1-Assumptions!$B$91)*Financing!C44</f>
        <v>650000.00000000012</v>
      </c>
      <c r="D65" s="5">
        <f>(1-Assumptions!$B$90)*Financing!D43+(1-Assumptions!$B$91)*Financing!D44</f>
        <v>650000.00000000012</v>
      </c>
      <c r="E65" s="5">
        <f>(1-Assumptions!$B$90)*Financing!E43+(1-Assumptions!$B$91)*Financing!E44</f>
        <v>1300000.0000000002</v>
      </c>
      <c r="F65" s="5">
        <f>(1-Assumptions!$B$90)*Financing!F43+(1-Assumptions!$B$91)*Financing!F44</f>
        <v>1300000.0000000002</v>
      </c>
      <c r="G65" s="5">
        <f>(1-Assumptions!$B$90)*Financing!G43+(1-Assumptions!$B$91)*Financing!G44</f>
        <v>1300000.0000000002</v>
      </c>
      <c r="H65" s="5">
        <f>(1-Assumptions!$B$90)*Financing!H43+(1-Assumptions!$B$91)*Financing!H44</f>
        <v>1300000.0000000002</v>
      </c>
      <c r="I65" s="5">
        <f>(1-Assumptions!$B$90)*Financing!I43+(1-Assumptions!$B$91)*Financing!I44</f>
        <v>453960.00000000012</v>
      </c>
      <c r="J65" s="5">
        <f>(1-Assumptions!$B$90)*Financing!J43+(1-Assumptions!$B$91)*Financing!J44</f>
        <v>756600.00000000012</v>
      </c>
      <c r="K65" s="5">
        <f>(1-Assumptions!$B$90)*Financing!K43+(1-Assumptions!$B$91)*Financing!K44</f>
        <v>1059240.0000000002</v>
      </c>
      <c r="L65" s="5">
        <f>(1-Assumptions!$B$90)*Financing!L43+(1-Assumptions!$B$91)*Financing!L44</f>
        <v>1059240.0000000002</v>
      </c>
      <c r="M65" s="5">
        <f>(1-Assumptions!$B$90)*Financing!M43+(1-Assumptions!$B$91)*Financing!M44</f>
        <v>756600.00000000012</v>
      </c>
      <c r="N65" s="5">
        <f>(1-Assumptions!$B$90)*Financing!N43+(1-Assumptions!$B$91)*Financing!N44</f>
        <v>453960.00000000012</v>
      </c>
    </row>
    <row r="66" spans="1:14" ht="28.8">
      <c r="A66" s="110" t="s">
        <v>317</v>
      </c>
      <c r="C66" s="5">
        <f>Logistics!C16+Logistics!C17</f>
        <v>720000</v>
      </c>
      <c r="D66" s="5">
        <f>Logistics!D16+Logistics!D17</f>
        <v>1008000.0000000002</v>
      </c>
      <c r="E66" s="5">
        <f>Logistics!E16+Logistics!E17</f>
        <v>1008000.0000000002</v>
      </c>
      <c r="F66" s="5">
        <f>Logistics!F16+Logistics!F17</f>
        <v>864000</v>
      </c>
      <c r="G66" s="5">
        <f>Logistics!G16+Logistics!G17</f>
        <v>720000</v>
      </c>
      <c r="H66" s="5">
        <f>Logistics!H16+Logistics!H17</f>
        <v>720000</v>
      </c>
      <c r="I66" s="5">
        <f>Logistics!I16+Logistics!I17</f>
        <v>216000</v>
      </c>
      <c r="J66" s="5">
        <f>Logistics!J16+Logistics!J17</f>
        <v>360000</v>
      </c>
      <c r="K66" s="5">
        <f>Logistics!K16+Logistics!K17</f>
        <v>504000.00000000012</v>
      </c>
      <c r="L66" s="5">
        <f>Logistics!L16+Logistics!L17</f>
        <v>504000.00000000012</v>
      </c>
      <c r="M66" s="5">
        <f>Logistics!M16+Logistics!M17</f>
        <v>360000</v>
      </c>
      <c r="N66" s="5">
        <f>Logistics!N16+Logistics!N17</f>
        <v>216000</v>
      </c>
    </row>
    <row r="67" spans="1:14">
      <c r="A67" s="110" t="s">
        <v>318</v>
      </c>
      <c r="C67" s="5">
        <v>0</v>
      </c>
      <c r="D67" s="5">
        <f>C67</f>
        <v>0</v>
      </c>
      <c r="E67" s="5">
        <f t="shared" ref="E67:N67" si="11">D67</f>
        <v>0</v>
      </c>
      <c r="F67" s="5">
        <f t="shared" si="11"/>
        <v>0</v>
      </c>
      <c r="G67" s="5">
        <f t="shared" si="11"/>
        <v>0</v>
      </c>
      <c r="H67" s="5">
        <f t="shared" si="11"/>
        <v>0</v>
      </c>
      <c r="I67" s="5">
        <f t="shared" si="11"/>
        <v>0</v>
      </c>
      <c r="J67" s="5">
        <f t="shared" si="11"/>
        <v>0</v>
      </c>
      <c r="K67" s="5">
        <f t="shared" si="11"/>
        <v>0</v>
      </c>
      <c r="L67" s="5">
        <f t="shared" si="11"/>
        <v>0</v>
      </c>
      <c r="M67" s="5">
        <f t="shared" si="11"/>
        <v>0</v>
      </c>
      <c r="N67" s="5">
        <f t="shared" si="11"/>
        <v>0</v>
      </c>
    </row>
    <row r="68" spans="1:14" ht="28.8">
      <c r="A68" s="110" t="s">
        <v>319</v>
      </c>
      <c r="B68" s="34">
        <v>0.5</v>
      </c>
      <c r="C68" s="5">
        <f>$B$68*Purchases!C23</f>
        <v>1050000</v>
      </c>
      <c r="D68" s="5">
        <f>$B$68*Purchases!D23</f>
        <v>1470000.0000000002</v>
      </c>
      <c r="E68" s="5">
        <f>$B$68*Purchases!E23</f>
        <v>1470000.0000000002</v>
      </c>
      <c r="F68" s="5">
        <f>$B$68*Purchases!F23</f>
        <v>1260000</v>
      </c>
      <c r="G68" s="5">
        <f>$B$68*Purchases!G23</f>
        <v>1050000</v>
      </c>
      <c r="H68" s="5">
        <f>$B$68*Purchases!H23</f>
        <v>1050000</v>
      </c>
      <c r="I68" s="5">
        <f>$B$68*Purchases!I23</f>
        <v>315000</v>
      </c>
      <c r="J68" s="5">
        <f>$B$68*Purchases!J23</f>
        <v>525000</v>
      </c>
      <c r="K68" s="5">
        <f>$B$68*Purchases!K23</f>
        <v>735000.00000000012</v>
      </c>
      <c r="L68" s="5">
        <f>$B$68*Purchases!L23</f>
        <v>735000.00000000012</v>
      </c>
      <c r="M68" s="5">
        <f>$B$68*Purchases!M23</f>
        <v>525000</v>
      </c>
      <c r="N68" s="5">
        <f>$B$68*Purchases!N23</f>
        <v>315000</v>
      </c>
    </row>
    <row r="69" spans="1:14">
      <c r="A69" s="110" t="s">
        <v>313</v>
      </c>
      <c r="C69" s="5">
        <f>'P&amp;L SwCo Mid'!C35</f>
        <v>177244.66666666669</v>
      </c>
      <c r="D69" s="5">
        <f>'P&amp;L SwCo Mid'!D35</f>
        <v>232244.66666666669</v>
      </c>
      <c r="E69" s="5">
        <f>'P&amp;L SwCo Mid'!E35</f>
        <v>236244.66666666669</v>
      </c>
      <c r="F69" s="5">
        <f>'P&amp;L SwCo Mid'!F35</f>
        <v>231244.66666666669</v>
      </c>
      <c r="G69" s="5">
        <f>'P&amp;L SwCo Mid'!G35</f>
        <v>211244.66666666669</v>
      </c>
      <c r="H69" s="5">
        <f>'P&amp;L SwCo Mid'!H35</f>
        <v>211244.66666666669</v>
      </c>
      <c r="I69" s="5">
        <f>'P&amp;L SwCo Mid'!I35</f>
        <v>136038.26666666666</v>
      </c>
      <c r="J69" s="5">
        <f>'P&amp;L SwCo Mid'!J35</f>
        <v>138376.66666666669</v>
      </c>
      <c r="K69" s="5">
        <f>'P&amp;L SwCo Mid'!K35</f>
        <v>167223.06666666668</v>
      </c>
      <c r="L69" s="5">
        <f>'P&amp;L SwCo Mid'!L35</f>
        <v>174207.06666666671</v>
      </c>
      <c r="M69" s="5">
        <f>'P&amp;L SwCo Mid'!M35</f>
        <v>152344.66666666669</v>
      </c>
      <c r="N69" s="5">
        <f>'P&amp;L SwCo Mid'!N35</f>
        <v>123498.26666666668</v>
      </c>
    </row>
    <row r="71" spans="1:14" ht="18">
      <c r="A71" s="117" t="s">
        <v>321</v>
      </c>
    </row>
    <row r="72" spans="1:14">
      <c r="A72" s="116" t="s">
        <v>322</v>
      </c>
    </row>
    <row r="73" spans="1:14">
      <c r="A73" s="110" t="s">
        <v>323</v>
      </c>
      <c r="C73" s="5">
        <f>C64+C54</f>
        <v>5216000</v>
      </c>
      <c r="D73" s="5">
        <f t="shared" ref="D73:N73" si="12">D64+D54</f>
        <v>8798400</v>
      </c>
      <c r="E73" s="5">
        <f t="shared" si="12"/>
        <v>8552800</v>
      </c>
      <c r="F73" s="5">
        <f t="shared" si="12"/>
        <v>8464000</v>
      </c>
      <c r="G73" s="5">
        <f t="shared" si="12"/>
        <v>8196000</v>
      </c>
      <c r="H73" s="5">
        <f t="shared" si="12"/>
        <v>9092000</v>
      </c>
      <c r="I73" s="5">
        <f t="shared" si="12"/>
        <v>7239200</v>
      </c>
      <c r="J73" s="5">
        <f t="shared" si="12"/>
        <v>8152800</v>
      </c>
      <c r="K73" s="5">
        <f t="shared" si="12"/>
        <v>7543200</v>
      </c>
      <c r="L73" s="5">
        <f t="shared" si="12"/>
        <v>7041440</v>
      </c>
      <c r="M73" s="5">
        <f t="shared" si="12"/>
        <v>5894880</v>
      </c>
      <c r="N73" s="5">
        <f t="shared" si="12"/>
        <v>4730400</v>
      </c>
    </row>
    <row r="74" spans="1:14">
      <c r="A74" s="110" t="s">
        <v>324</v>
      </c>
      <c r="C74" s="5">
        <f>C46+C55+C66</f>
        <v>5542560.0000000009</v>
      </c>
      <c r="D74" s="5">
        <f t="shared" ref="D74:N74" si="13">D46+D55+D66</f>
        <v>6118560.0000000009</v>
      </c>
      <c r="E74" s="5">
        <f t="shared" si="13"/>
        <v>5532480</v>
      </c>
      <c r="F74" s="5">
        <f t="shared" si="13"/>
        <v>4658400</v>
      </c>
      <c r="G74" s="5">
        <f t="shared" si="13"/>
        <v>4370400</v>
      </c>
      <c r="H74" s="5">
        <f t="shared" si="13"/>
        <v>2319120</v>
      </c>
      <c r="I74" s="5">
        <f t="shared" si="13"/>
        <v>1897200</v>
      </c>
      <c r="J74" s="5">
        <f t="shared" si="13"/>
        <v>2771280.0000000005</v>
      </c>
      <c r="K74" s="5">
        <f t="shared" si="13"/>
        <v>3059280.0000000005</v>
      </c>
      <c r="L74" s="5">
        <f t="shared" si="13"/>
        <v>2473200</v>
      </c>
      <c r="M74" s="5">
        <f t="shared" si="13"/>
        <v>1599120</v>
      </c>
      <c r="N74" s="5">
        <f t="shared" si="13"/>
        <v>432000</v>
      </c>
    </row>
    <row r="75" spans="1:14">
      <c r="A75" s="110" t="s">
        <v>318</v>
      </c>
      <c r="C75" s="5">
        <f t="shared" ref="C75:N75" si="14">C67+C56+C47</f>
        <v>8520640</v>
      </c>
      <c r="D75" s="5">
        <f t="shared" si="14"/>
        <v>11928896.000000004</v>
      </c>
      <c r="E75" s="5">
        <f t="shared" si="14"/>
        <v>11928896.000000004</v>
      </c>
      <c r="F75" s="5">
        <f t="shared" si="14"/>
        <v>10224768</v>
      </c>
      <c r="G75" s="5">
        <f t="shared" si="14"/>
        <v>8688640</v>
      </c>
      <c r="H75" s="5">
        <f t="shared" si="14"/>
        <v>8688640</v>
      </c>
      <c r="I75" s="5">
        <f t="shared" si="14"/>
        <v>2803392</v>
      </c>
      <c r="J75" s="5">
        <f t="shared" si="14"/>
        <v>4672320</v>
      </c>
      <c r="K75" s="5">
        <f t="shared" si="14"/>
        <v>6541248.0000000019</v>
      </c>
      <c r="L75" s="5">
        <f t="shared" si="14"/>
        <v>6541248.0000000019</v>
      </c>
      <c r="M75" s="5">
        <f t="shared" si="14"/>
        <v>4672320</v>
      </c>
      <c r="N75" s="5">
        <f t="shared" si="14"/>
        <v>2803392</v>
      </c>
    </row>
    <row r="76" spans="1:14">
      <c r="A76" s="110" t="s">
        <v>325</v>
      </c>
      <c r="C76" s="5">
        <f>C69+C48+C57</f>
        <v>4505404.6666666679</v>
      </c>
      <c r="D76" s="5">
        <f t="shared" ref="D76:N76" si="15">D69+D48+D57</f>
        <v>4650644.6666666679</v>
      </c>
      <c r="E76" s="5">
        <f t="shared" si="15"/>
        <v>4068564.6666666665</v>
      </c>
      <c r="F76" s="5">
        <f t="shared" si="15"/>
        <v>3432364.6666666665</v>
      </c>
      <c r="G76" s="5">
        <f t="shared" si="15"/>
        <v>3367244.6666666665</v>
      </c>
      <c r="H76" s="5">
        <f t="shared" si="15"/>
        <v>1315964.6666666667</v>
      </c>
      <c r="I76" s="5">
        <f t="shared" si="15"/>
        <v>1668918.2666666666</v>
      </c>
      <c r="J76" s="5">
        <f t="shared" si="15"/>
        <v>2302456.666666667</v>
      </c>
      <c r="K76" s="5">
        <f t="shared" si="15"/>
        <v>2376423.0666666673</v>
      </c>
      <c r="L76" s="5">
        <f t="shared" si="15"/>
        <v>1797327.0666666667</v>
      </c>
      <c r="M76" s="5">
        <f t="shared" si="15"/>
        <v>1144264.6666666667</v>
      </c>
      <c r="N76" s="5">
        <f t="shared" si="15"/>
        <v>191178.26666666666</v>
      </c>
    </row>
    <row r="77" spans="1:14" ht="15.6">
      <c r="A77" s="121" t="s">
        <v>326</v>
      </c>
      <c r="C77" s="120">
        <f>C73+C74+C75-C76</f>
        <v>14773795.333333332</v>
      </c>
      <c r="D77" s="120">
        <f t="shared" ref="D77" si="16">D73+D74+D75-D76</f>
        <v>22195211.333333336</v>
      </c>
      <c r="E77" s="120">
        <f t="shared" ref="E77" si="17">E73+E74+E75-E76</f>
        <v>21945611.333333336</v>
      </c>
      <c r="F77" s="120">
        <f t="shared" ref="F77" si="18">F73+F74+F75-F76</f>
        <v>19914803.333333332</v>
      </c>
      <c r="G77" s="120">
        <f t="shared" ref="G77" si="19">G73+G74+G75-G76</f>
        <v>17887795.333333332</v>
      </c>
      <c r="H77" s="120">
        <f t="shared" ref="H77" si="20">H73+H74+H75-H76</f>
        <v>18783795.333333332</v>
      </c>
      <c r="I77" s="120">
        <f t="shared" ref="I77" si="21">I73+I74+I75-I76</f>
        <v>10270873.733333334</v>
      </c>
      <c r="J77" s="120">
        <f t="shared" ref="J77" si="22">J73+J74+J75-J76</f>
        <v>13293943.333333332</v>
      </c>
      <c r="K77" s="120">
        <f t="shared" ref="K77" si="23">K73+K74+K75-K76</f>
        <v>14767304.933333334</v>
      </c>
      <c r="L77" s="120">
        <f t="shared" ref="L77" si="24">L73+L74+L75-L76</f>
        <v>14258560.933333335</v>
      </c>
      <c r="M77" s="120">
        <f t="shared" ref="M77" si="25">M73+M74+M75-M76</f>
        <v>11022055.333333334</v>
      </c>
      <c r="N77" s="120">
        <f t="shared" ref="N77" si="26">N73+N74+N75-N76</f>
        <v>7774613.7333333334</v>
      </c>
    </row>
    <row r="78" spans="1:14">
      <c r="A78" s="107" t="s">
        <v>327</v>
      </c>
      <c r="C78" s="5">
        <f>C77-B77</f>
        <v>14773795.333333332</v>
      </c>
      <c r="D78" s="5">
        <f>D77-C77</f>
        <v>7421416.0000000037</v>
      </c>
      <c r="E78" s="5">
        <f t="shared" ref="E78" si="27">E77-D77</f>
        <v>-249600</v>
      </c>
      <c r="F78" s="5">
        <f t="shared" ref="F78" si="28">F77-E77</f>
        <v>-2030808.0000000037</v>
      </c>
      <c r="G78" s="5">
        <f t="shared" ref="G78" si="29">G77-F77</f>
        <v>-2027008</v>
      </c>
      <c r="H78" s="5">
        <f t="shared" ref="H78" si="30">H77-G77</f>
        <v>896000</v>
      </c>
      <c r="I78" s="5">
        <f t="shared" ref="I78" si="31">I77-H77</f>
        <v>-8512921.5999999978</v>
      </c>
      <c r="J78" s="5">
        <f t="shared" ref="J78" si="32">J77-I77</f>
        <v>3023069.5999999978</v>
      </c>
      <c r="K78" s="5">
        <f t="shared" ref="K78" si="33">K77-J77</f>
        <v>1473361.6000000015</v>
      </c>
      <c r="L78" s="5">
        <f t="shared" ref="L78" si="34">L77-K77</f>
        <v>-508743.99999999814</v>
      </c>
      <c r="M78" s="5">
        <f t="shared" ref="M78" si="35">M77-L77</f>
        <v>-3236505.6000000015</v>
      </c>
      <c r="N78" s="5">
        <f t="shared" ref="N78" si="36">N77-M77</f>
        <v>-3247441.6000000006</v>
      </c>
    </row>
    <row r="81" spans="1:14" ht="18">
      <c r="A81" s="115" t="s">
        <v>152</v>
      </c>
      <c r="B81" s="1" t="s">
        <v>75</v>
      </c>
      <c r="C81" s="1" t="s">
        <v>129</v>
      </c>
      <c r="D81" s="1" t="s">
        <v>130</v>
      </c>
      <c r="E81" s="1" t="s">
        <v>131</v>
      </c>
      <c r="F81" s="1" t="s">
        <v>132</v>
      </c>
      <c r="G81" s="1" t="s">
        <v>133</v>
      </c>
      <c r="H81" s="1" t="s">
        <v>134</v>
      </c>
      <c r="I81" s="1" t="s">
        <v>135</v>
      </c>
      <c r="J81" s="1" t="s">
        <v>136</v>
      </c>
      <c r="K81" s="1" t="s">
        <v>137</v>
      </c>
      <c r="L81" s="1" t="s">
        <v>138</v>
      </c>
      <c r="M81" s="1" t="s">
        <v>139</v>
      </c>
      <c r="N81" s="1" t="s">
        <v>140</v>
      </c>
    </row>
    <row r="82" spans="1:14" ht="18">
      <c r="A82" s="84" t="s">
        <v>84</v>
      </c>
    </row>
    <row r="83" spans="1:14" ht="15.6">
      <c r="A83" s="110" t="s">
        <v>302</v>
      </c>
      <c r="B83" s="41">
        <f>Sales!B4</f>
        <v>69120000</v>
      </c>
      <c r="C83" s="5">
        <f>Sales!C4</f>
        <v>6912000</v>
      </c>
      <c r="D83" s="5">
        <f>Sales!D4</f>
        <v>9676800.0000000019</v>
      </c>
      <c r="E83" s="5">
        <f>Sales!E4</f>
        <v>9676800.0000000019</v>
      </c>
      <c r="F83" s="5">
        <f>Sales!F4</f>
        <v>8294400</v>
      </c>
      <c r="G83" s="5">
        <f>Sales!G4</f>
        <v>6912000</v>
      </c>
      <c r="H83" s="5">
        <f>Sales!H4</f>
        <v>6912000</v>
      </c>
      <c r="I83" s="5">
        <f>Sales!I4</f>
        <v>2073600</v>
      </c>
      <c r="J83" s="5">
        <f>Sales!J4</f>
        <v>3456000</v>
      </c>
      <c r="K83" s="5">
        <f>Sales!K4</f>
        <v>4838400.0000000009</v>
      </c>
      <c r="L83" s="5">
        <f>Sales!L4</f>
        <v>4838400.0000000009</v>
      </c>
      <c r="M83" s="5">
        <f>Sales!M4</f>
        <v>3456000</v>
      </c>
      <c r="N83" s="5">
        <f>Sales!N4</f>
        <v>2073600</v>
      </c>
    </row>
    <row r="84" spans="1:14" ht="15.6">
      <c r="A84" s="110" t="s">
        <v>303</v>
      </c>
      <c r="B84" s="41">
        <f>-'P&amp;L PurCo Good'!B7</f>
        <v>65462284.444444448</v>
      </c>
      <c r="C84" s="5">
        <f>-'P&amp;L PurCo Good'!C7</f>
        <v>6530967.3015873022</v>
      </c>
      <c r="D84" s="5">
        <f>-'P&amp;L PurCo Good'!D7</f>
        <v>9085006.6666666679</v>
      </c>
      <c r="E84" s="5">
        <f>-'P&amp;L PurCo Good'!E7</f>
        <v>9085006.6666666679</v>
      </c>
      <c r="F84" s="5">
        <f>-'P&amp;L PurCo Good'!F7</f>
        <v>7800526.666666667</v>
      </c>
      <c r="G84" s="5">
        <f>-'P&amp;L PurCo Good'!G7</f>
        <v>6516046.666666667</v>
      </c>
      <c r="H84" s="5">
        <f>-'P&amp;L PurCo Good'!H7</f>
        <v>6516046.666666667</v>
      </c>
      <c r="I84" s="5">
        <f>-'P&amp;L PurCo Good'!I7</f>
        <v>2020366.6666666667</v>
      </c>
      <c r="J84" s="5">
        <f>-'P&amp;L PurCo Good'!J7</f>
        <v>3304846.6666666665</v>
      </c>
      <c r="K84" s="5">
        <f>-'P&amp;L PurCo Good'!K7</f>
        <v>4589326.6666666679</v>
      </c>
      <c r="L84" s="5">
        <f>-'P&amp;L PurCo Good'!L7</f>
        <v>4589326.6666666679</v>
      </c>
      <c r="M84" s="5">
        <f>-'P&amp;L PurCo Good'!M7</f>
        <v>3304846.6666666665</v>
      </c>
      <c r="N84" s="5">
        <f>-'P&amp;L PurCo Good'!N7</f>
        <v>2020366.6666666667</v>
      </c>
    </row>
    <row r="85" spans="1:14">
      <c r="A85" s="110" t="s">
        <v>304</v>
      </c>
      <c r="C85" s="5">
        <f>C83-C98</f>
        <v>4912000</v>
      </c>
      <c r="D85" s="5">
        <f t="shared" ref="D85:N85" si="37">D83-D98</f>
        <v>7676800.0000000019</v>
      </c>
      <c r="E85" s="5">
        <f t="shared" si="37"/>
        <v>5676800.0000000019</v>
      </c>
      <c r="F85" s="5">
        <f t="shared" si="37"/>
        <v>4294400</v>
      </c>
      <c r="G85" s="5">
        <f t="shared" si="37"/>
        <v>2912000</v>
      </c>
      <c r="H85" s="5">
        <f t="shared" si="37"/>
        <v>2912000</v>
      </c>
      <c r="I85" s="5">
        <f t="shared" si="37"/>
        <v>655200</v>
      </c>
      <c r="J85" s="5">
        <f t="shared" si="37"/>
        <v>1092000</v>
      </c>
      <c r="K85" s="5">
        <f t="shared" si="37"/>
        <v>1528800</v>
      </c>
      <c r="L85" s="5">
        <f t="shared" si="37"/>
        <v>1528800</v>
      </c>
      <c r="M85" s="5">
        <f t="shared" si="37"/>
        <v>1092000</v>
      </c>
      <c r="N85" s="5">
        <f t="shared" si="37"/>
        <v>655200</v>
      </c>
    </row>
    <row r="86" spans="1:14" ht="28.8">
      <c r="A86" s="110" t="s">
        <v>305</v>
      </c>
      <c r="B86" s="34">
        <f>Assumptions!B103</f>
        <v>0.5</v>
      </c>
      <c r="C86" s="5">
        <f>$B$86*(Purchases!D14+Purchases!D15)</f>
        <v>4042080.0000000009</v>
      </c>
      <c r="D86" s="5">
        <f>$B$86*(Purchases!E14+Purchases!E15)</f>
        <v>4042080.0000000009</v>
      </c>
      <c r="E86" s="5">
        <f>$B$86*(Purchases!F14+Purchases!F15)</f>
        <v>3464640</v>
      </c>
      <c r="F86" s="5">
        <f>$B$86*(Purchases!G14+Purchases!G15)</f>
        <v>2887200</v>
      </c>
      <c r="G86" s="5">
        <f>$B$86*(Purchases!H14+Purchases!H15)</f>
        <v>2887200</v>
      </c>
      <c r="H86" s="5">
        <f>$B$86*(Purchases!I14+Purchases!I15)</f>
        <v>866160</v>
      </c>
      <c r="I86" s="5">
        <f>$B$86*(Purchases!J14+Purchases!J15)</f>
        <v>1443600</v>
      </c>
      <c r="J86" s="5">
        <f>$B$86*(Purchases!K14+Purchases!K15)</f>
        <v>2021040.0000000005</v>
      </c>
      <c r="K86" s="5">
        <f>$B$86*(Purchases!L14+Purchases!L15)</f>
        <v>2021040.0000000005</v>
      </c>
      <c r="L86" s="5">
        <f>$B$86*(Purchases!M14+Purchases!M15)</f>
        <v>1443600</v>
      </c>
      <c r="M86" s="5">
        <f>$B$86*(Purchases!N14+Purchases!N15)</f>
        <v>866160</v>
      </c>
      <c r="N86" s="5">
        <f>$B$86*(Purchases!O14+Purchases!O15)</f>
        <v>0</v>
      </c>
    </row>
    <row r="87" spans="1:14">
      <c r="A87" s="110" t="s">
        <v>306</v>
      </c>
      <c r="B87" s="34">
        <v>0.8</v>
      </c>
      <c r="C87" s="5">
        <f>$B$87*(Purchases!C14+Purchases!C15)</f>
        <v>4619520</v>
      </c>
      <c r="D87" s="5">
        <f>$B$87*(Purchases!D14+Purchases!D15)</f>
        <v>6467328.0000000019</v>
      </c>
      <c r="E87" s="5">
        <f>$B$87*(Purchases!E14+Purchases!E15)</f>
        <v>6467328.0000000019</v>
      </c>
      <c r="F87" s="5">
        <f>$B$87*(Purchases!F14+Purchases!F15)</f>
        <v>5543424</v>
      </c>
      <c r="G87" s="5">
        <f>$B$87*(Purchases!G14+Purchases!G15)</f>
        <v>4619520</v>
      </c>
      <c r="H87" s="5">
        <f>$B$87*(Purchases!H14+Purchases!H15)</f>
        <v>4619520</v>
      </c>
      <c r="I87" s="5">
        <f>$B$87*(Purchases!I14+Purchases!I15)</f>
        <v>1385856</v>
      </c>
      <c r="J87" s="5">
        <f>$B$87*(Purchases!J14+Purchases!J15)</f>
        <v>2309760</v>
      </c>
      <c r="K87" s="5">
        <f>$B$87*(Purchases!K14+Purchases!K15)</f>
        <v>3233664.0000000009</v>
      </c>
      <c r="L87" s="5">
        <f>$B$87*(Purchases!L14+Purchases!L15)</f>
        <v>3233664.0000000009</v>
      </c>
      <c r="M87" s="5">
        <f>$B$87*(Purchases!M14+Purchases!M15)</f>
        <v>2309760</v>
      </c>
      <c r="N87" s="5">
        <f>$B$87*(Purchases!N14+Purchases!N15)</f>
        <v>1385856</v>
      </c>
    </row>
    <row r="88" spans="1:14" ht="28.8">
      <c r="A88" s="110" t="s">
        <v>307</v>
      </c>
      <c r="B88" s="34">
        <f>Assumptions!B104</f>
        <v>0.5</v>
      </c>
      <c r="C88" s="5">
        <f>$B$88*(Purchases!D14+Purchases!D15)</f>
        <v>4042080.0000000009</v>
      </c>
      <c r="D88" s="5">
        <f>$B$88*(Purchases!E14+Purchases!E15)</f>
        <v>4042080.0000000009</v>
      </c>
      <c r="E88" s="5">
        <f>$B$88*(Purchases!F14+Purchases!F15)</f>
        <v>3464640</v>
      </c>
      <c r="F88" s="5">
        <f>$B$88*(Purchases!G14+Purchases!G15)</f>
        <v>2887200</v>
      </c>
      <c r="G88" s="5">
        <f>$B$88*(Purchases!H14+Purchases!H15)</f>
        <v>2887200</v>
      </c>
      <c r="H88" s="5">
        <f>$B$88*(Purchases!I14+Purchases!I15)</f>
        <v>866160</v>
      </c>
      <c r="I88" s="5">
        <f>$B$88*(Purchases!J14+Purchases!J15)</f>
        <v>1443600</v>
      </c>
      <c r="J88" s="5">
        <f>$B$88*(Purchases!K14+Purchases!K15)</f>
        <v>2021040.0000000005</v>
      </c>
      <c r="K88" s="5">
        <f>$B$88*(Purchases!L14+Purchases!L15)</f>
        <v>2021040.0000000005</v>
      </c>
      <c r="L88" s="5">
        <f>$B$88*(Purchases!M14+Purchases!M15)</f>
        <v>1443600</v>
      </c>
      <c r="M88" s="5">
        <f>$B$88*(Purchases!N14+Purchases!N15)</f>
        <v>866160</v>
      </c>
      <c r="N88" s="5">
        <f>$B$88*(Purchases!O14+Purchases!O15)</f>
        <v>0</v>
      </c>
    </row>
    <row r="89" spans="1:14">
      <c r="A89" s="110"/>
    </row>
    <row r="90" spans="1:14" ht="18">
      <c r="A90" s="61" t="s">
        <v>81</v>
      </c>
    </row>
    <row r="91" spans="1:14" ht="15.6">
      <c r="A91" s="110" t="s">
        <v>302</v>
      </c>
      <c r="B91" s="41">
        <f>Sales!B8</f>
        <v>84000000</v>
      </c>
      <c r="C91" s="5">
        <f>Sales!C8</f>
        <v>8400000</v>
      </c>
      <c r="D91" s="5">
        <f>Sales!D8</f>
        <v>11760000.000000002</v>
      </c>
      <c r="E91" s="5">
        <f>Sales!E8</f>
        <v>11760000.000000002</v>
      </c>
      <c r="F91" s="5">
        <f>Sales!F8</f>
        <v>10080000</v>
      </c>
      <c r="G91" s="5">
        <f>Sales!G8</f>
        <v>8400000</v>
      </c>
      <c r="H91" s="5">
        <f>Sales!H8</f>
        <v>8400000</v>
      </c>
      <c r="I91" s="5">
        <f>Sales!I8</f>
        <v>2520000</v>
      </c>
      <c r="J91" s="5">
        <f>Sales!J8</f>
        <v>4200000</v>
      </c>
      <c r="K91" s="5">
        <f>Sales!K8</f>
        <v>5880000.0000000009</v>
      </c>
      <c r="L91" s="5">
        <f>Sales!L8</f>
        <v>5880000.0000000009</v>
      </c>
      <c r="M91" s="5">
        <f>Sales!M8</f>
        <v>4200000</v>
      </c>
      <c r="N91" s="5">
        <f>Sales!N8</f>
        <v>2520000</v>
      </c>
    </row>
    <row r="92" spans="1:14" ht="15.6">
      <c r="A92" s="110" t="s">
        <v>303</v>
      </c>
      <c r="B92" s="41">
        <f>-'P&amp;L ExCo Good'!B7</f>
        <v>83776000</v>
      </c>
      <c r="C92" s="5">
        <f>-'P&amp;L ExCo Good'!C7</f>
        <v>8377600</v>
      </c>
      <c r="D92" s="5">
        <f>-'P&amp;L ExCo Good'!D7</f>
        <v>11728640.000000002</v>
      </c>
      <c r="E92" s="5">
        <f>-'P&amp;L ExCo Good'!E7</f>
        <v>11728640.000000002</v>
      </c>
      <c r="F92" s="5">
        <f>-'P&amp;L ExCo Good'!F7</f>
        <v>10053120</v>
      </c>
      <c r="G92" s="5">
        <f>-'P&amp;L ExCo Good'!G7</f>
        <v>8377600</v>
      </c>
      <c r="H92" s="5">
        <f>-'P&amp;L ExCo Good'!H7</f>
        <v>8377600</v>
      </c>
      <c r="I92" s="5">
        <f>-'P&amp;L ExCo Good'!I7</f>
        <v>2513280</v>
      </c>
      <c r="J92" s="5">
        <f>-'P&amp;L ExCo Good'!J7</f>
        <v>4188800</v>
      </c>
      <c r="K92" s="5">
        <f>-'P&amp;L ExCo Good'!K7</f>
        <v>5864320.0000000009</v>
      </c>
      <c r="L92" s="5">
        <f>-'P&amp;L ExCo Good'!L7</f>
        <v>5864320.0000000009</v>
      </c>
      <c r="M92" s="5">
        <f>-'P&amp;L ExCo Good'!M7</f>
        <v>4188800</v>
      </c>
      <c r="N92" s="5">
        <f>-'P&amp;L ExCo Good'!N7</f>
        <v>2513280</v>
      </c>
    </row>
    <row r="93" spans="1:14">
      <c r="A93" s="110" t="s">
        <v>308</v>
      </c>
      <c r="C93" s="5">
        <f>Sales!C8-Financing!C59</f>
        <v>5400000</v>
      </c>
      <c r="D93" s="5">
        <f>Sales!D8-Financing!D59</f>
        <v>8760000.0000000019</v>
      </c>
      <c r="E93" s="5">
        <f>Sales!E8-Financing!E59</f>
        <v>5760000.0000000019</v>
      </c>
      <c r="F93" s="5">
        <f>Sales!F8-Financing!F59</f>
        <v>4080000</v>
      </c>
      <c r="G93" s="5">
        <f>Sales!G8-Financing!G59</f>
        <v>2400000</v>
      </c>
      <c r="H93" s="5">
        <f>Sales!H8-Financing!H59</f>
        <v>2400000</v>
      </c>
      <c r="I93" s="5">
        <f>Sales!I8-Financing!I59</f>
        <v>392400</v>
      </c>
      <c r="J93" s="5">
        <f>Sales!J8-Financing!J59</f>
        <v>654000</v>
      </c>
      <c r="K93" s="5">
        <f>Sales!K8-Financing!K59</f>
        <v>915600</v>
      </c>
      <c r="L93" s="5">
        <f>Sales!L8-Financing!L59</f>
        <v>915600</v>
      </c>
      <c r="M93" s="5">
        <f>Sales!M8-Financing!M59</f>
        <v>654000</v>
      </c>
      <c r="N93" s="5">
        <f>Sales!N8-Financing!N59</f>
        <v>392400</v>
      </c>
    </row>
    <row r="94" spans="1:14">
      <c r="A94" s="110" t="s">
        <v>309</v>
      </c>
      <c r="C94" s="5">
        <f>-Financing!C93</f>
        <v>895360</v>
      </c>
      <c r="D94" s="5">
        <f>-Financing!D93</f>
        <v>2148864</v>
      </c>
      <c r="E94" s="5">
        <f>-Financing!E93</f>
        <v>3402368</v>
      </c>
      <c r="F94" s="5">
        <f>-Financing!F93</f>
        <v>4476800</v>
      </c>
      <c r="G94" s="5">
        <f>-Financing!G93</f>
        <v>5372160</v>
      </c>
      <c r="H94" s="5">
        <f>-Financing!H93</f>
        <v>6267520</v>
      </c>
      <c r="I94" s="5">
        <f>-Financing!I93</f>
        <v>6536128</v>
      </c>
      <c r="J94" s="5">
        <f>-Financing!J93</f>
        <v>6983808</v>
      </c>
      <c r="K94" s="5">
        <f>-Financing!K93</f>
        <v>5909376</v>
      </c>
      <c r="L94" s="5">
        <f>-Financing!L93</f>
        <v>5407974.3999999994</v>
      </c>
      <c r="M94" s="5">
        <f>-Financing!M93</f>
        <v>4727500.7999999989</v>
      </c>
      <c r="N94" s="5">
        <f>-Financing!N93</f>
        <v>4029119.9999999991</v>
      </c>
    </row>
    <row r="95" spans="1:14">
      <c r="A95" s="110" t="s">
        <v>310</v>
      </c>
      <c r="C95" s="5">
        <f>Logistics!C12</f>
        <v>720000</v>
      </c>
      <c r="D95" s="5">
        <f>Logistics!D12</f>
        <v>1008000.0000000002</v>
      </c>
      <c r="E95" s="5">
        <f>Logistics!E12</f>
        <v>1008000.0000000002</v>
      </c>
      <c r="F95" s="5">
        <f>Logistics!F12</f>
        <v>864000</v>
      </c>
      <c r="G95" s="5">
        <f>Logistics!G12</f>
        <v>720000</v>
      </c>
      <c r="H95" s="5">
        <f>Logistics!H12</f>
        <v>720000</v>
      </c>
      <c r="I95" s="5">
        <f>Logistics!I12</f>
        <v>216000</v>
      </c>
      <c r="J95" s="5">
        <f>Logistics!J12</f>
        <v>360000</v>
      </c>
      <c r="K95" s="5">
        <f>Logistics!K12</f>
        <v>504000.00000000012</v>
      </c>
      <c r="L95" s="5">
        <f>Logistics!L12</f>
        <v>504000.00000000012</v>
      </c>
      <c r="M95" s="5">
        <f>Logistics!M12</f>
        <v>360000</v>
      </c>
      <c r="N95" s="5">
        <f>Logistics!N12</f>
        <v>216000</v>
      </c>
    </row>
    <row r="96" spans="1:14" ht="43.2">
      <c r="A96" s="110" t="s">
        <v>311</v>
      </c>
      <c r="B96" s="34">
        <v>0.5</v>
      </c>
      <c r="C96" s="5">
        <f>IF($B$96*(Sales!C4+Purchases!C21)-C98&gt;0,$B$96*(Sales!C4+Purchases!C21),C98)</f>
        <v>3828800</v>
      </c>
      <c r="D96" s="5">
        <f>IF($B$96*(Sales!D4+Purchases!D21)-D98&gt;0,$B$96*(Sales!D4+Purchases!D21),D98)</f>
        <v>5360320.0000000009</v>
      </c>
      <c r="E96" s="5">
        <f>IF($B$96*(Sales!E4+Purchases!E21)-E98&gt;0,$B$96*(Sales!E4+Purchases!E21),E98)</f>
        <v>5360320.0000000009</v>
      </c>
      <c r="F96" s="5">
        <f>IF($B$96*(Sales!F4+Purchases!F21)-F98&gt;0,$B$96*(Sales!F4+Purchases!F21),F98)</f>
        <v>4594560</v>
      </c>
      <c r="G96" s="5">
        <f>IF($B$96*(Sales!G4+Purchases!G21)-G98&gt;0,$B$96*(Sales!G4+Purchases!G21),G98)</f>
        <v>4000000</v>
      </c>
      <c r="H96" s="5">
        <f>IF($B$96*(Sales!H4+Purchases!H21)-H98&gt;0,$B$96*(Sales!H4+Purchases!H21),H98)</f>
        <v>4000000</v>
      </c>
      <c r="I96" s="5">
        <f>IF($B$96*(Sales!I4+Purchases!I21)-I98&gt;0,$B$96*(Sales!I4+Purchases!I21),I98)</f>
        <v>1418400</v>
      </c>
      <c r="J96" s="5">
        <f>IF($B$96*(Sales!J4+Purchases!J21)-J98&gt;0,$B$96*(Sales!J4+Purchases!J21),J98)</f>
        <v>2364000</v>
      </c>
      <c r="K96" s="5">
        <f>IF($B$96*(Sales!K4+Purchases!K21)-K98&gt;0,$B$96*(Sales!K4+Purchases!K21),K98)</f>
        <v>3309600.0000000009</v>
      </c>
      <c r="L96" s="5">
        <f>IF($B$96*(Sales!L4+Purchases!L21)-L98&gt;0,$B$96*(Sales!L4+Purchases!L21),L98)</f>
        <v>3309600.0000000009</v>
      </c>
      <c r="M96" s="5">
        <f>IF($B$96*(Sales!M4+Purchases!M21)-M98&gt;0,$B$96*(Sales!M4+Purchases!M21),M98)</f>
        <v>2364000</v>
      </c>
      <c r="N96" s="5">
        <f>IF($B$96*(Sales!N4+Purchases!N21)-N98&gt;0,$B$96*(Sales!N4+Purchases!N21),N98)</f>
        <v>1418400</v>
      </c>
    </row>
    <row r="97" spans="1:14" ht="28.8">
      <c r="A97" s="110" t="s">
        <v>312</v>
      </c>
      <c r="B97" s="34">
        <v>0.3</v>
      </c>
      <c r="C97" s="5">
        <f>$B$18*Purchases!C21</f>
        <v>223680</v>
      </c>
      <c r="D97" s="5">
        <f>$B$18*Purchases!D21</f>
        <v>313152.00000000006</v>
      </c>
      <c r="E97" s="5">
        <f>$B$18*Purchases!E21</f>
        <v>313152.00000000006</v>
      </c>
      <c r="F97" s="5">
        <f>$B$18*Purchases!F21</f>
        <v>268416</v>
      </c>
      <c r="G97" s="5">
        <f>$B$18*Purchases!G21</f>
        <v>223680</v>
      </c>
      <c r="H97" s="5">
        <f>$B$18*Purchases!H21</f>
        <v>223680</v>
      </c>
      <c r="I97" s="5">
        <f>$B$18*Purchases!I21</f>
        <v>67104</v>
      </c>
      <c r="J97" s="5">
        <f>$B$18*Purchases!J21</f>
        <v>111840</v>
      </c>
      <c r="K97" s="5">
        <f>$B$18*Purchases!K21</f>
        <v>156576.00000000003</v>
      </c>
      <c r="L97" s="5">
        <f>$B$18*Purchases!L21</f>
        <v>156576.00000000003</v>
      </c>
      <c r="M97" s="5">
        <f>$B$18*Purchases!M21</f>
        <v>111840</v>
      </c>
      <c r="N97" s="5">
        <f>$B$18*Purchases!N21</f>
        <v>67104</v>
      </c>
    </row>
    <row r="98" spans="1:14">
      <c r="A98" s="110" t="s">
        <v>320</v>
      </c>
      <c r="C98" s="5">
        <f>Financing!C58</f>
        <v>2000000</v>
      </c>
      <c r="D98" s="5">
        <f>Financing!D58</f>
        <v>2000000</v>
      </c>
      <c r="E98" s="5">
        <f>Financing!E58</f>
        <v>4000000</v>
      </c>
      <c r="F98" s="5">
        <f>Financing!F58</f>
        <v>4000000</v>
      </c>
      <c r="G98" s="5">
        <f>Financing!G58</f>
        <v>4000000</v>
      </c>
      <c r="H98" s="5">
        <f>Financing!H58</f>
        <v>4000000</v>
      </c>
      <c r="I98" s="5">
        <f>Financing!I58</f>
        <v>1418400</v>
      </c>
      <c r="J98" s="5">
        <f>Financing!J58</f>
        <v>2364000</v>
      </c>
      <c r="K98" s="5">
        <f>Financing!K58</f>
        <v>3309600.0000000009</v>
      </c>
      <c r="L98" s="5">
        <f>Financing!L58</f>
        <v>3309600.0000000009</v>
      </c>
      <c r="M98" s="5">
        <f>Financing!M58</f>
        <v>2364000</v>
      </c>
      <c r="N98" s="5">
        <f>Financing!N58</f>
        <v>1418400</v>
      </c>
    </row>
    <row r="100" spans="1:14" ht="18">
      <c r="A100" s="61" t="s">
        <v>78</v>
      </c>
    </row>
    <row r="101" spans="1:14" ht="15.6">
      <c r="A101" s="110" t="s">
        <v>302</v>
      </c>
      <c r="B101" s="41">
        <f>Sales!B15</f>
        <v>118200000</v>
      </c>
      <c r="C101" s="5">
        <f>Sales!C15</f>
        <v>11820000</v>
      </c>
      <c r="D101" s="5">
        <f>Sales!D15</f>
        <v>16548000.000000004</v>
      </c>
      <c r="E101" s="5">
        <f>Sales!E15</f>
        <v>16548000.000000004</v>
      </c>
      <c r="F101" s="5">
        <f>Sales!F15</f>
        <v>14184000</v>
      </c>
      <c r="G101" s="5">
        <f>Sales!G15</f>
        <v>11820000</v>
      </c>
      <c r="H101" s="5">
        <f>Sales!H15</f>
        <v>11820000</v>
      </c>
      <c r="I101" s="5">
        <f>Sales!I15</f>
        <v>3546000</v>
      </c>
      <c r="J101" s="5">
        <f>Sales!J15</f>
        <v>5910000</v>
      </c>
      <c r="K101" s="5">
        <f>Sales!K15</f>
        <v>8274000.0000000019</v>
      </c>
      <c r="L101" s="5">
        <f>Sales!L15</f>
        <v>8274000.0000000019</v>
      </c>
      <c r="M101" s="5">
        <f>Sales!M15</f>
        <v>5910000</v>
      </c>
      <c r="N101" s="5">
        <f>Sales!N15</f>
        <v>3546000</v>
      </c>
    </row>
    <row r="102" spans="1:14" ht="15.6">
      <c r="A102" s="110" t="s">
        <v>303</v>
      </c>
      <c r="B102" s="41">
        <f>-'P&amp;L SwCo Good'!B8</f>
        <v>105000000</v>
      </c>
      <c r="C102" s="5">
        <f>-'P&amp;L SwCo Good'!C8</f>
        <v>10500000</v>
      </c>
      <c r="D102" s="5">
        <f>-'P&amp;L SwCo Good'!D8</f>
        <v>14700000.000000002</v>
      </c>
      <c r="E102" s="5">
        <f>-'P&amp;L SwCo Good'!E8</f>
        <v>14700000.000000002</v>
      </c>
      <c r="F102" s="5">
        <f>-'P&amp;L SwCo Good'!F8</f>
        <v>12600000</v>
      </c>
      <c r="G102" s="5">
        <f>-'P&amp;L SwCo Good'!G8</f>
        <v>10500000</v>
      </c>
      <c r="H102" s="5">
        <f>-'P&amp;L SwCo Good'!H8</f>
        <v>10500000</v>
      </c>
      <c r="I102" s="5">
        <f>-'P&amp;L SwCo Good'!I8</f>
        <v>3150000</v>
      </c>
      <c r="J102" s="5">
        <f>-'P&amp;L SwCo Good'!J8</f>
        <v>5250000</v>
      </c>
      <c r="K102" s="5">
        <f>-'P&amp;L SwCo Good'!K8</f>
        <v>7350000.0000000009</v>
      </c>
      <c r="L102" s="5">
        <f>-'P&amp;L SwCo Good'!L8</f>
        <v>7350000.0000000009</v>
      </c>
      <c r="M102" s="5">
        <f>-'P&amp;L SwCo Good'!M8</f>
        <v>5250000</v>
      </c>
      <c r="N102" s="5">
        <f>-'P&amp;L SwCo Good'!N8</f>
        <v>3150000</v>
      </c>
    </row>
    <row r="103" spans="1:14" ht="28.8">
      <c r="A103" s="110" t="s">
        <v>314</v>
      </c>
      <c r="B103" s="34">
        <v>1</v>
      </c>
      <c r="C103" s="5">
        <f>IF($B$103*C101-Financing!C59&gt;0,$B$103*C101-Financing!C59,0)</f>
        <v>8820000</v>
      </c>
      <c r="D103" s="5">
        <f>IF($B$103*D101-Financing!D59&gt;0,$B$103*D101-Financing!D59,0)</f>
        <v>13548000.000000004</v>
      </c>
      <c r="E103" s="5">
        <f>IF($B$103*E101-Financing!E59&gt;0,$B$103*E101-Financing!E59,0)</f>
        <v>10548000.000000004</v>
      </c>
      <c r="F103" s="5">
        <f>IF($B$103*F101-Financing!F59&gt;0,$B$103*F101-Financing!F59,0)</f>
        <v>8184000</v>
      </c>
      <c r="G103" s="5">
        <f>IF($B$103*G101-Financing!G59&gt;0,$B$103*G101-Financing!G59,0)</f>
        <v>5820000</v>
      </c>
      <c r="H103" s="5">
        <f>IF($B$103*H101-Financing!H59&gt;0,$B$103*H101-Financing!H59,0)</f>
        <v>5820000</v>
      </c>
      <c r="I103" s="5">
        <f>IF($B$103*I101-Financing!I59&gt;0,$B$103*I101-Financing!I59,0)</f>
        <v>1418400</v>
      </c>
      <c r="J103" s="5">
        <f>IF($B$103*J101-Financing!J59&gt;0,$B$103*J101-Financing!J59,0)</f>
        <v>2364000</v>
      </c>
      <c r="K103" s="5">
        <f>IF($B$103*K101-Financing!K59&gt;0,$B$103*K101-Financing!K59,0)</f>
        <v>3309600.0000000009</v>
      </c>
      <c r="L103" s="5">
        <f>IF($B$103*L101-Financing!L59&gt;0,$B$103*L101-Financing!L59,0)</f>
        <v>3309600.0000000009</v>
      </c>
      <c r="M103" s="5">
        <f>IF($B$103*M101-Financing!M59&gt;0,$B$103*M101-Financing!M59,0)</f>
        <v>2364000</v>
      </c>
      <c r="N103" s="5">
        <f>IF($B$103*N101-Financing!N59&gt;0,$B$103*N101-Financing!N59,0)</f>
        <v>1418400</v>
      </c>
    </row>
    <row r="104" spans="1:14" ht="28.8">
      <c r="A104" s="110" t="s">
        <v>315</v>
      </c>
      <c r="B104" s="34">
        <v>0.5</v>
      </c>
      <c r="C104" s="5">
        <f>$B$104*C103</f>
        <v>4410000</v>
      </c>
      <c r="D104" s="5">
        <f t="shared" ref="D104:N104" si="38">$B$104*D103</f>
        <v>6774000.0000000019</v>
      </c>
      <c r="E104" s="5">
        <f t="shared" si="38"/>
        <v>5274000.0000000019</v>
      </c>
      <c r="F104" s="5">
        <f t="shared" si="38"/>
        <v>4092000</v>
      </c>
      <c r="G104" s="5">
        <f t="shared" si="38"/>
        <v>2910000</v>
      </c>
      <c r="H104" s="5">
        <f t="shared" si="38"/>
        <v>2910000</v>
      </c>
      <c r="I104" s="5">
        <f t="shared" si="38"/>
        <v>709200</v>
      </c>
      <c r="J104" s="5">
        <f t="shared" si="38"/>
        <v>1182000</v>
      </c>
      <c r="K104" s="5">
        <f t="shared" si="38"/>
        <v>1654800.0000000005</v>
      </c>
      <c r="L104" s="5">
        <f t="shared" si="38"/>
        <v>1654800.0000000005</v>
      </c>
      <c r="M104" s="5">
        <f t="shared" si="38"/>
        <v>1182000</v>
      </c>
      <c r="N104" s="5">
        <f t="shared" si="38"/>
        <v>709200</v>
      </c>
    </row>
    <row r="105" spans="1:14" ht="43.2">
      <c r="A105" s="110" t="s">
        <v>316</v>
      </c>
      <c r="C105" s="5">
        <f>(1-Assumptions!$B$90)*Financing!C58+(1-Assumptions!$B$91)*Financing!C59</f>
        <v>650000.00000000012</v>
      </c>
      <c r="D105" s="5">
        <f>(1-Assumptions!$B$90)*Financing!D58+(1-Assumptions!$B$91)*Financing!D59</f>
        <v>650000.00000000012</v>
      </c>
      <c r="E105" s="5">
        <f>(1-Assumptions!$B$90)*Financing!E58+(1-Assumptions!$B$91)*Financing!E59</f>
        <v>1300000.0000000002</v>
      </c>
      <c r="F105" s="5">
        <f>(1-Assumptions!$B$90)*Financing!F58+(1-Assumptions!$B$91)*Financing!F59</f>
        <v>1300000.0000000002</v>
      </c>
      <c r="G105" s="5">
        <f>(1-Assumptions!$B$90)*Financing!G58+(1-Assumptions!$B$91)*Financing!G59</f>
        <v>1300000.0000000002</v>
      </c>
      <c r="H105" s="5">
        <f>(1-Assumptions!$B$90)*Financing!H58+(1-Assumptions!$B$91)*Financing!H59</f>
        <v>1300000.0000000002</v>
      </c>
      <c r="I105" s="5">
        <f>(1-Assumptions!$B$90)*Financing!I58+(1-Assumptions!$B$91)*Financing!I59</f>
        <v>460980.00000000012</v>
      </c>
      <c r="J105" s="5">
        <f>(1-Assumptions!$B$90)*Financing!J58+(1-Assumptions!$B$91)*Financing!J59</f>
        <v>768300.00000000012</v>
      </c>
      <c r="K105" s="5">
        <f>(1-Assumptions!$B$90)*Financing!K58+(1-Assumptions!$B$91)*Financing!K59</f>
        <v>1075620.0000000005</v>
      </c>
      <c r="L105" s="5">
        <f>(1-Assumptions!$B$90)*Financing!L58+(1-Assumptions!$B$91)*Financing!L59</f>
        <v>1075620.0000000005</v>
      </c>
      <c r="M105" s="5">
        <f>(1-Assumptions!$B$90)*Financing!M58+(1-Assumptions!$B$91)*Financing!M59</f>
        <v>768300.00000000012</v>
      </c>
      <c r="N105" s="5">
        <f>(1-Assumptions!$B$90)*Financing!N58+(1-Assumptions!$B$91)*Financing!N59</f>
        <v>460980.00000000012</v>
      </c>
    </row>
    <row r="106" spans="1:14" ht="28.8">
      <c r="A106" s="110" t="s">
        <v>317</v>
      </c>
      <c r="C106" s="5">
        <f>Logistics!C16+Logistics!C17</f>
        <v>720000</v>
      </c>
      <c r="D106" s="5">
        <f>Logistics!D16+Logistics!D17</f>
        <v>1008000.0000000002</v>
      </c>
      <c r="E106" s="5">
        <f>Logistics!E16+Logistics!E17</f>
        <v>1008000.0000000002</v>
      </c>
      <c r="F106" s="5">
        <f>Logistics!F16+Logistics!F17</f>
        <v>864000</v>
      </c>
      <c r="G106" s="5">
        <f>Logistics!G16+Logistics!G17</f>
        <v>720000</v>
      </c>
      <c r="H106" s="5">
        <f>Logistics!H16+Logistics!H17</f>
        <v>720000</v>
      </c>
      <c r="I106" s="5">
        <f>Logistics!I16+Logistics!I17</f>
        <v>216000</v>
      </c>
      <c r="J106" s="5">
        <f>Logistics!J16+Logistics!J17</f>
        <v>360000</v>
      </c>
      <c r="K106" s="5">
        <f>Logistics!K16+Logistics!K17</f>
        <v>504000.00000000012</v>
      </c>
      <c r="L106" s="5">
        <f>Logistics!L16+Logistics!L17</f>
        <v>504000.00000000012</v>
      </c>
      <c r="M106" s="5">
        <f>Logistics!M16+Logistics!M17</f>
        <v>360000</v>
      </c>
      <c r="N106" s="5">
        <f>Logistics!N16+Logistics!N17</f>
        <v>216000</v>
      </c>
    </row>
    <row r="107" spans="1:14">
      <c r="A107" s="110" t="s">
        <v>318</v>
      </c>
      <c r="C107" s="5">
        <v>0</v>
      </c>
      <c r="D107" s="5">
        <f>C107</f>
        <v>0</v>
      </c>
      <c r="E107" s="5">
        <f t="shared" ref="E107:N107" si="39">D107</f>
        <v>0</v>
      </c>
      <c r="F107" s="5">
        <f t="shared" si="39"/>
        <v>0</v>
      </c>
      <c r="G107" s="5">
        <f t="shared" si="39"/>
        <v>0</v>
      </c>
      <c r="H107" s="5">
        <f t="shared" si="39"/>
        <v>0</v>
      </c>
      <c r="I107" s="5">
        <f t="shared" si="39"/>
        <v>0</v>
      </c>
      <c r="J107" s="5">
        <f t="shared" si="39"/>
        <v>0</v>
      </c>
      <c r="K107" s="5">
        <f t="shared" si="39"/>
        <v>0</v>
      </c>
      <c r="L107" s="5">
        <f t="shared" si="39"/>
        <v>0</v>
      </c>
      <c r="M107" s="5">
        <f t="shared" si="39"/>
        <v>0</v>
      </c>
      <c r="N107" s="5">
        <f t="shared" si="39"/>
        <v>0</v>
      </c>
    </row>
    <row r="108" spans="1:14" ht="28.8">
      <c r="A108" s="110" t="s">
        <v>319</v>
      </c>
      <c r="B108" s="34">
        <v>0.5</v>
      </c>
      <c r="C108" s="5">
        <f>$B$108*Purchases!C23</f>
        <v>1050000</v>
      </c>
      <c r="D108" s="5">
        <f>$B$108*Purchases!D23</f>
        <v>1470000.0000000002</v>
      </c>
      <c r="E108" s="5">
        <f>$B$108*Purchases!E23</f>
        <v>1470000.0000000002</v>
      </c>
      <c r="F108" s="5">
        <f>$B$108*Purchases!F23</f>
        <v>1260000</v>
      </c>
      <c r="G108" s="5">
        <f>$B$108*Purchases!G23</f>
        <v>1050000</v>
      </c>
      <c r="H108" s="5">
        <f>$B$108*Purchases!H23</f>
        <v>1050000</v>
      </c>
      <c r="I108" s="5">
        <f>$B$108*Purchases!I23</f>
        <v>315000</v>
      </c>
      <c r="J108" s="5">
        <f>$B$108*Purchases!J23</f>
        <v>525000</v>
      </c>
      <c r="K108" s="5">
        <f>$B$108*Purchases!K23</f>
        <v>735000.00000000012</v>
      </c>
      <c r="L108" s="5">
        <f>$B$108*Purchases!L23</f>
        <v>735000.00000000012</v>
      </c>
      <c r="M108" s="5">
        <f>$B$108*Purchases!M23</f>
        <v>525000</v>
      </c>
      <c r="N108" s="5">
        <f>$B$108*Purchases!N23</f>
        <v>315000</v>
      </c>
    </row>
    <row r="109" spans="1:14">
      <c r="A109" s="110" t="s">
        <v>313</v>
      </c>
      <c r="C109" s="5">
        <f>'P&amp;L SwCo Good'!C35</f>
        <v>179911.33333333334</v>
      </c>
      <c r="D109" s="5">
        <f>'P&amp;L SwCo Good'!D35</f>
        <v>237578.00000000006</v>
      </c>
      <c r="E109" s="5">
        <f>'P&amp;L SwCo Good'!E35</f>
        <v>237578.00000000006</v>
      </c>
      <c r="F109" s="5">
        <f>'P&amp;L SwCo Good'!F35</f>
        <v>231244.66666666669</v>
      </c>
      <c r="G109" s="5">
        <f>'P&amp;L SwCo Good'!G35</f>
        <v>209911.33333333331</v>
      </c>
      <c r="H109" s="5">
        <f>'P&amp;L SwCo Good'!H35</f>
        <v>209911.33333333331</v>
      </c>
      <c r="I109" s="5">
        <f>'P&amp;L SwCo Good'!I35</f>
        <v>135244.66666666669</v>
      </c>
      <c r="J109" s="5">
        <f>'P&amp;L SwCo Good'!J35</f>
        <v>137216</v>
      </c>
      <c r="K109" s="5">
        <f>'P&amp;L SwCo Good'!K35</f>
        <v>165641.33333333337</v>
      </c>
      <c r="L109" s="5">
        <f>'P&amp;L SwCo Good'!L35</f>
        <v>172733.33333333337</v>
      </c>
      <c r="M109" s="5">
        <f>'P&amp;L SwCo Good'!M35</f>
        <v>151400</v>
      </c>
      <c r="N109" s="5">
        <f>'P&amp;L SwCo Good'!N35</f>
        <v>122974.66666666667</v>
      </c>
    </row>
    <row r="111" spans="1:14" ht="18">
      <c r="A111" s="117" t="s">
        <v>321</v>
      </c>
    </row>
    <row r="112" spans="1:14">
      <c r="A112" s="116" t="s">
        <v>322</v>
      </c>
    </row>
    <row r="113" spans="1:14">
      <c r="A113" s="110" t="s">
        <v>323</v>
      </c>
      <c r="C113" s="5">
        <f>C104+C94</f>
        <v>5305360</v>
      </c>
      <c r="D113" s="5">
        <f t="shared" ref="D113:N113" si="40">D104+D94</f>
        <v>8922864.0000000019</v>
      </c>
      <c r="E113" s="5">
        <f t="shared" si="40"/>
        <v>8676368.0000000019</v>
      </c>
      <c r="F113" s="5">
        <f t="shared" si="40"/>
        <v>8568800</v>
      </c>
      <c r="G113" s="5">
        <f t="shared" si="40"/>
        <v>8282160</v>
      </c>
      <c r="H113" s="5">
        <f t="shared" si="40"/>
        <v>9177520</v>
      </c>
      <c r="I113" s="5">
        <f t="shared" si="40"/>
        <v>7245328</v>
      </c>
      <c r="J113" s="5">
        <f t="shared" si="40"/>
        <v>8165808</v>
      </c>
      <c r="K113" s="5">
        <f t="shared" si="40"/>
        <v>7564176</v>
      </c>
      <c r="L113" s="5">
        <f t="shared" si="40"/>
        <v>7062774.4000000004</v>
      </c>
      <c r="M113" s="5">
        <f t="shared" si="40"/>
        <v>5909500.7999999989</v>
      </c>
      <c r="N113" s="5">
        <f t="shared" si="40"/>
        <v>4738319.9999999991</v>
      </c>
    </row>
    <row r="114" spans="1:14">
      <c r="A114" s="110" t="s">
        <v>324</v>
      </c>
      <c r="C114" s="5">
        <f>C86+C95+C106</f>
        <v>5482080.0000000009</v>
      </c>
      <c r="D114" s="5">
        <f t="shared" ref="D114:N114" si="41">D86+D95+D106</f>
        <v>6058080.0000000009</v>
      </c>
      <c r="E114" s="5">
        <f t="shared" si="41"/>
        <v>5480640</v>
      </c>
      <c r="F114" s="5">
        <f t="shared" si="41"/>
        <v>4615200</v>
      </c>
      <c r="G114" s="5">
        <f t="shared" si="41"/>
        <v>4327200</v>
      </c>
      <c r="H114" s="5">
        <f t="shared" si="41"/>
        <v>2306160</v>
      </c>
      <c r="I114" s="5">
        <f t="shared" si="41"/>
        <v>1875600</v>
      </c>
      <c r="J114" s="5">
        <f t="shared" si="41"/>
        <v>2741040.0000000005</v>
      </c>
      <c r="K114" s="5">
        <f t="shared" si="41"/>
        <v>3029040.0000000005</v>
      </c>
      <c r="L114" s="5">
        <f t="shared" si="41"/>
        <v>2451600</v>
      </c>
      <c r="M114" s="5">
        <f t="shared" si="41"/>
        <v>1586160</v>
      </c>
      <c r="N114" s="5">
        <f t="shared" si="41"/>
        <v>432000</v>
      </c>
    </row>
    <row r="115" spans="1:14">
      <c r="A115" s="110" t="s">
        <v>318</v>
      </c>
      <c r="C115" s="5">
        <f t="shared" ref="C115:N115" si="42">C107+C96+C87</f>
        <v>8448320</v>
      </c>
      <c r="D115" s="5">
        <f t="shared" si="42"/>
        <v>11827648.000000004</v>
      </c>
      <c r="E115" s="5">
        <f t="shared" si="42"/>
        <v>11827648.000000004</v>
      </c>
      <c r="F115" s="5">
        <f t="shared" si="42"/>
        <v>10137984</v>
      </c>
      <c r="G115" s="5">
        <f t="shared" si="42"/>
        <v>8619520</v>
      </c>
      <c r="H115" s="5">
        <f t="shared" si="42"/>
        <v>8619520</v>
      </c>
      <c r="I115" s="5">
        <f t="shared" si="42"/>
        <v>2804256</v>
      </c>
      <c r="J115" s="5">
        <f t="shared" si="42"/>
        <v>4673760</v>
      </c>
      <c r="K115" s="5">
        <f t="shared" si="42"/>
        <v>6543264.0000000019</v>
      </c>
      <c r="L115" s="5">
        <f t="shared" si="42"/>
        <v>6543264.0000000019</v>
      </c>
      <c r="M115" s="5">
        <f t="shared" si="42"/>
        <v>4673760</v>
      </c>
      <c r="N115" s="5">
        <f t="shared" si="42"/>
        <v>2804256</v>
      </c>
    </row>
    <row r="116" spans="1:14">
      <c r="A116" s="110" t="s">
        <v>325</v>
      </c>
      <c r="C116" s="5">
        <f>C109+C88+C97</f>
        <v>4445671.333333334</v>
      </c>
      <c r="D116" s="5">
        <f t="shared" ref="D116:N116" si="43">D109+D88+D97</f>
        <v>4592810.0000000009</v>
      </c>
      <c r="E116" s="5">
        <f t="shared" si="43"/>
        <v>4015370</v>
      </c>
      <c r="F116" s="5">
        <f t="shared" si="43"/>
        <v>3386860.6666666665</v>
      </c>
      <c r="G116" s="5">
        <f t="shared" si="43"/>
        <v>3320791.3333333335</v>
      </c>
      <c r="H116" s="5">
        <f t="shared" si="43"/>
        <v>1299751.3333333333</v>
      </c>
      <c r="I116" s="5">
        <f t="shared" si="43"/>
        <v>1645948.6666666667</v>
      </c>
      <c r="J116" s="5">
        <f t="shared" si="43"/>
        <v>2270096.0000000005</v>
      </c>
      <c r="K116" s="5">
        <f t="shared" si="43"/>
        <v>2343257.333333334</v>
      </c>
      <c r="L116" s="5">
        <f t="shared" si="43"/>
        <v>1772909.3333333335</v>
      </c>
      <c r="M116" s="5">
        <f t="shared" si="43"/>
        <v>1129400</v>
      </c>
      <c r="N116" s="5">
        <f t="shared" si="43"/>
        <v>190078.66666666669</v>
      </c>
    </row>
    <row r="117" spans="1:14" ht="15.6">
      <c r="A117" s="121" t="s">
        <v>326</v>
      </c>
      <c r="C117" s="120">
        <f>C113+C114+C115-C116</f>
        <v>14790088.666666666</v>
      </c>
      <c r="D117" s="120">
        <f t="shared" ref="D117" si="44">D113+D114+D115-D116</f>
        <v>22215782.000000007</v>
      </c>
      <c r="E117" s="120">
        <f t="shared" ref="E117" si="45">E113+E114+E115-E116</f>
        <v>21969286.000000007</v>
      </c>
      <c r="F117" s="120">
        <f t="shared" ref="F117" si="46">F113+F114+F115-F116</f>
        <v>19935123.333333332</v>
      </c>
      <c r="G117" s="120">
        <f t="shared" ref="G117" si="47">G113+G114+G115-G116</f>
        <v>17908088.666666668</v>
      </c>
      <c r="H117" s="120">
        <f t="shared" ref="H117" si="48">H113+H114+H115-H116</f>
        <v>18803448.666666668</v>
      </c>
      <c r="I117" s="120">
        <f t="shared" ref="I117" si="49">I113+I114+I115-I116</f>
        <v>10279235.333333334</v>
      </c>
      <c r="J117" s="120">
        <f t="shared" ref="J117" si="50">J113+J114+J115-J116</f>
        <v>13310512</v>
      </c>
      <c r="K117" s="120">
        <f t="shared" ref="K117" si="51">K113+K114+K115-K116</f>
        <v>14793222.666666666</v>
      </c>
      <c r="L117" s="120">
        <f t="shared" ref="L117" si="52">L113+L114+L115-L116</f>
        <v>14284729.066666668</v>
      </c>
      <c r="M117" s="120">
        <f t="shared" ref="M117" si="53">M113+M114+M115-M116</f>
        <v>11040020.799999999</v>
      </c>
      <c r="N117" s="120">
        <f t="shared" ref="N117" si="54">N113+N114+N115-N116</f>
        <v>7784497.3333333321</v>
      </c>
    </row>
    <row r="118" spans="1:14">
      <c r="A118" s="107" t="s">
        <v>327</v>
      </c>
      <c r="C118" s="5">
        <f>C117-B117</f>
        <v>14790088.666666666</v>
      </c>
      <c r="D118" s="5">
        <f>D117-C117</f>
        <v>7425693.3333333414</v>
      </c>
      <c r="E118" s="5">
        <f t="shared" ref="E118" si="55">E117-D117</f>
        <v>-246496</v>
      </c>
      <c r="F118" s="5">
        <f t="shared" ref="F118" si="56">F117-E117</f>
        <v>-2034162.6666666754</v>
      </c>
      <c r="G118" s="5">
        <f t="shared" ref="G118" si="57">G117-F117</f>
        <v>-2027034.6666666642</v>
      </c>
      <c r="H118" s="5">
        <f t="shared" ref="H118" si="58">H117-G117</f>
        <v>895360</v>
      </c>
      <c r="I118" s="5">
        <f t="shared" ref="I118" si="59">I117-H117</f>
        <v>-8524213.333333334</v>
      </c>
      <c r="J118" s="5">
        <f t="shared" ref="J118" si="60">J117-I117</f>
        <v>3031276.666666666</v>
      </c>
      <c r="K118" s="5">
        <f t="shared" ref="K118" si="61">K117-J117</f>
        <v>1482710.666666666</v>
      </c>
      <c r="L118" s="5">
        <f t="shared" ref="L118" si="62">L117-K117</f>
        <v>-508493.59999999776</v>
      </c>
      <c r="M118" s="5">
        <f t="shared" ref="M118" si="63">M117-L117</f>
        <v>-3244708.2666666694</v>
      </c>
      <c r="N118" s="5">
        <f t="shared" ref="N118" si="64">N117-M117</f>
        <v>-3255523.4666666668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8"/>
  <cols>
    <col min="1" max="1" width="77.33203125" style="45" customWidth="1"/>
    <col min="2" max="15" width="18.77734375" style="4" customWidth="1"/>
    <col min="16" max="16384" width="8.88671875" style="4"/>
  </cols>
  <sheetData>
    <row r="1" spans="1:14" ht="14.4">
      <c r="A1" s="42" t="s">
        <v>425</v>
      </c>
    </row>
    <row r="2" spans="1:14" ht="21">
      <c r="A2" s="43" t="s">
        <v>330</v>
      </c>
    </row>
    <row r="3" spans="1:14" ht="21">
      <c r="A3" s="43" t="s">
        <v>331</v>
      </c>
      <c r="B3" s="19" t="s">
        <v>328</v>
      </c>
    </row>
    <row r="4" spans="1:14" ht="21">
      <c r="A4" s="43" t="s">
        <v>329</v>
      </c>
      <c r="B4" s="1" t="s">
        <v>75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135</v>
      </c>
      <c r="J4" s="1" t="s">
        <v>136</v>
      </c>
      <c r="K4" s="1" t="s">
        <v>137</v>
      </c>
      <c r="L4" s="1" t="s">
        <v>138</v>
      </c>
      <c r="M4" s="1" t="s">
        <v>139</v>
      </c>
      <c r="N4" s="1" t="s">
        <v>140</v>
      </c>
    </row>
    <row r="6" spans="1:14" s="16" customFormat="1">
      <c r="A6" s="26" t="s">
        <v>302</v>
      </c>
      <c r="B6" s="44">
        <f>Sales!B13</f>
        <v>113800000</v>
      </c>
      <c r="C6" s="54">
        <f>Sales!C13</f>
        <v>11380000</v>
      </c>
      <c r="D6" s="54">
        <f>Sales!D13</f>
        <v>15932000.000000002</v>
      </c>
      <c r="E6" s="54">
        <f>Sales!E13</f>
        <v>15932000.000000002</v>
      </c>
      <c r="F6" s="54">
        <f>Sales!F13</f>
        <v>13656000</v>
      </c>
      <c r="G6" s="54">
        <f>Sales!G13</f>
        <v>11380000</v>
      </c>
      <c r="H6" s="54">
        <f>Sales!H13</f>
        <v>11380000</v>
      </c>
      <c r="I6" s="54">
        <f>Sales!I13</f>
        <v>3414000</v>
      </c>
      <c r="J6" s="54">
        <f>Sales!J13</f>
        <v>5690000</v>
      </c>
      <c r="K6" s="54">
        <f>Sales!K13</f>
        <v>7966000.0000000009</v>
      </c>
      <c r="L6" s="54">
        <f>Sales!L13</f>
        <v>7966000.0000000009</v>
      </c>
      <c r="M6" s="54">
        <f>Sales!M13</f>
        <v>5690000</v>
      </c>
      <c r="N6" s="54">
        <f>Sales!N13</f>
        <v>3414000</v>
      </c>
    </row>
    <row r="7" spans="1:14" s="16" customFormat="1">
      <c r="A7" s="26" t="s">
        <v>332</v>
      </c>
      <c r="B7" s="44">
        <f t="shared" ref="B7:N7" si="0">SUM(B8:B15)</f>
        <v>-113323692.66666667</v>
      </c>
      <c r="C7" s="54">
        <f t="shared" si="0"/>
        <v>-11297628</v>
      </c>
      <c r="D7" s="54">
        <f t="shared" si="0"/>
        <v>-15814494.66666667</v>
      </c>
      <c r="E7" s="54">
        <f t="shared" si="0"/>
        <v>-15818494.66666667</v>
      </c>
      <c r="F7" s="54">
        <f t="shared" si="0"/>
        <v>-13582561.333333334</v>
      </c>
      <c r="G7" s="54">
        <f t="shared" si="0"/>
        <v>-11331628</v>
      </c>
      <c r="H7" s="54">
        <f t="shared" si="0"/>
        <v>-11331628</v>
      </c>
      <c r="I7" s="54">
        <f t="shared" si="0"/>
        <v>-3448092.5333333337</v>
      </c>
      <c r="J7" s="54">
        <f t="shared" si="0"/>
        <v>-5681088.666666666</v>
      </c>
      <c r="K7" s="54">
        <f t="shared" si="0"/>
        <v>-7940670.8000000007</v>
      </c>
      <c r="L7" s="54">
        <f t="shared" si="0"/>
        <v>-7947498.8000000007</v>
      </c>
      <c r="M7" s="54">
        <f t="shared" si="0"/>
        <v>-5694744.666666666</v>
      </c>
      <c r="N7" s="54">
        <f t="shared" si="0"/>
        <v>-3435162.5333333337</v>
      </c>
    </row>
    <row r="8" spans="1:14" s="32" customFormat="1">
      <c r="A8" s="45" t="s">
        <v>333</v>
      </c>
      <c r="B8" s="46">
        <f>-Sales!B8-Purchases!B23</f>
        <v>-105000000</v>
      </c>
      <c r="C8" s="55">
        <f>-Sales!C8-Purchases!C23</f>
        <v>-10500000</v>
      </c>
      <c r="D8" s="55">
        <f>-Sales!D8-Purchases!D23</f>
        <v>-14700000.000000002</v>
      </c>
      <c r="E8" s="55">
        <f>-Sales!E8-Purchases!E23</f>
        <v>-14700000.000000002</v>
      </c>
      <c r="F8" s="55">
        <f>-Sales!F8-Purchases!F23</f>
        <v>-12600000</v>
      </c>
      <c r="G8" s="55">
        <f>-Sales!G8-Purchases!G23</f>
        <v>-10500000</v>
      </c>
      <c r="H8" s="55">
        <f>-Sales!H8-Purchases!H23</f>
        <v>-10500000</v>
      </c>
      <c r="I8" s="55">
        <f>-Sales!I8-Purchases!I23</f>
        <v>-3150000</v>
      </c>
      <c r="J8" s="55">
        <f>-Sales!J8-Purchases!J23</f>
        <v>-5250000</v>
      </c>
      <c r="K8" s="55">
        <f>-Sales!K8-Purchases!K23</f>
        <v>-7350000.0000000009</v>
      </c>
      <c r="L8" s="55">
        <f>-Sales!L8-Purchases!L23</f>
        <v>-7350000.0000000009</v>
      </c>
      <c r="M8" s="55">
        <f>-Sales!M8-Purchases!M23</f>
        <v>-5250000</v>
      </c>
      <c r="N8" s="55">
        <f>-Sales!N8-Purchases!N23</f>
        <v>-3150000</v>
      </c>
    </row>
    <row r="9" spans="1:14">
      <c r="A9" s="45" t="s">
        <v>334</v>
      </c>
      <c r="B9" s="46">
        <f>-(Logistics!B16+Logistics!B17)</f>
        <v>-7200000</v>
      </c>
      <c r="C9" s="55">
        <f>-(Logistics!C16+Logistics!C17)</f>
        <v>-720000</v>
      </c>
      <c r="D9" s="55">
        <f>-(Logistics!D16+Logistics!D17)</f>
        <v>-1008000.0000000002</v>
      </c>
      <c r="E9" s="55">
        <f>-(Logistics!E16+Logistics!E17)</f>
        <v>-1008000.0000000002</v>
      </c>
      <c r="F9" s="55">
        <f>-(Logistics!F16+Logistics!F17)</f>
        <v>-864000</v>
      </c>
      <c r="G9" s="55">
        <f>-(Logistics!G16+Logistics!G17)</f>
        <v>-720000</v>
      </c>
      <c r="H9" s="55">
        <f>-(Logistics!H16+Logistics!H17)</f>
        <v>-720000</v>
      </c>
      <c r="I9" s="55">
        <f>-(Logistics!I16+Logistics!I17)</f>
        <v>-216000</v>
      </c>
      <c r="J9" s="55">
        <f>-(Logistics!J16+Logistics!J17)</f>
        <v>-360000</v>
      </c>
      <c r="K9" s="55">
        <f>-(Logistics!K16+Logistics!K17)</f>
        <v>-504000.00000000012</v>
      </c>
      <c r="L9" s="55">
        <f>-(Logistics!L16+Logistics!L17)</f>
        <v>-504000.00000000012</v>
      </c>
      <c r="M9" s="55">
        <f>-(Logistics!M16+Logistics!M17)</f>
        <v>-360000</v>
      </c>
      <c r="N9" s="55">
        <f>-(Logistics!N16+Logistics!N17)</f>
        <v>-216000</v>
      </c>
    </row>
    <row r="10" spans="1:14">
      <c r="A10" s="45" t="s">
        <v>335</v>
      </c>
      <c r="B10" s="46">
        <f>-Logistics!B18</f>
        <v>-240000</v>
      </c>
      <c r="C10" s="55">
        <f>-Logistics!C18</f>
        <v>-24000</v>
      </c>
      <c r="D10" s="55">
        <f>-Logistics!D18</f>
        <v>-33600.000000000007</v>
      </c>
      <c r="E10" s="55">
        <f>-Logistics!E18</f>
        <v>-33600.000000000007</v>
      </c>
      <c r="F10" s="55">
        <f>-Logistics!F18</f>
        <v>-28800</v>
      </c>
      <c r="G10" s="55">
        <f>-Logistics!G18</f>
        <v>-24000</v>
      </c>
      <c r="H10" s="55">
        <f>-Logistics!H18</f>
        <v>-24000</v>
      </c>
      <c r="I10" s="55">
        <f>-Logistics!I18</f>
        <v>-7200</v>
      </c>
      <c r="J10" s="55">
        <f>-Logistics!J18</f>
        <v>-12000</v>
      </c>
      <c r="K10" s="55">
        <f>-Logistics!K18</f>
        <v>-16800.000000000004</v>
      </c>
      <c r="L10" s="55">
        <f>-Logistics!L18</f>
        <v>-16800.000000000004</v>
      </c>
      <c r="M10" s="55">
        <f>-Logistics!M18</f>
        <v>-12000</v>
      </c>
      <c r="N10" s="55">
        <f>-Logistics!N18</f>
        <v>-7200</v>
      </c>
    </row>
    <row r="11" spans="1:14">
      <c r="A11" s="45" t="s">
        <v>336</v>
      </c>
      <c r="B11" s="46">
        <f>SUM(C11:N11)</f>
        <v>-384000</v>
      </c>
      <c r="C11" s="55">
        <f>-Administrative!B7</f>
        <v>-32000</v>
      </c>
      <c r="D11" s="55">
        <f>C11</f>
        <v>-32000</v>
      </c>
      <c r="E11" s="55">
        <f t="shared" ref="E11:N11" si="1">D11</f>
        <v>-32000</v>
      </c>
      <c r="F11" s="55">
        <f t="shared" si="1"/>
        <v>-32000</v>
      </c>
      <c r="G11" s="55">
        <f t="shared" si="1"/>
        <v>-32000</v>
      </c>
      <c r="H11" s="55">
        <f t="shared" si="1"/>
        <v>-32000</v>
      </c>
      <c r="I11" s="55">
        <f t="shared" si="1"/>
        <v>-32000</v>
      </c>
      <c r="J11" s="55">
        <f t="shared" si="1"/>
        <v>-32000</v>
      </c>
      <c r="K11" s="55">
        <f t="shared" si="1"/>
        <v>-32000</v>
      </c>
      <c r="L11" s="55">
        <f t="shared" si="1"/>
        <v>-32000</v>
      </c>
      <c r="M11" s="55">
        <f t="shared" si="1"/>
        <v>-32000</v>
      </c>
      <c r="N11" s="55">
        <f t="shared" si="1"/>
        <v>-32000</v>
      </c>
    </row>
    <row r="12" spans="1:14">
      <c r="A12" s="45" t="s">
        <v>337</v>
      </c>
      <c r="B12" s="46">
        <f>SUM(C12:N12)</f>
        <v>-73536</v>
      </c>
      <c r="C12" s="55">
        <f>-Administrative!C7</f>
        <v>-6128</v>
      </c>
      <c r="D12" s="55">
        <f>C12</f>
        <v>-6128</v>
      </c>
      <c r="E12" s="55">
        <f t="shared" ref="E12:N12" si="2">D12</f>
        <v>-6128</v>
      </c>
      <c r="F12" s="55">
        <f t="shared" si="2"/>
        <v>-6128</v>
      </c>
      <c r="G12" s="55">
        <f t="shared" si="2"/>
        <v>-6128</v>
      </c>
      <c r="H12" s="55">
        <f t="shared" si="2"/>
        <v>-6128</v>
      </c>
      <c r="I12" s="55">
        <f t="shared" si="2"/>
        <v>-6128</v>
      </c>
      <c r="J12" s="55">
        <f t="shared" si="2"/>
        <v>-6128</v>
      </c>
      <c r="K12" s="55">
        <f t="shared" si="2"/>
        <v>-6128</v>
      </c>
      <c r="L12" s="55">
        <f t="shared" si="2"/>
        <v>-6128</v>
      </c>
      <c r="M12" s="55">
        <f t="shared" si="2"/>
        <v>-6128</v>
      </c>
      <c r="N12" s="55">
        <f t="shared" si="2"/>
        <v>-6128</v>
      </c>
    </row>
    <row r="13" spans="1:14">
      <c r="A13" s="45" t="s">
        <v>338</v>
      </c>
      <c r="B13" s="46">
        <f>-Financing!B36</f>
        <v>-67312</v>
      </c>
      <c r="C13" s="55">
        <f>-Financing!C36</f>
        <v>-4000</v>
      </c>
      <c r="D13" s="55">
        <f>-Financing!D36</f>
        <v>-4000</v>
      </c>
      <c r="E13" s="55">
        <f>-Financing!E36</f>
        <v>-8000</v>
      </c>
      <c r="F13" s="55">
        <f>-Financing!F36</f>
        <v>-8000</v>
      </c>
      <c r="G13" s="55">
        <f>-Financing!G36</f>
        <v>-8000</v>
      </c>
      <c r="H13" s="55">
        <f>-Financing!H36</f>
        <v>-8000</v>
      </c>
      <c r="I13" s="55">
        <f>-Financing!I36</f>
        <v>-2731.2000000000003</v>
      </c>
      <c r="J13" s="55">
        <f>-Financing!J36</f>
        <v>-4552</v>
      </c>
      <c r="K13" s="55">
        <f>-Financing!K36</f>
        <v>-6372.8000000000011</v>
      </c>
      <c r="L13" s="55">
        <f>-Financing!L36</f>
        <v>-6372.8000000000011</v>
      </c>
      <c r="M13" s="55">
        <f>-Financing!M36</f>
        <v>-4552</v>
      </c>
      <c r="N13" s="55">
        <f>-Financing!N36</f>
        <v>-2731.2000000000003</v>
      </c>
    </row>
    <row r="14" spans="1:14">
      <c r="A14" s="45" t="s">
        <v>339</v>
      </c>
      <c r="B14" s="46">
        <f>-(Financing!B33+Financing!B37+Financing!B38)</f>
        <v>-348844.66666666663</v>
      </c>
      <c r="C14" s="55">
        <f>-(Financing!C33+Financing!C37+Financing!C38)</f>
        <v>-10666.666666666668</v>
      </c>
      <c r="D14" s="55">
        <f>-(Financing!D33+Financing!D37+Financing!D38)</f>
        <v>-29933.333333333336</v>
      </c>
      <c r="E14" s="55">
        <f>-(Financing!E33+Financing!E37+Financing!E38)</f>
        <v>-29933.333333333336</v>
      </c>
      <c r="F14" s="55">
        <f>-(Financing!F33+Financing!F37+Financing!F38)</f>
        <v>-42800</v>
      </c>
      <c r="G14" s="55">
        <f>-(Financing!G33+Financing!G37+Financing!G38)</f>
        <v>-40666.666666666664</v>
      </c>
      <c r="H14" s="55">
        <f>-(Financing!H33+Financing!H37+Financing!H38)</f>
        <v>-40666.666666666664</v>
      </c>
      <c r="I14" s="55">
        <f>-(Financing!I33+Financing!I37+Financing!I38)</f>
        <v>-33200</v>
      </c>
      <c r="J14" s="55">
        <f>-(Financing!J33+Financing!J37+Financing!J38)</f>
        <v>-15575.333333333334</v>
      </c>
      <c r="K14" s="55">
        <f>-(Financing!K33+Financing!K37+Financing!K38)</f>
        <v>-24536.666666666668</v>
      </c>
      <c r="L14" s="55">
        <f>-(Financing!L33+Financing!L37+Financing!L38)</f>
        <v>-31364.666666666672</v>
      </c>
      <c r="M14" s="55">
        <f>-(Financing!M33+Financing!M37+Financing!M38)</f>
        <v>-29231.333333333336</v>
      </c>
      <c r="N14" s="55">
        <f>-(Financing!N33+Financing!N37+Financing!N38)</f>
        <v>-20270</v>
      </c>
    </row>
    <row r="15" spans="1:14">
      <c r="A15" s="45" t="s">
        <v>340</v>
      </c>
      <c r="B15" s="46">
        <f>SUM(C15:N15)</f>
        <v>-10000</v>
      </c>
      <c r="C15" s="55">
        <f>-(Assumptions!$B$136*Assumptions!$B$138)/12</f>
        <v>-833.33333333333337</v>
      </c>
      <c r="D15" s="55">
        <f>-(Assumptions!$B$136*Assumptions!$B$138)/12</f>
        <v>-833.33333333333337</v>
      </c>
      <c r="E15" s="55">
        <f>-(Assumptions!$B$136*Assumptions!$B$138)/12</f>
        <v>-833.33333333333337</v>
      </c>
      <c r="F15" s="55">
        <f>-(Assumptions!$B$136*Assumptions!$B$138)/12</f>
        <v>-833.33333333333337</v>
      </c>
      <c r="G15" s="55">
        <f>-(Assumptions!$B$136*Assumptions!$B$138)/12</f>
        <v>-833.33333333333337</v>
      </c>
      <c r="H15" s="55">
        <f>-(Assumptions!$B$136*Assumptions!$B$138)/12</f>
        <v>-833.33333333333337</v>
      </c>
      <c r="I15" s="55">
        <f>-(Assumptions!$B$136*Assumptions!$B$138)/12</f>
        <v>-833.33333333333337</v>
      </c>
      <c r="J15" s="55">
        <f>-(Assumptions!$B$136*Assumptions!$B$138)/12</f>
        <v>-833.33333333333337</v>
      </c>
      <c r="K15" s="55">
        <f>-(Assumptions!$B$136*Assumptions!$B$138)/12</f>
        <v>-833.33333333333337</v>
      </c>
      <c r="L15" s="55">
        <f>-(Assumptions!$B$136*Assumptions!$B$138)/12</f>
        <v>-833.33333333333337</v>
      </c>
      <c r="M15" s="55">
        <f>-(Assumptions!$B$136*Assumptions!$B$138)/12</f>
        <v>-833.33333333333337</v>
      </c>
      <c r="N15" s="55">
        <f>-(Assumptions!$B$136*Assumptions!$B$138)/12</f>
        <v>-833.33333333333337</v>
      </c>
    </row>
    <row r="16" spans="1:14">
      <c r="A16" s="26" t="s">
        <v>341</v>
      </c>
      <c r="B16" s="44">
        <f t="shared" ref="B16:N16" si="3">B6+B7</f>
        <v>476307.33333332837</v>
      </c>
      <c r="C16" s="44">
        <f t="shared" si="3"/>
        <v>82372</v>
      </c>
      <c r="D16" s="44">
        <f t="shared" si="3"/>
        <v>117505.33333333209</v>
      </c>
      <c r="E16" s="44">
        <f t="shared" si="3"/>
        <v>113505.33333333209</v>
      </c>
      <c r="F16" s="44">
        <f t="shared" si="3"/>
        <v>73438.666666666046</v>
      </c>
      <c r="G16" s="44">
        <f t="shared" si="3"/>
        <v>48372</v>
      </c>
      <c r="H16" s="44">
        <f t="shared" si="3"/>
        <v>48372</v>
      </c>
      <c r="I16" s="44">
        <f t="shared" si="3"/>
        <v>-34092.533333333675</v>
      </c>
      <c r="J16" s="44">
        <f t="shared" si="3"/>
        <v>8911.3333333339542</v>
      </c>
      <c r="K16" s="44">
        <f t="shared" si="3"/>
        <v>25329.200000000186</v>
      </c>
      <c r="L16" s="44">
        <f t="shared" si="3"/>
        <v>18501.200000000186</v>
      </c>
      <c r="M16" s="44">
        <f t="shared" si="3"/>
        <v>-4744.6666666660458</v>
      </c>
      <c r="N16" s="44">
        <f t="shared" si="3"/>
        <v>-21162.533333333675</v>
      </c>
    </row>
    <row r="17" spans="1:14">
      <c r="A17" s="45" t="s">
        <v>342</v>
      </c>
      <c r="B17" s="46">
        <f>SUM(C17:N17)</f>
        <v>-229399.99999999997</v>
      </c>
      <c r="C17" s="55">
        <f>-Administrative!B35</f>
        <v>-19116.666666666668</v>
      </c>
      <c r="D17" s="55">
        <f>C17</f>
        <v>-19116.666666666668</v>
      </c>
      <c r="E17" s="55">
        <f t="shared" ref="E17:N17" si="4">D17</f>
        <v>-19116.666666666668</v>
      </c>
      <c r="F17" s="55">
        <f t="shared" si="4"/>
        <v>-19116.666666666668</v>
      </c>
      <c r="G17" s="55">
        <f t="shared" si="4"/>
        <v>-19116.666666666668</v>
      </c>
      <c r="H17" s="55">
        <f t="shared" si="4"/>
        <v>-19116.666666666668</v>
      </c>
      <c r="I17" s="55">
        <f t="shared" si="4"/>
        <v>-19116.666666666668</v>
      </c>
      <c r="J17" s="55">
        <f t="shared" si="4"/>
        <v>-19116.666666666668</v>
      </c>
      <c r="K17" s="55">
        <f t="shared" si="4"/>
        <v>-19116.666666666668</v>
      </c>
      <c r="L17" s="55">
        <f t="shared" si="4"/>
        <v>-19116.666666666668</v>
      </c>
      <c r="M17" s="55">
        <f t="shared" si="4"/>
        <v>-19116.666666666668</v>
      </c>
      <c r="N17" s="55">
        <f t="shared" si="4"/>
        <v>-19116.666666666668</v>
      </c>
    </row>
    <row r="18" spans="1:14">
      <c r="A18" s="45" t="s">
        <v>343</v>
      </c>
      <c r="B18" s="46">
        <f>-Logistics!B19</f>
        <v>-720000</v>
      </c>
      <c r="C18" s="55">
        <f>-Logistics!C19</f>
        <v>-72000</v>
      </c>
      <c r="D18" s="55">
        <f>-Logistics!D19</f>
        <v>-100800.00000000003</v>
      </c>
      <c r="E18" s="55">
        <f>-Logistics!E19</f>
        <v>-100800.00000000003</v>
      </c>
      <c r="F18" s="55">
        <f>-Logistics!F19</f>
        <v>-86400</v>
      </c>
      <c r="G18" s="55">
        <f>-Logistics!G19</f>
        <v>-72000</v>
      </c>
      <c r="H18" s="55">
        <f>-Logistics!H19</f>
        <v>-72000</v>
      </c>
      <c r="I18" s="55">
        <f>-Logistics!I19</f>
        <v>-21600</v>
      </c>
      <c r="J18" s="55">
        <f>-Logistics!J19</f>
        <v>-36000</v>
      </c>
      <c r="K18" s="55">
        <f>-Logistics!K19</f>
        <v>-50400.000000000015</v>
      </c>
      <c r="L18" s="55">
        <f>-Logistics!L19</f>
        <v>-50400.000000000015</v>
      </c>
      <c r="M18" s="55">
        <f>-Logistics!M19</f>
        <v>-36000</v>
      </c>
      <c r="N18" s="55">
        <f>-Logistics!N19</f>
        <v>-21600</v>
      </c>
    </row>
    <row r="19" spans="1:14">
      <c r="A19" s="45" t="s">
        <v>344</v>
      </c>
      <c r="B19" s="46">
        <f>SUM(C19:N19)</f>
        <v>-192000</v>
      </c>
      <c r="C19" s="55">
        <f>-Administrative!E7</f>
        <v>-16000</v>
      </c>
      <c r="D19" s="55">
        <f>C19</f>
        <v>-16000</v>
      </c>
      <c r="E19" s="55">
        <f t="shared" ref="E19:N19" si="5">D19</f>
        <v>-16000</v>
      </c>
      <c r="F19" s="55">
        <f t="shared" si="5"/>
        <v>-16000</v>
      </c>
      <c r="G19" s="55">
        <f t="shared" si="5"/>
        <v>-16000</v>
      </c>
      <c r="H19" s="55">
        <f t="shared" si="5"/>
        <v>-16000</v>
      </c>
      <c r="I19" s="55">
        <f t="shared" si="5"/>
        <v>-16000</v>
      </c>
      <c r="J19" s="55">
        <f t="shared" si="5"/>
        <v>-16000</v>
      </c>
      <c r="K19" s="55">
        <f t="shared" si="5"/>
        <v>-16000</v>
      </c>
      <c r="L19" s="55">
        <f t="shared" si="5"/>
        <v>-16000</v>
      </c>
      <c r="M19" s="55">
        <f t="shared" si="5"/>
        <v>-16000</v>
      </c>
      <c r="N19" s="55">
        <f t="shared" si="5"/>
        <v>-16000</v>
      </c>
    </row>
    <row r="20" spans="1:14">
      <c r="A20" s="45" t="s">
        <v>345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>
      <c r="A21" s="26" t="s">
        <v>346</v>
      </c>
      <c r="B21" s="44">
        <f>B16+B17+B18+B19+B20</f>
        <v>-665092.66666667163</v>
      </c>
      <c r="C21" s="44">
        <f t="shared" ref="C21:N21" si="6">C16+C17+C18+C19+C20</f>
        <v>-24744.666666666672</v>
      </c>
      <c r="D21" s="44">
        <f t="shared" si="6"/>
        <v>-18411.333333334609</v>
      </c>
      <c r="E21" s="44">
        <f t="shared" si="6"/>
        <v>-22411.333333334609</v>
      </c>
      <c r="F21" s="44">
        <f t="shared" si="6"/>
        <v>-48078.000000000626</v>
      </c>
      <c r="G21" s="44">
        <f t="shared" si="6"/>
        <v>-58744.666666666672</v>
      </c>
      <c r="H21" s="44">
        <f t="shared" si="6"/>
        <v>-58744.666666666672</v>
      </c>
      <c r="I21" s="44">
        <f t="shared" si="6"/>
        <v>-90809.200000000346</v>
      </c>
      <c r="J21" s="44">
        <f t="shared" si="6"/>
        <v>-62205.333333332717</v>
      </c>
      <c r="K21" s="44">
        <f t="shared" si="6"/>
        <v>-60187.4666666665</v>
      </c>
      <c r="L21" s="44">
        <f t="shared" si="6"/>
        <v>-67015.4666666665</v>
      </c>
      <c r="M21" s="44">
        <f t="shared" si="6"/>
        <v>-75861.333333332717</v>
      </c>
      <c r="N21" s="44">
        <f t="shared" si="6"/>
        <v>-77879.200000000346</v>
      </c>
    </row>
    <row r="22" spans="1:14">
      <c r="A22" s="45" t="s">
        <v>347</v>
      </c>
      <c r="B22" s="46">
        <f>B23+B24+B26+B25</f>
        <v>-480000</v>
      </c>
      <c r="C22" s="46">
        <f>C23+C24+C26+C25</f>
        <v>0</v>
      </c>
      <c r="D22" s="46">
        <f>D23+D24+D26+D25</f>
        <v>0</v>
      </c>
      <c r="E22" s="46">
        <f t="shared" ref="E22:N22" si="7">E23+E24+E26+E25</f>
        <v>0</v>
      </c>
      <c r="F22" s="46">
        <f t="shared" si="7"/>
        <v>-120000</v>
      </c>
      <c r="G22" s="46">
        <f t="shared" si="7"/>
        <v>0</v>
      </c>
      <c r="H22" s="46">
        <f t="shared" si="7"/>
        <v>0</v>
      </c>
      <c r="I22" s="46">
        <f t="shared" si="7"/>
        <v>-120000</v>
      </c>
      <c r="J22" s="46">
        <f t="shared" si="7"/>
        <v>0</v>
      </c>
      <c r="K22" s="46">
        <f t="shared" si="7"/>
        <v>0</v>
      </c>
      <c r="L22" s="46">
        <f t="shared" si="7"/>
        <v>-120000</v>
      </c>
      <c r="M22" s="46">
        <f t="shared" si="7"/>
        <v>0</v>
      </c>
      <c r="N22" s="46">
        <f t="shared" si="7"/>
        <v>-120000</v>
      </c>
    </row>
    <row r="23" spans="1:14" ht="14.4" hidden="1">
      <c r="A23" s="12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4" hidden="1">
      <c r="A24" s="1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4">
      <c r="A25" s="12" t="s">
        <v>348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>
      <c r="A26" s="12" t="s">
        <v>349</v>
      </c>
      <c r="B26" s="46">
        <f>SUM(C26:N26)</f>
        <v>-480000</v>
      </c>
      <c r="C26" s="55">
        <f>-Financing!C98</f>
        <v>0</v>
      </c>
      <c r="D26" s="55">
        <f>-Financing!D98</f>
        <v>0</v>
      </c>
      <c r="E26" s="55">
        <f>-Financing!E98</f>
        <v>0</v>
      </c>
      <c r="F26" s="55">
        <f>-Financing!F98</f>
        <v>-120000</v>
      </c>
      <c r="G26" s="55">
        <f>-Financing!G98</f>
        <v>0</v>
      </c>
      <c r="H26" s="55">
        <f>-Financing!H98</f>
        <v>0</v>
      </c>
      <c r="I26" s="55">
        <f>-Financing!I98</f>
        <v>-120000</v>
      </c>
      <c r="J26" s="55">
        <f>-Financing!J98</f>
        <v>0</v>
      </c>
      <c r="K26" s="55">
        <f>-Financing!K98</f>
        <v>0</v>
      </c>
      <c r="L26" s="55">
        <f>-Financing!L98</f>
        <v>-120000</v>
      </c>
      <c r="M26" s="55">
        <f>-Financing!M98</f>
        <v>0</v>
      </c>
      <c r="N26" s="55">
        <f>-Financing!N98</f>
        <v>-120000</v>
      </c>
    </row>
    <row r="27" spans="1:14">
      <c r="A27" s="49" t="s">
        <v>350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>
      <c r="A28" s="49" t="s">
        <v>351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>
      <c r="A29" s="26" t="s">
        <v>352</v>
      </c>
      <c r="B29" s="44">
        <f t="shared" ref="B29:N29" si="8">B21+B22+B27+B28</f>
        <v>-1145092.6666666716</v>
      </c>
      <c r="C29" s="44">
        <f t="shared" si="8"/>
        <v>-24744.666666666672</v>
      </c>
      <c r="D29" s="44">
        <f t="shared" si="8"/>
        <v>-18411.333333334609</v>
      </c>
      <c r="E29" s="44">
        <f t="shared" si="8"/>
        <v>-22411.333333334609</v>
      </c>
      <c r="F29" s="44">
        <f t="shared" si="8"/>
        <v>-168078.00000000064</v>
      </c>
      <c r="G29" s="44">
        <f t="shared" si="8"/>
        <v>-58744.666666666672</v>
      </c>
      <c r="H29" s="44">
        <f t="shared" si="8"/>
        <v>-58744.666666666672</v>
      </c>
      <c r="I29" s="44">
        <f t="shared" si="8"/>
        <v>-210809.20000000036</v>
      </c>
      <c r="J29" s="44">
        <f t="shared" si="8"/>
        <v>-62205.333333332717</v>
      </c>
      <c r="K29" s="44">
        <f t="shared" si="8"/>
        <v>-60187.4666666665</v>
      </c>
      <c r="L29" s="44">
        <f t="shared" si="8"/>
        <v>-187015.4666666665</v>
      </c>
      <c r="M29" s="44">
        <f t="shared" si="8"/>
        <v>-75861.333333332717</v>
      </c>
      <c r="N29" s="44">
        <f t="shared" si="8"/>
        <v>-197879.20000000036</v>
      </c>
    </row>
    <row r="30" spans="1:14">
      <c r="A30" s="45" t="s">
        <v>353</v>
      </c>
      <c r="B30" s="46">
        <f>IF(B29&lt;0,0,-B29*Assumptions!B21)-(Assumptions!B13*Assumptions!B128)/Assumptions!B5</f>
        <v>-4745.1836386068135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A31" s="26" t="s">
        <v>354</v>
      </c>
      <c r="B31" s="44">
        <f>B29+B30</f>
        <v>-1149837.8503052786</v>
      </c>
      <c r="C31" s="44">
        <f t="shared" ref="C31:N31" si="9">C29+C30</f>
        <v>-24744.666666666672</v>
      </c>
      <c r="D31" s="44">
        <f t="shared" si="9"/>
        <v>-18411.333333334609</v>
      </c>
      <c r="E31" s="44">
        <f t="shared" si="9"/>
        <v>-22411.333333334609</v>
      </c>
      <c r="F31" s="44">
        <f t="shared" si="9"/>
        <v>-168078.00000000064</v>
      </c>
      <c r="G31" s="44">
        <f t="shared" si="9"/>
        <v>-58744.666666666672</v>
      </c>
      <c r="H31" s="44">
        <f t="shared" si="9"/>
        <v>-58744.666666666672</v>
      </c>
      <c r="I31" s="44">
        <f t="shared" si="9"/>
        <v>-210809.20000000036</v>
      </c>
      <c r="J31" s="44">
        <f t="shared" si="9"/>
        <v>-62205.333333332717</v>
      </c>
      <c r="K31" s="44">
        <f t="shared" si="9"/>
        <v>-60187.4666666665</v>
      </c>
      <c r="L31" s="44">
        <f t="shared" si="9"/>
        <v>-187015.4666666665</v>
      </c>
      <c r="M31" s="44">
        <f t="shared" si="9"/>
        <v>-75861.333333332717</v>
      </c>
      <c r="N31" s="44">
        <f t="shared" si="9"/>
        <v>-197879.20000000036</v>
      </c>
    </row>
    <row r="32" spans="1:14">
      <c r="A32" s="26" t="s">
        <v>355</v>
      </c>
      <c r="B32" s="50">
        <f>IF(B31&lt;0,0,-B31*Assumptions!B123)</f>
        <v>0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1">
      <c r="A33" s="52" t="s">
        <v>356</v>
      </c>
      <c r="B33" s="53">
        <f t="shared" ref="B33:N33" si="10">B31+B32</f>
        <v>-1149837.8503052786</v>
      </c>
      <c r="C33" s="53">
        <f t="shared" si="10"/>
        <v>-24744.666666666672</v>
      </c>
      <c r="D33" s="53">
        <f t="shared" si="10"/>
        <v>-18411.333333334609</v>
      </c>
      <c r="E33" s="53">
        <f t="shared" si="10"/>
        <v>-22411.333333334609</v>
      </c>
      <c r="F33" s="53">
        <f t="shared" si="10"/>
        <v>-168078.00000000064</v>
      </c>
      <c r="G33" s="53">
        <f t="shared" si="10"/>
        <v>-58744.666666666672</v>
      </c>
      <c r="H33" s="53">
        <f t="shared" si="10"/>
        <v>-58744.666666666672</v>
      </c>
      <c r="I33" s="53">
        <f t="shared" si="10"/>
        <v>-210809.20000000036</v>
      </c>
      <c r="J33" s="53">
        <f t="shared" si="10"/>
        <v>-62205.333333332717</v>
      </c>
      <c r="K33" s="53">
        <f t="shared" si="10"/>
        <v>-60187.4666666665</v>
      </c>
      <c r="L33" s="53">
        <f t="shared" si="10"/>
        <v>-187015.4666666665</v>
      </c>
      <c r="M33" s="53">
        <f t="shared" si="10"/>
        <v>-75861.333333332717</v>
      </c>
      <c r="N33" s="53">
        <f t="shared" si="10"/>
        <v>-197879.20000000036</v>
      </c>
    </row>
    <row r="34" spans="1:14">
      <c r="B34" s="51"/>
      <c r="C34" s="51"/>
      <c r="D34" s="51"/>
      <c r="E34" s="5"/>
      <c r="F34" s="5"/>
      <c r="G34" s="5"/>
      <c r="H34" s="5"/>
    </row>
    <row r="35" spans="1:14" ht="15.6">
      <c r="A35" s="47" t="s">
        <v>325</v>
      </c>
      <c r="B35" s="51"/>
      <c r="C35" s="51">
        <f>-(C10+C11+C12+C14+C17+C18+C19)</f>
        <v>179911.33333333334</v>
      </c>
      <c r="D35" s="51">
        <f t="shared" ref="D35:N35" si="11">-(D10+D11+D12+D14+D17+D18+D19)</f>
        <v>237578.00000000006</v>
      </c>
      <c r="E35" s="51">
        <f t="shared" si="11"/>
        <v>237578.00000000006</v>
      </c>
      <c r="F35" s="51">
        <f t="shared" si="11"/>
        <v>231244.66666666669</v>
      </c>
      <c r="G35" s="51">
        <f t="shared" si="11"/>
        <v>209911.33333333331</v>
      </c>
      <c r="H35" s="51">
        <f t="shared" si="11"/>
        <v>209911.33333333331</v>
      </c>
      <c r="I35" s="51">
        <f t="shared" si="11"/>
        <v>135244.66666666669</v>
      </c>
      <c r="J35" s="51">
        <f t="shared" si="11"/>
        <v>136820</v>
      </c>
      <c r="K35" s="51">
        <f t="shared" si="11"/>
        <v>164981.33333333337</v>
      </c>
      <c r="L35" s="51">
        <f t="shared" si="11"/>
        <v>171809.33333333337</v>
      </c>
      <c r="M35" s="51">
        <f t="shared" si="11"/>
        <v>150476</v>
      </c>
      <c r="N35" s="51">
        <f t="shared" si="11"/>
        <v>122314.66666666667</v>
      </c>
    </row>
    <row r="36" spans="1:14">
      <c r="B36" s="51"/>
      <c r="C36" s="51"/>
      <c r="D36" s="51"/>
    </row>
    <row r="37" spans="1:14">
      <c r="B37" s="51"/>
      <c r="C37" s="51"/>
      <c r="D37" s="51"/>
    </row>
    <row r="38" spans="1:14">
      <c r="B38" s="51"/>
      <c r="C38" s="51"/>
      <c r="D38" s="51"/>
    </row>
    <row r="39" spans="1:14">
      <c r="B39" s="51"/>
      <c r="C39" s="51"/>
      <c r="D39" s="51"/>
    </row>
    <row r="40" spans="1:14">
      <c r="B40" s="51"/>
      <c r="C40" s="51"/>
      <c r="D40" s="51"/>
    </row>
    <row r="41" spans="1:14">
      <c r="B41" s="51"/>
      <c r="C41" s="51"/>
      <c r="D41" s="51"/>
    </row>
    <row r="42" spans="1:14">
      <c r="B42" s="51"/>
      <c r="C42" s="51"/>
      <c r="D42" s="51"/>
    </row>
    <row r="43" spans="1:14">
      <c r="B43" s="51"/>
      <c r="C43" s="51"/>
      <c r="D43" s="51"/>
    </row>
    <row r="44" spans="1:14">
      <c r="B44" s="51"/>
      <c r="C44" s="51"/>
      <c r="D44" s="51"/>
    </row>
    <row r="45" spans="1:14">
      <c r="B45" s="51"/>
      <c r="C45" s="51"/>
      <c r="D45" s="51"/>
    </row>
    <row r="46" spans="1:14">
      <c r="B46" s="51"/>
      <c r="C46" s="51"/>
      <c r="D46" s="51"/>
    </row>
    <row r="47" spans="1:14">
      <c r="B47" s="51"/>
      <c r="C47" s="51"/>
      <c r="D47" s="51"/>
    </row>
    <row r="48" spans="1:14">
      <c r="B48" s="51"/>
      <c r="C48" s="51"/>
      <c r="D48" s="51"/>
    </row>
    <row r="49" spans="2:4">
      <c r="B49" s="51"/>
      <c r="C49" s="51"/>
      <c r="D49" s="51"/>
    </row>
    <row r="50" spans="2:4">
      <c r="B50" s="51"/>
      <c r="C50" s="51"/>
      <c r="D50" s="51"/>
    </row>
    <row r="51" spans="2:4">
      <c r="B51" s="51"/>
      <c r="C51" s="51"/>
      <c r="D51" s="51"/>
    </row>
    <row r="52" spans="2:4">
      <c r="B52" s="51"/>
      <c r="C52" s="51"/>
      <c r="D52" s="51"/>
    </row>
    <row r="53" spans="2:4">
      <c r="B53" s="51"/>
      <c r="C53" s="51"/>
      <c r="D53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Summary</vt:lpstr>
      <vt:lpstr>Assumptions</vt:lpstr>
      <vt:lpstr>Purchases</vt:lpstr>
      <vt:lpstr>Sales</vt:lpstr>
      <vt:lpstr>Logistics</vt:lpstr>
      <vt:lpstr>Financing</vt:lpstr>
      <vt:lpstr>Administrative</vt:lpstr>
      <vt:lpstr>Debtors</vt:lpstr>
      <vt:lpstr>P&amp;L SwCo Bad</vt:lpstr>
      <vt:lpstr>P&amp;L SwCo Mid</vt:lpstr>
      <vt:lpstr>P&amp;L SwCo Good</vt:lpstr>
      <vt:lpstr>P&amp;L ExCo Bad</vt:lpstr>
      <vt:lpstr>P&amp;L ExCo Mid</vt:lpstr>
      <vt:lpstr>P&amp;L ExCo Good</vt:lpstr>
      <vt:lpstr>P&amp;L PurCo Bad</vt:lpstr>
      <vt:lpstr>P&amp;L PurCo Mid</vt:lpstr>
      <vt:lpstr>P&amp;L PurCo Good</vt:lpstr>
      <vt:lpstr>P&amp;L Cons Bad</vt:lpstr>
      <vt:lpstr>P&amp;L Cons Mid</vt:lpstr>
      <vt:lpstr>P&amp;L Cons Good</vt:lpstr>
      <vt:lpstr>CF Bad</vt:lpstr>
      <vt:lpstr>CF Mid</vt:lpstr>
      <vt:lpstr>CF Good</vt:lpstr>
      <vt:lpstr>BS Bad</vt:lpstr>
      <vt:lpstr>BS Mid</vt:lpstr>
      <vt:lpstr>BS Good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2013-03-27T11:05:49Z</dcterms:created>
  <dcterms:modified xsi:type="dcterms:W3CDTF">2014-11-19T19:59:08Z</dcterms:modified>
</cp:coreProperties>
</file>