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y\Desktop\Investment Project Management\My dox\Presentations\"/>
    </mc:Choice>
  </mc:AlternateContent>
  <bookViews>
    <workbookView xWindow="0" yWindow="0" windowWidth="20490" windowHeight="7155" activeTab="1"/>
  </bookViews>
  <sheets>
    <sheet name="Template" sheetId="8" r:id="rId1"/>
    <sheet name="Formula" sheetId="6" r:id="rId2"/>
    <sheet name="Возвратный лизинг" sheetId="4" state="hidden" r:id="rId3"/>
  </sheets>
  <calcPr calcId="152511"/>
</workbook>
</file>

<file path=xl/calcChain.xml><?xml version="1.0" encoding="utf-8"?>
<calcChain xmlns="http://schemas.openxmlformats.org/spreadsheetml/2006/main">
  <c r="C16" i="6" l="1"/>
  <c r="C6" i="6"/>
  <c r="C7" i="6"/>
  <c r="C8" i="6"/>
  <c r="C9" i="6"/>
  <c r="C10" i="6"/>
  <c r="C11" i="6"/>
  <c r="C12" i="6"/>
  <c r="C13" i="6"/>
  <c r="C14" i="6"/>
  <c r="C15" i="6"/>
  <c r="C5" i="6"/>
  <c r="G70" i="4"/>
  <c r="I58" i="8" l="1"/>
  <c r="J58" i="8" s="1"/>
  <c r="I24" i="8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I48" i="8" s="1"/>
  <c r="I49" i="8" s="1"/>
  <c r="I50" i="8" s="1"/>
  <c r="I51" i="8" s="1"/>
  <c r="I52" i="8" s="1"/>
  <c r="I53" i="8" s="1"/>
  <c r="I54" i="8" s="1"/>
  <c r="I55" i="8" s="1"/>
  <c r="I56" i="8" s="1"/>
  <c r="I57" i="8" s="1"/>
  <c r="I23" i="8"/>
  <c r="H58" i="8"/>
  <c r="G59" i="8"/>
  <c r="G57" i="8" l="1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H10" i="8" l="1"/>
  <c r="D5" i="6" l="1"/>
  <c r="G62" i="8"/>
  <c r="F58" i="8"/>
  <c r="G58" i="8" s="1"/>
  <c r="H57" i="8" s="1"/>
  <c r="C58" i="8"/>
  <c r="F57" i="8"/>
  <c r="H56" i="8" s="1"/>
  <c r="C57" i="8"/>
  <c r="H55" i="8"/>
  <c r="F56" i="8"/>
  <c r="C56" i="8"/>
  <c r="F55" i="8"/>
  <c r="H54" i="8" s="1"/>
  <c r="C55" i="8"/>
  <c r="H53" i="8"/>
  <c r="F54" i="8"/>
  <c r="C54" i="8"/>
  <c r="F53" i="8"/>
  <c r="H52" i="8" s="1"/>
  <c r="C53" i="8"/>
  <c r="H51" i="8"/>
  <c r="F52" i="8"/>
  <c r="C52" i="8"/>
  <c r="F51" i="8"/>
  <c r="H50" i="8" s="1"/>
  <c r="C51" i="8"/>
  <c r="H49" i="8"/>
  <c r="F50" i="8"/>
  <c r="C50" i="8"/>
  <c r="F49" i="8"/>
  <c r="H48" i="8" s="1"/>
  <c r="C49" i="8"/>
  <c r="H47" i="8"/>
  <c r="F48" i="8"/>
  <c r="C48" i="8"/>
  <c r="F47" i="8"/>
  <c r="H46" i="8" s="1"/>
  <c r="C47" i="8"/>
  <c r="H45" i="8"/>
  <c r="F46" i="8"/>
  <c r="C46" i="8"/>
  <c r="F45" i="8"/>
  <c r="H44" i="8" s="1"/>
  <c r="C45" i="8"/>
  <c r="H43" i="8"/>
  <c r="F44" i="8"/>
  <c r="C44" i="8"/>
  <c r="F43" i="8"/>
  <c r="H42" i="8" s="1"/>
  <c r="C43" i="8"/>
  <c r="H41" i="8"/>
  <c r="F42" i="8"/>
  <c r="C42" i="8"/>
  <c r="F41" i="8"/>
  <c r="H40" i="8" s="1"/>
  <c r="C41" i="8"/>
  <c r="H39" i="8"/>
  <c r="F40" i="8"/>
  <c r="C40" i="8"/>
  <c r="F39" i="8"/>
  <c r="H38" i="8" s="1"/>
  <c r="C39" i="8"/>
  <c r="H37" i="8"/>
  <c r="F38" i="8"/>
  <c r="C38" i="8"/>
  <c r="F37" i="8"/>
  <c r="H36" i="8" s="1"/>
  <c r="C37" i="8"/>
  <c r="H35" i="8"/>
  <c r="F36" i="8"/>
  <c r="C36" i="8"/>
  <c r="F35" i="8"/>
  <c r="H34" i="8" s="1"/>
  <c r="C35" i="8"/>
  <c r="H33" i="8"/>
  <c r="F34" i="8"/>
  <c r="C34" i="8"/>
  <c r="H32" i="8"/>
  <c r="F33" i="8"/>
  <c r="C33" i="8"/>
  <c r="H31" i="8"/>
  <c r="F32" i="8"/>
  <c r="C32" i="8"/>
  <c r="F31" i="8"/>
  <c r="H30" i="8" s="1"/>
  <c r="C31" i="8"/>
  <c r="H29" i="8"/>
  <c r="F30" i="8"/>
  <c r="C30" i="8"/>
  <c r="H28" i="8"/>
  <c r="F29" i="8"/>
  <c r="C29" i="8"/>
  <c r="H27" i="8"/>
  <c r="F28" i="8"/>
  <c r="C28" i="8"/>
  <c r="F27" i="8"/>
  <c r="H26" i="8" s="1"/>
  <c r="C27" i="8"/>
  <c r="H25" i="8"/>
  <c r="F26" i="8"/>
  <c r="C26" i="8"/>
  <c r="H24" i="8"/>
  <c r="F25" i="8"/>
  <c r="C25" i="8"/>
  <c r="H23" i="8"/>
  <c r="F24" i="8"/>
  <c r="C24" i="8"/>
  <c r="F23" i="8"/>
  <c r="C23" i="8"/>
  <c r="J22" i="8"/>
  <c r="H22" i="8"/>
  <c r="E22" i="8"/>
  <c r="C22" i="8"/>
  <c r="H17" i="8"/>
  <c r="H15" i="8"/>
  <c r="G5" i="6"/>
  <c r="E16" i="6"/>
  <c r="D16" i="6"/>
  <c r="E15" i="6" s="1"/>
  <c r="D6" i="6"/>
  <c r="E5" i="6" s="1"/>
  <c r="D7" i="6" s="1"/>
  <c r="E6" i="6" s="1"/>
  <c r="D8" i="6" s="1"/>
  <c r="E7" i="6" s="1"/>
  <c r="D9" i="6" s="1"/>
  <c r="E8" i="6" s="1"/>
  <c r="D10" i="6" s="1"/>
  <c r="E9" i="6" s="1"/>
  <c r="D11" i="6" s="1"/>
  <c r="E10" i="6" s="1"/>
  <c r="D12" i="6" s="1"/>
  <c r="E11" i="6" s="1"/>
  <c r="D13" i="6" s="1"/>
  <c r="E12" i="6" s="1"/>
  <c r="D14" i="6" s="1"/>
  <c r="E13" i="6" s="1"/>
  <c r="D15" i="6" s="1"/>
  <c r="E14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H18" i="8" l="1"/>
  <c r="E60" i="8"/>
  <c r="G67" i="8" s="1"/>
  <c r="G68" i="8" s="1"/>
  <c r="F22" i="8"/>
  <c r="F60" i="8"/>
  <c r="G66" i="8"/>
  <c r="G79" i="8" s="1"/>
  <c r="G80" i="8" s="1"/>
  <c r="G81" i="8" l="1"/>
  <c r="J23" i="8"/>
  <c r="G82" i="8"/>
  <c r="G83" i="8" s="1"/>
  <c r="G69" i="8"/>
  <c r="G70" i="8" s="1"/>
  <c r="J24" i="8" l="1"/>
  <c r="J25" i="8" l="1"/>
  <c r="G74" i="4"/>
  <c r="J53" i="4"/>
  <c r="J52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16" i="4"/>
  <c r="J15" i="4"/>
  <c r="G72" i="4"/>
  <c r="H8" i="4"/>
  <c r="H5" i="4"/>
  <c r="G59" i="4"/>
  <c r="E18" i="4"/>
  <c r="F18" i="4" s="1"/>
  <c r="H7" i="4"/>
  <c r="F17" i="4"/>
  <c r="F16" i="4"/>
  <c r="F13" i="4"/>
  <c r="J26" i="8" l="1"/>
  <c r="H9" i="4"/>
  <c r="E19" i="4"/>
  <c r="J27" i="8" l="1"/>
  <c r="E20" i="4"/>
  <c r="F19" i="4"/>
  <c r="J28" i="8" l="1"/>
  <c r="E21" i="4"/>
  <c r="F20" i="4"/>
  <c r="J29" i="8" l="1"/>
  <c r="F21" i="4"/>
  <c r="E22" i="4"/>
  <c r="J30" i="8" l="1"/>
  <c r="E23" i="4"/>
  <c r="F22" i="4"/>
  <c r="J31" i="8" l="1"/>
  <c r="E24" i="4"/>
  <c r="F23" i="4"/>
  <c r="J32" i="8" l="1"/>
  <c r="E25" i="4"/>
  <c r="F24" i="4"/>
  <c r="J33" i="8" l="1"/>
  <c r="E26" i="4"/>
  <c r="F25" i="4"/>
  <c r="J34" i="8" l="1"/>
  <c r="E27" i="4"/>
  <c r="F26" i="4"/>
  <c r="J35" i="8" l="1"/>
  <c r="E28" i="4"/>
  <c r="F27" i="4"/>
  <c r="J36" i="8" l="1"/>
  <c r="F28" i="4"/>
  <c r="E29" i="4"/>
  <c r="J37" i="8" l="1"/>
  <c r="E30" i="4"/>
  <c r="F29" i="4"/>
  <c r="J38" i="8" l="1"/>
  <c r="F30" i="4"/>
  <c r="E31" i="4"/>
  <c r="J39" i="8" l="1"/>
  <c r="F31" i="4"/>
  <c r="E32" i="4"/>
  <c r="J40" i="8" l="1"/>
  <c r="F32" i="4"/>
  <c r="E33" i="4"/>
  <c r="J41" i="8" l="1"/>
  <c r="E34" i="4"/>
  <c r="F33" i="4"/>
  <c r="J42" i="8" l="1"/>
  <c r="F34" i="4"/>
  <c r="E35" i="4"/>
  <c r="J43" i="8" l="1"/>
  <c r="F35" i="4"/>
  <c r="E36" i="4"/>
  <c r="J44" i="8" l="1"/>
  <c r="E37" i="4"/>
  <c r="F36" i="4"/>
  <c r="J45" i="8" l="1"/>
  <c r="E38" i="4"/>
  <c r="F37" i="4"/>
  <c r="J46" i="8" l="1"/>
  <c r="F38" i="4"/>
  <c r="E39" i="4"/>
  <c r="J47" i="8" l="1"/>
  <c r="F39" i="4"/>
  <c r="E40" i="4"/>
  <c r="J48" i="8" l="1"/>
  <c r="E41" i="4"/>
  <c r="F40" i="4"/>
  <c r="J49" i="8" l="1"/>
  <c r="F41" i="4"/>
  <c r="E42" i="4"/>
  <c r="J50" i="8" l="1"/>
  <c r="F42" i="4"/>
  <c r="E43" i="4"/>
  <c r="J51" i="8" l="1"/>
  <c r="E44" i="4"/>
  <c r="F43" i="4"/>
  <c r="J52" i="8" l="1"/>
  <c r="E45" i="4"/>
  <c r="F44" i="4"/>
  <c r="J53" i="8" l="1"/>
  <c r="F45" i="4"/>
  <c r="E46" i="4"/>
  <c r="J54" i="8" l="1"/>
  <c r="E47" i="4"/>
  <c r="F46" i="4"/>
  <c r="J55" i="8" l="1"/>
  <c r="F47" i="4"/>
  <c r="E48" i="4"/>
  <c r="J56" i="8" l="1"/>
  <c r="J57" i="8"/>
  <c r="G72" i="8" s="1"/>
  <c r="G74" i="8" s="1"/>
  <c r="F48" i="4"/>
  <c r="E49" i="4"/>
  <c r="F49" i="4" l="1"/>
  <c r="E50" i="4"/>
  <c r="E51" i="4" l="1"/>
  <c r="F50" i="4"/>
  <c r="E53" i="4" l="1"/>
  <c r="G60" i="4" s="1"/>
  <c r="G61" i="4" s="1"/>
  <c r="F51" i="4"/>
  <c r="F53" i="4" s="1"/>
  <c r="G64" i="4" l="1"/>
  <c r="G65" i="4" s="1"/>
  <c r="G66" i="4" l="1"/>
  <c r="G62" i="4"/>
  <c r="G67" i="4" l="1"/>
  <c r="G68" i="4" s="1"/>
  <c r="F6" i="6" l="1"/>
  <c r="F7" i="6" l="1"/>
  <c r="G6" i="6"/>
  <c r="F8" i="6" l="1"/>
  <c r="G7" i="6"/>
  <c r="F9" i="6" l="1"/>
  <c r="G8" i="6"/>
  <c r="F10" i="6" l="1"/>
  <c r="G9" i="6"/>
  <c r="F11" i="6" l="1"/>
  <c r="G10" i="6"/>
  <c r="G11" i="6" l="1"/>
  <c r="F12" i="6"/>
  <c r="G12" i="6" l="1"/>
  <c r="F13" i="6"/>
  <c r="G13" i="6" l="1"/>
  <c r="F14" i="6"/>
  <c r="G14" i="6" l="1"/>
  <c r="F15" i="6"/>
  <c r="G15" i="6" l="1"/>
  <c r="F16" i="6"/>
  <c r="G16" i="6" s="1"/>
</calcChain>
</file>

<file path=xl/sharedStrings.xml><?xml version="1.0" encoding="utf-8"?>
<sst xmlns="http://schemas.openxmlformats.org/spreadsheetml/2006/main" count="171" uniqueCount="79">
  <si>
    <t>№</t>
  </si>
  <si>
    <t>Дата</t>
  </si>
  <si>
    <t>Валюта</t>
  </si>
  <si>
    <t>в т.ч. НДС</t>
  </si>
  <si>
    <t>Сумма</t>
  </si>
  <si>
    <t>руб.</t>
  </si>
  <si>
    <t xml:space="preserve">Аванс </t>
  </si>
  <si>
    <t>Эффективная процентная ставка по лизингу</t>
  </si>
  <si>
    <t>Сумма полученная</t>
  </si>
  <si>
    <t>Сумма удорожания</t>
  </si>
  <si>
    <t>Сумма полученная за вычетом уплаченного НДС</t>
  </si>
  <si>
    <t>Эффективная процентная ставка, % годовых</t>
  </si>
  <si>
    <t>Ставка удорожания номинальная, % годовых</t>
  </si>
  <si>
    <t>Ставка удорожания по коммерческому предложению</t>
  </si>
  <si>
    <t xml:space="preserve"> Оцениваются Лизинговой компанией по рыночной цене:</t>
  </si>
  <si>
    <t>Автомобили балансовой стоимостью:</t>
  </si>
  <si>
    <t>Мы платим НДС с продажи основных средств в размере:</t>
  </si>
  <si>
    <t>Сумма денежных средств, поступающих в компанию, с учетом уплаченных налогов:</t>
  </si>
  <si>
    <t>Мы платим налог на прибыль с продажи основных средств в размере (при 50%-ном износе):</t>
  </si>
  <si>
    <t>НДС и начисленный налог на прибыль компенсируются в процессе уплаты лизинговых платежей</t>
  </si>
  <si>
    <t>Всего к уплате:</t>
  </si>
  <si>
    <t xml:space="preserve">Она выкупает их по цене (и отдает в лизинг по той же цене): </t>
  </si>
  <si>
    <t>В случае, если нет уплаты дополнительных налогов (без учета аннуитетов, т.е. с уплатой тела кредита в конце срока)</t>
  </si>
  <si>
    <t>В случае уплаты НДС с продажи основного средства (без учета аннуитетов, т.е. с уплатой тела кредита в конце срока)</t>
  </si>
  <si>
    <t>С учетом аннуитетов, то есть с учетом ежемесячного погашения тела кредита, без уплаты НДС с приобретения основного средства</t>
  </si>
  <si>
    <t>С учетом аннуитетов, то есть с учетом ежемесячного погашения тела кредита, при уплате НДС с приобретения основного средства</t>
  </si>
  <si>
    <t>Потоки лизингодателя</t>
  </si>
  <si>
    <t>Доходность инвестиции с точки зрения Лизингодателя (по методу IRR)</t>
  </si>
  <si>
    <t>годовых</t>
  </si>
  <si>
    <t>f(x)</t>
  </si>
  <si>
    <t>f'(x)</t>
  </si>
  <si>
    <t>x(k)</t>
  </si>
  <si>
    <t>% ЭФФ</t>
  </si>
  <si>
    <t>Для возвратного лизинга:</t>
  </si>
  <si>
    <t>Сумма полученная за вычетом уплаченных налогов</t>
  </si>
  <si>
    <t>Предложение лизинговой компании</t>
  </si>
  <si>
    <t>В случае уплаты налогов с продажи основного средства (без учета траншевых выплат, т.е. с уплатой тела кредита в конце срока)</t>
  </si>
  <si>
    <t>Consecutive payments function</t>
  </si>
  <si>
    <t>Derivative of Consecutive payments function</t>
  </si>
  <si>
    <t>Monthly discounting rate</t>
  </si>
  <si>
    <t>Efficient interest rate</t>
  </si>
  <si>
    <t>Nominal interest rate</t>
  </si>
  <si>
    <t>Leased amount</t>
  </si>
  <si>
    <t>Number of periods</t>
  </si>
  <si>
    <t>% EFF</t>
  </si>
  <si>
    <t>Leasing company proposal</t>
  </si>
  <si>
    <t>VAT rate</t>
  </si>
  <si>
    <t>Income tax rate</t>
  </si>
  <si>
    <t>Regular leasing</t>
  </si>
  <si>
    <t>Repayable leasing</t>
  </si>
  <si>
    <t>Fixed assets book value, RUR:</t>
  </si>
  <si>
    <t>Leasing maturity, months</t>
  </si>
  <si>
    <t>Rise in price, % p.a.</t>
  </si>
  <si>
    <t>Residual value, RUR</t>
  </si>
  <si>
    <t>VAT to be paid, RUR</t>
  </si>
  <si>
    <t>included into the last repayment in schedule</t>
  </si>
  <si>
    <t>Advance payment, % of FA book value</t>
  </si>
  <si>
    <t xml:space="preserve"> FA valuation made by Leasing Co.:</t>
  </si>
  <si>
    <t>FA are bought out by Leasing Co. and sold back to the Principal at the same price</t>
  </si>
  <si>
    <t>VAT to be paid from FA sale</t>
  </si>
  <si>
    <t>Depreciated value of FA</t>
  </si>
  <si>
    <t>Income tax to be paid by Principal from the sale of FA (when 50% have been depreciated):</t>
  </si>
  <si>
    <t>The amount of funds incoming to the Principal when the Repayable lease is obtained</t>
  </si>
  <si>
    <t>For the regular leasing (VAT is out of consideration, Income tax decrease is considered)</t>
  </si>
  <si>
    <t>Date</t>
  </si>
  <si>
    <t>Currency</t>
  </si>
  <si>
    <t>Amount</t>
  </si>
  <si>
    <t>VAT included</t>
  </si>
  <si>
    <t>Advance</t>
  </si>
  <si>
    <t>TOTAL</t>
  </si>
  <si>
    <t>Nominal "Rise in Value"</t>
  </si>
  <si>
    <t>If no intermediate payments, when the repayment of principal lease amount is done at the end of the term, % p.a.</t>
  </si>
  <si>
    <t>Funds obtained</t>
  </si>
  <si>
    <t>Rise in value</t>
  </si>
  <si>
    <t>Rise in value annual rate, % в год</t>
  </si>
  <si>
    <t>Nominal interest rate on the principal amount, % p.a.</t>
  </si>
  <si>
    <t>Effective interest rate, % p.a.</t>
  </si>
  <si>
    <t>Recalculation of efficient interest rate with tranches, % p.a.</t>
  </si>
  <si>
    <t>Recalculation of efficient rate with extra incomes because of VAT postponing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</si>
</sst>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%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0" fontId="3" fillId="0" borderId="0" xfId="0" applyFont="1"/>
    <xf numFmtId="10" fontId="0" fillId="0" borderId="0" xfId="0" applyNumberFormat="1"/>
    <xf numFmtId="0" fontId="5" fillId="0" borderId="0" xfId="0" applyFont="1"/>
    <xf numFmtId="10" fontId="4" fillId="2" borderId="2" xfId="1" applyNumberFormat="1" applyFont="1" applyFill="1" applyBorder="1"/>
    <xf numFmtId="10" fontId="1" fillId="0" borderId="2" xfId="1" applyNumberFormat="1" applyFont="1" applyBorder="1"/>
    <xf numFmtId="4" fontId="0" fillId="0" borderId="1" xfId="0" applyNumberFormat="1" applyBorder="1" applyAlignment="1">
      <alignment horizontal="center" vertical="center"/>
    </xf>
    <xf numFmtId="10" fontId="1" fillId="2" borderId="2" xfId="1" applyNumberFormat="1" applyFont="1" applyFill="1" applyBorder="1"/>
    <xf numFmtId="4" fontId="0" fillId="0" borderId="2" xfId="0" applyNumberFormat="1" applyBorder="1"/>
    <xf numFmtId="10" fontId="0" fillId="2" borderId="2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/>
    <xf numFmtId="10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0" fontId="0" fillId="0" borderId="0" xfId="1" applyNumberFormat="1" applyFont="1"/>
    <xf numFmtId="0" fontId="0" fillId="0" borderId="1" xfId="0" applyFill="1" applyBorder="1" applyAlignment="1">
      <alignment horizontal="center"/>
    </xf>
    <xf numFmtId="0" fontId="6" fillId="0" borderId="0" xfId="0" applyFont="1"/>
    <xf numFmtId="4" fontId="0" fillId="3" borderId="1" xfId="0" applyNumberForma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0" applyNumberFormat="1" applyBorder="1"/>
    <xf numFmtId="3" fontId="0" fillId="3" borderId="1" xfId="0" applyNumberForma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10" fontId="0" fillId="0" borderId="0" xfId="1" applyNumberFormat="1" applyFont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164" fontId="0" fillId="0" borderId="0" xfId="1" applyNumberFormat="1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10" fontId="0" fillId="0" borderId="0" xfId="1" applyNumberFormat="1" applyFont="1" applyFill="1"/>
    <xf numFmtId="10" fontId="1" fillId="4" borderId="2" xfId="1" applyNumberFormat="1" applyFont="1" applyFill="1" applyBorder="1"/>
    <xf numFmtId="0" fontId="0" fillId="0" borderId="5" xfId="0" applyFill="1" applyBorder="1" applyAlignment="1">
      <alignment horizontal="center"/>
    </xf>
    <xf numFmtId="10" fontId="1" fillId="0" borderId="2" xfId="0" applyNumberFormat="1" applyFont="1" applyBorder="1" applyAlignment="1">
      <alignment horizontal="center" vertical="center"/>
    </xf>
    <xf numFmtId="165" fontId="1" fillId="0" borderId="2" xfId="2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4"/>
  <sheetViews>
    <sheetView topLeftCell="A19" workbookViewId="0">
      <selection activeCell="A74" sqref="A74"/>
    </sheetView>
  </sheetViews>
  <sheetFormatPr defaultRowHeight="15" x14ac:dyDescent="0.25"/>
  <cols>
    <col min="2" max="2" width="8.85546875" customWidth="1"/>
    <col min="3" max="4" width="11.7109375" customWidth="1"/>
    <col min="5" max="5" width="15.5703125" customWidth="1"/>
    <col min="6" max="6" width="14.28515625" customWidth="1"/>
    <col min="7" max="7" width="19.85546875" customWidth="1"/>
    <col min="8" max="8" width="20.85546875" customWidth="1"/>
    <col min="9" max="15" width="12.7109375" customWidth="1"/>
  </cols>
  <sheetData>
    <row r="2" spans="1:9" ht="18.75" x14ac:dyDescent="0.3">
      <c r="C2" s="5" t="s">
        <v>45</v>
      </c>
      <c r="D2" s="5"/>
      <c r="E2" s="5"/>
      <c r="F2" s="5"/>
      <c r="G2" s="5"/>
    </row>
    <row r="3" spans="1:9" ht="18.75" x14ac:dyDescent="0.3">
      <c r="C3" s="5"/>
      <c r="D3" s="5"/>
      <c r="E3" s="5"/>
      <c r="F3" s="5"/>
      <c r="G3" s="5"/>
    </row>
    <row r="4" spans="1:9" ht="18.75" x14ac:dyDescent="0.3">
      <c r="B4" t="s">
        <v>46</v>
      </c>
      <c r="C4" s="5"/>
      <c r="D4" s="5"/>
      <c r="E4" s="5"/>
      <c r="F4" s="5"/>
      <c r="G4" s="5"/>
      <c r="H4" s="35">
        <v>0.18</v>
      </c>
    </row>
    <row r="5" spans="1:9" x14ac:dyDescent="0.25">
      <c r="B5" t="s">
        <v>47</v>
      </c>
      <c r="H5" s="35">
        <v>0.2</v>
      </c>
    </row>
    <row r="6" spans="1:9" x14ac:dyDescent="0.25">
      <c r="A6" s="54" t="s">
        <v>48</v>
      </c>
      <c r="B6" s="18" t="s">
        <v>50</v>
      </c>
      <c r="C6" s="19"/>
      <c r="D6" s="19"/>
      <c r="E6" s="19"/>
      <c r="F6" s="19"/>
      <c r="G6" s="20"/>
      <c r="H6" s="33">
        <v>41688000</v>
      </c>
    </row>
    <row r="7" spans="1:9" x14ac:dyDescent="0.25">
      <c r="A7" s="55"/>
      <c r="B7" s="21" t="s">
        <v>51</v>
      </c>
      <c r="C7" s="22"/>
      <c r="D7" s="22"/>
      <c r="E7" s="22"/>
      <c r="F7" s="22"/>
      <c r="G7" s="23"/>
      <c r="H7" s="36">
        <v>36</v>
      </c>
    </row>
    <row r="8" spans="1:9" x14ac:dyDescent="0.25">
      <c r="A8" s="55"/>
      <c r="B8" s="21" t="s">
        <v>52</v>
      </c>
      <c r="C8" s="22"/>
      <c r="D8" s="22"/>
      <c r="E8" s="22"/>
      <c r="F8" s="22"/>
      <c r="G8" s="23"/>
      <c r="H8" s="37">
        <v>0.11840000000000001</v>
      </c>
    </row>
    <row r="9" spans="1:9" x14ac:dyDescent="0.25">
      <c r="A9" s="55"/>
      <c r="B9" s="21" t="s">
        <v>53</v>
      </c>
      <c r="C9" s="22"/>
      <c r="D9" s="22"/>
      <c r="E9" s="22"/>
      <c r="F9" s="22"/>
      <c r="G9" s="23"/>
      <c r="H9" s="33">
        <v>1500</v>
      </c>
      <c r="I9" t="s">
        <v>55</v>
      </c>
    </row>
    <row r="10" spans="1:9" x14ac:dyDescent="0.25">
      <c r="A10" s="55"/>
      <c r="B10" s="21" t="s">
        <v>54</v>
      </c>
      <c r="C10" s="22"/>
      <c r="D10" s="22"/>
      <c r="E10" s="22"/>
      <c r="F10" s="22"/>
      <c r="G10" s="23"/>
      <c r="H10" s="46">
        <f>H6*(1-1/(1+$H$4))</f>
        <v>6359186.4406779632</v>
      </c>
    </row>
    <row r="11" spans="1:9" x14ac:dyDescent="0.25">
      <c r="A11" s="56"/>
      <c r="B11" s="24" t="s">
        <v>56</v>
      </c>
      <c r="C11" s="25"/>
      <c r="D11" s="25"/>
      <c r="E11" s="25"/>
      <c r="F11" s="25"/>
      <c r="G11" s="26"/>
      <c r="H11" s="38">
        <v>0.2</v>
      </c>
    </row>
    <row r="12" spans="1:9" x14ac:dyDescent="0.25">
      <c r="H12" s="4"/>
    </row>
    <row r="13" spans="1:9" hidden="1" x14ac:dyDescent="0.25">
      <c r="A13" s="54" t="s">
        <v>49</v>
      </c>
      <c r="B13" s="18" t="s">
        <v>57</v>
      </c>
      <c r="C13" s="19"/>
      <c r="D13" s="19"/>
      <c r="E13" s="19"/>
      <c r="F13" s="19"/>
      <c r="G13" s="20"/>
      <c r="H13" s="4"/>
    </row>
    <row r="14" spans="1:9" hidden="1" x14ac:dyDescent="0.25">
      <c r="A14" s="55"/>
      <c r="B14" s="21" t="s">
        <v>58</v>
      </c>
      <c r="C14" s="22"/>
      <c r="D14" s="22"/>
      <c r="E14" s="22"/>
      <c r="F14" s="22"/>
      <c r="G14" s="23"/>
      <c r="H14" s="4"/>
    </row>
    <row r="15" spans="1:9" hidden="1" x14ac:dyDescent="0.25">
      <c r="A15" s="55"/>
      <c r="B15" s="21" t="s">
        <v>59</v>
      </c>
      <c r="C15" s="22"/>
      <c r="D15" s="22"/>
      <c r="E15" s="22"/>
      <c r="F15" s="22"/>
      <c r="G15" s="23"/>
      <c r="H15" s="4">
        <f>H14*(1-1/(1+$H$4))</f>
        <v>0</v>
      </c>
    </row>
    <row r="16" spans="1:9" hidden="1" x14ac:dyDescent="0.25">
      <c r="A16" s="55"/>
      <c r="B16" s="21" t="s">
        <v>60</v>
      </c>
      <c r="C16" s="22"/>
      <c r="D16" s="22"/>
      <c r="E16" s="22"/>
      <c r="F16" s="22"/>
      <c r="G16" s="23"/>
      <c r="H16" s="34">
        <v>0.5</v>
      </c>
    </row>
    <row r="17" spans="1:14" ht="30" hidden="1" customHeight="1" x14ac:dyDescent="0.25">
      <c r="A17" s="55"/>
      <c r="B17" s="57" t="s">
        <v>61</v>
      </c>
      <c r="C17" s="58"/>
      <c r="D17" s="58"/>
      <c r="E17" s="58"/>
      <c r="F17" s="58"/>
      <c r="G17" s="59"/>
      <c r="H17" s="14">
        <f>IF((H6*$H$16-H14)*20%&gt;0,(H6*$H$16-H14)*20%,0)</f>
        <v>4168800</v>
      </c>
    </row>
    <row r="18" spans="1:14" hidden="1" x14ac:dyDescent="0.25">
      <c r="A18" s="56"/>
      <c r="B18" s="24" t="s">
        <v>62</v>
      </c>
      <c r="C18" s="25"/>
      <c r="D18" s="25"/>
      <c r="E18" s="25"/>
      <c r="F18" s="25"/>
      <c r="G18" s="26"/>
      <c r="H18" s="4">
        <f>H14-H15-H17</f>
        <v>-4168800</v>
      </c>
    </row>
    <row r="19" spans="1:14" x14ac:dyDescent="0.25">
      <c r="B19" s="45"/>
      <c r="C19" s="45"/>
      <c r="D19" s="45"/>
      <c r="E19" s="45"/>
      <c r="F19" s="45"/>
      <c r="G19" s="45"/>
    </row>
    <row r="20" spans="1:14" ht="30" customHeight="1" x14ac:dyDescent="0.25">
      <c r="G20" s="60" t="s">
        <v>63</v>
      </c>
      <c r="H20" s="61"/>
      <c r="I20" s="61"/>
      <c r="J20" s="62"/>
    </row>
    <row r="21" spans="1:14" x14ac:dyDescent="0.25">
      <c r="B21" s="2" t="s">
        <v>0</v>
      </c>
      <c r="C21" s="2" t="s">
        <v>64</v>
      </c>
      <c r="D21" s="2" t="s">
        <v>65</v>
      </c>
      <c r="E21" s="2" t="s">
        <v>66</v>
      </c>
      <c r="F21" s="2" t="s">
        <v>67</v>
      </c>
      <c r="G21" s="31" t="s">
        <v>29</v>
      </c>
      <c r="H21" s="31" t="s">
        <v>30</v>
      </c>
      <c r="I21" s="31" t="s">
        <v>31</v>
      </c>
      <c r="J21" s="31" t="s">
        <v>32</v>
      </c>
    </row>
    <row r="22" spans="1:14" x14ac:dyDescent="0.25">
      <c r="B22" s="1" t="s">
        <v>68</v>
      </c>
      <c r="C22" s="3">
        <f>DATE(2015,8,25)</f>
        <v>42241</v>
      </c>
      <c r="D22" s="4" t="s">
        <v>5</v>
      </c>
      <c r="E22" s="33">
        <f>H11*H6</f>
        <v>8337600</v>
      </c>
      <c r="F22" s="7">
        <f>E22*(1-1/(1+$H$4))</f>
        <v>1271837.2881355926</v>
      </c>
      <c r="G22" s="8">
        <f>E22-$H$6</f>
        <v>-33350400</v>
      </c>
      <c r="H22" s="8">
        <f>G23*B23</f>
        <v>1994256.27</v>
      </c>
      <c r="I22">
        <v>1</v>
      </c>
      <c r="J22" s="30">
        <f>POWER(I22,-12)-1</f>
        <v>0</v>
      </c>
      <c r="K22" s="8"/>
      <c r="L22" s="8"/>
      <c r="N22" s="30"/>
    </row>
    <row r="23" spans="1:14" x14ac:dyDescent="0.25">
      <c r="B23" s="2">
        <v>1</v>
      </c>
      <c r="C23" s="3">
        <f>DATE(2015,9,25)</f>
        <v>42272</v>
      </c>
      <c r="D23" s="4" t="s">
        <v>5</v>
      </c>
      <c r="E23" s="33">
        <v>1994256.27</v>
      </c>
      <c r="F23" s="7">
        <f t="shared" ref="F23:F58" si="0">E23*(1-1/(1+$H$4))</f>
        <v>304208.58355932188</v>
      </c>
      <c r="G23" s="8">
        <f>E23</f>
        <v>1994256.27</v>
      </c>
      <c r="H23" s="8">
        <f t="shared" ref="H23:H58" si="1">G24*B24</f>
        <v>388907.68067796528</v>
      </c>
      <c r="I23">
        <f>I22-SERIESSUM(I22,0,1,$G$22:$G$59)/SERIESSUM(I22,0,1,$H$22:$H$59)</f>
        <v>0.99135192447984644</v>
      </c>
      <c r="J23" s="30">
        <f t="shared" ref="J23:J57" si="2">POWER(I23,-12)-1</f>
        <v>0.10985374516594337</v>
      </c>
      <c r="K23" s="8"/>
      <c r="L23" s="8"/>
      <c r="N23" s="30"/>
    </row>
    <row r="24" spans="1:14" x14ac:dyDescent="0.25">
      <c r="B24" s="2">
        <v>2</v>
      </c>
      <c r="C24" s="3">
        <f>DATE(2015,10,25)</f>
        <v>42302</v>
      </c>
      <c r="D24" s="4" t="s">
        <v>5</v>
      </c>
      <c r="E24" s="33">
        <v>1945615.92</v>
      </c>
      <c r="F24" s="7">
        <f t="shared" si="0"/>
        <v>296788.8691525422</v>
      </c>
      <c r="G24" s="8">
        <f>E24-(E22-F22+E23-F23)*$H$5</f>
        <v>194453.84033898264</v>
      </c>
      <c r="H24" s="8">
        <f t="shared" si="1"/>
        <v>5694485.7299999995</v>
      </c>
      <c r="I24">
        <f t="shared" ref="I24:I57" si="3">I23-SERIESSUM(I23,0,1,$G$22:$G$59)/SERIESSUM(I23,0,1,$H$22:$H$59)</f>
        <v>0.99045674025077923</v>
      </c>
      <c r="J24" s="30">
        <f t="shared" si="2"/>
        <v>0.12195091847532602</v>
      </c>
      <c r="K24" s="8"/>
      <c r="L24" s="8"/>
      <c r="N24" s="30"/>
    </row>
    <row r="25" spans="1:14" x14ac:dyDescent="0.25">
      <c r="B25" s="2">
        <v>3</v>
      </c>
      <c r="C25" s="3">
        <f>DATE(2015,11,25)</f>
        <v>42333</v>
      </c>
      <c r="D25" s="4" t="s">
        <v>5</v>
      </c>
      <c r="E25" s="33">
        <v>1898161.91</v>
      </c>
      <c r="F25" s="7">
        <f t="shared" si="0"/>
        <v>289550.12186440662</v>
      </c>
      <c r="G25" s="8">
        <f>E25</f>
        <v>1898161.91</v>
      </c>
      <c r="H25" s="8">
        <f t="shared" si="1"/>
        <v>7407461.2800000003</v>
      </c>
      <c r="I25">
        <f t="shared" si="3"/>
        <v>0.99044829715775462</v>
      </c>
      <c r="J25" s="30">
        <f t="shared" si="2"/>
        <v>0.12206569292816227</v>
      </c>
      <c r="K25" s="8"/>
      <c r="L25" s="8"/>
      <c r="N25" s="30"/>
    </row>
    <row r="26" spans="1:14" x14ac:dyDescent="0.25">
      <c r="B26" s="2">
        <v>4</v>
      </c>
      <c r="C26" s="3">
        <f>DATE(2015,12,25)</f>
        <v>42363</v>
      </c>
      <c r="D26" s="4" t="s">
        <v>5</v>
      </c>
      <c r="E26" s="33">
        <v>1851865.32</v>
      </c>
      <c r="F26" s="7">
        <f t="shared" si="0"/>
        <v>282487.93016949139</v>
      </c>
      <c r="G26" s="8">
        <f>E26</f>
        <v>1851865.32</v>
      </c>
      <c r="H26" s="8">
        <f t="shared" si="1"/>
        <v>4206673.3711864389</v>
      </c>
      <c r="I26">
        <f t="shared" si="3"/>
        <v>0.99044829641720322</v>
      </c>
      <c r="J26" s="30">
        <f t="shared" si="2"/>
        <v>0.12206570299569242</v>
      </c>
      <c r="K26" s="8"/>
      <c r="L26" s="8"/>
      <c r="N26" s="30"/>
    </row>
    <row r="27" spans="1:14" x14ac:dyDescent="0.25">
      <c r="B27" s="2">
        <v>5</v>
      </c>
      <c r="C27" s="3">
        <f>DATE(2016,1,25)</f>
        <v>42394</v>
      </c>
      <c r="D27" s="4" t="s">
        <v>5</v>
      </c>
      <c r="E27" s="33">
        <v>1806697.92</v>
      </c>
      <c r="F27" s="7">
        <f t="shared" si="0"/>
        <v>275597.98779661005</v>
      </c>
      <c r="G27" s="8">
        <f>E27-(E24-F24+E25-F25+E26-F26)*$H$5</f>
        <v>841334.67423728772</v>
      </c>
      <c r="H27" s="8">
        <f t="shared" si="1"/>
        <v>10575792.959999999</v>
      </c>
      <c r="I27">
        <f t="shared" si="3"/>
        <v>0.99044829641720322</v>
      </c>
      <c r="J27" s="30">
        <f t="shared" si="2"/>
        <v>0.12206570299569242</v>
      </c>
      <c r="K27" s="8"/>
      <c r="L27" s="8"/>
      <c r="N27" s="30"/>
    </row>
    <row r="28" spans="1:14" x14ac:dyDescent="0.25">
      <c r="B28" s="2">
        <v>6</v>
      </c>
      <c r="C28" s="3">
        <f>DATE(2016,2,25)</f>
        <v>42425</v>
      </c>
      <c r="D28" s="4" t="s">
        <v>5</v>
      </c>
      <c r="E28" s="33">
        <v>1762632.16</v>
      </c>
      <c r="F28" s="7">
        <f t="shared" si="0"/>
        <v>268876.09220338968</v>
      </c>
      <c r="G28" s="8">
        <f>E28</f>
        <v>1762632.16</v>
      </c>
      <c r="H28" s="8">
        <f t="shared" si="1"/>
        <v>12037488.189999999</v>
      </c>
      <c r="I28">
        <f t="shared" si="3"/>
        <v>0.99044829641720322</v>
      </c>
      <c r="J28" s="30">
        <f t="shared" si="2"/>
        <v>0.12206570299569242</v>
      </c>
      <c r="K28" s="8"/>
      <c r="L28" s="8"/>
      <c r="N28" s="30"/>
    </row>
    <row r="29" spans="1:14" x14ac:dyDescent="0.25">
      <c r="B29" s="2">
        <v>7</v>
      </c>
      <c r="C29" s="3">
        <f>DATE(2016,3,25)</f>
        <v>42454</v>
      </c>
      <c r="D29" s="4" t="s">
        <v>5</v>
      </c>
      <c r="E29" s="33">
        <v>1719641.17</v>
      </c>
      <c r="F29" s="7">
        <f t="shared" si="0"/>
        <v>262318.14457627106</v>
      </c>
      <c r="G29" s="8">
        <f>E29</f>
        <v>1719641.17</v>
      </c>
      <c r="H29" s="8">
        <f t="shared" si="1"/>
        <v>6250103.479322033</v>
      </c>
      <c r="I29">
        <f t="shared" si="3"/>
        <v>0.99044829641720322</v>
      </c>
      <c r="J29" s="30">
        <f t="shared" si="2"/>
        <v>0.12206570299569242</v>
      </c>
      <c r="K29" s="8"/>
      <c r="L29" s="8"/>
      <c r="N29" s="30"/>
    </row>
    <row r="30" spans="1:14" x14ac:dyDescent="0.25">
      <c r="B30" s="2">
        <v>8</v>
      </c>
      <c r="C30" s="3">
        <f>DATE(2016,4,25)</f>
        <v>42485</v>
      </c>
      <c r="D30" s="4" t="s">
        <v>5</v>
      </c>
      <c r="E30" s="33">
        <v>1677698.74</v>
      </c>
      <c r="F30" s="7">
        <f t="shared" si="0"/>
        <v>255920.14677966089</v>
      </c>
      <c r="G30" s="8">
        <f>E30-(E27-F27+E28-F28+E29-F29)*$H$5</f>
        <v>781262.93491525413</v>
      </c>
      <c r="H30" s="8">
        <f t="shared" si="1"/>
        <v>14731013.700000001</v>
      </c>
      <c r="I30">
        <f t="shared" si="3"/>
        <v>0.99044829641720322</v>
      </c>
      <c r="J30" s="30">
        <f t="shared" si="2"/>
        <v>0.12206570299569242</v>
      </c>
      <c r="K30" s="8"/>
      <c r="L30" s="8"/>
      <c r="N30" s="30"/>
    </row>
    <row r="31" spans="1:14" x14ac:dyDescent="0.25">
      <c r="B31" s="2">
        <v>9</v>
      </c>
      <c r="C31" s="3">
        <f>DATE(2016,5,25)</f>
        <v>42515</v>
      </c>
      <c r="D31" s="4" t="s">
        <v>5</v>
      </c>
      <c r="E31" s="33">
        <v>1636779.3</v>
      </c>
      <c r="F31" s="7">
        <f t="shared" si="0"/>
        <v>249678.19830508463</v>
      </c>
      <c r="G31" s="8">
        <f>E31</f>
        <v>1636779.3</v>
      </c>
      <c r="H31" s="8">
        <f t="shared" si="1"/>
        <v>15968578.899999999</v>
      </c>
      <c r="I31">
        <f t="shared" si="3"/>
        <v>0.99044829641720322</v>
      </c>
      <c r="J31" s="30">
        <f t="shared" si="2"/>
        <v>0.12206570299569242</v>
      </c>
      <c r="K31" s="8"/>
      <c r="L31" s="8"/>
      <c r="N31" s="30"/>
    </row>
    <row r="32" spans="1:14" x14ac:dyDescent="0.25">
      <c r="B32" s="2">
        <v>10</v>
      </c>
      <c r="C32" s="3">
        <f>DATE(2016,6,25)</f>
        <v>42546</v>
      </c>
      <c r="D32" s="4" t="s">
        <v>5</v>
      </c>
      <c r="E32" s="33">
        <v>1596857.89</v>
      </c>
      <c r="F32" s="7">
        <f t="shared" si="0"/>
        <v>243588.49169491511</v>
      </c>
      <c r="G32" s="8">
        <f>E32</f>
        <v>1596857.89</v>
      </c>
      <c r="H32" s="8">
        <f t="shared" si="1"/>
        <v>7980283.8649152527</v>
      </c>
      <c r="I32">
        <f t="shared" si="3"/>
        <v>0.99044829641720322</v>
      </c>
      <c r="J32" s="30">
        <f t="shared" si="2"/>
        <v>0.12206570299569242</v>
      </c>
      <c r="K32" s="8"/>
      <c r="L32" s="8"/>
      <c r="N32" s="30"/>
    </row>
    <row r="33" spans="2:14" x14ac:dyDescent="0.25">
      <c r="B33" s="2">
        <v>11</v>
      </c>
      <c r="C33" s="3">
        <f>DATE(2016,7,25)</f>
        <v>42576</v>
      </c>
      <c r="D33" s="4" t="s">
        <v>5</v>
      </c>
      <c r="E33" s="33">
        <v>1557910.17</v>
      </c>
      <c r="F33" s="7">
        <f t="shared" si="0"/>
        <v>237647.31406779648</v>
      </c>
      <c r="G33" s="8">
        <f>E33-(E30-F30+E31-F31+E32-F32)*$H$5</f>
        <v>725480.35135593207</v>
      </c>
      <c r="H33" s="8">
        <f t="shared" si="1"/>
        <v>18238948.799999997</v>
      </c>
      <c r="I33">
        <f t="shared" si="3"/>
        <v>0.99044829641720322</v>
      </c>
      <c r="J33" s="30">
        <f t="shared" si="2"/>
        <v>0.12206570299569242</v>
      </c>
      <c r="K33" s="8"/>
      <c r="L33" s="8"/>
      <c r="N33" s="30"/>
    </row>
    <row r="34" spans="2:14" x14ac:dyDescent="0.25">
      <c r="B34" s="2">
        <v>12</v>
      </c>
      <c r="C34" s="3">
        <f>DATE(2016,8,25)</f>
        <v>42607</v>
      </c>
      <c r="D34" s="4" t="s">
        <v>5</v>
      </c>
      <c r="E34" s="33">
        <v>1519912.4</v>
      </c>
      <c r="F34" s="7">
        <f t="shared" si="0"/>
        <v>231851.04406779649</v>
      </c>
      <c r="G34" s="8">
        <f>E34</f>
        <v>1519912.4</v>
      </c>
      <c r="H34" s="8">
        <f t="shared" si="1"/>
        <v>19276938.199999999</v>
      </c>
      <c r="I34">
        <f t="shared" si="3"/>
        <v>0.99044829641720322</v>
      </c>
      <c r="J34" s="30">
        <f t="shared" si="2"/>
        <v>0.12206570299569242</v>
      </c>
      <c r="K34" s="8"/>
      <c r="L34" s="8"/>
      <c r="N34" s="30"/>
    </row>
    <row r="35" spans="2:14" x14ac:dyDescent="0.25">
      <c r="B35" s="2">
        <v>13</v>
      </c>
      <c r="C35" s="3">
        <f>DATE(2016,9,25)</f>
        <v>42638</v>
      </c>
      <c r="D35" s="4" t="s">
        <v>5</v>
      </c>
      <c r="E35" s="33">
        <v>1482841.4</v>
      </c>
      <c r="F35" s="7">
        <f t="shared" si="0"/>
        <v>226196.14576271173</v>
      </c>
      <c r="G35" s="8">
        <f>E35</f>
        <v>1482841.4</v>
      </c>
      <c r="H35" s="8">
        <f t="shared" si="1"/>
        <v>9431529.474915253</v>
      </c>
      <c r="I35">
        <f t="shared" si="3"/>
        <v>0.99044829641720322</v>
      </c>
      <c r="J35" s="30">
        <f t="shared" si="2"/>
        <v>0.12206570299569242</v>
      </c>
      <c r="K35" s="8"/>
      <c r="L35" s="8"/>
      <c r="N35" s="30"/>
    </row>
    <row r="36" spans="2:14" x14ac:dyDescent="0.25">
      <c r="B36" s="2">
        <v>14</v>
      </c>
      <c r="C36" s="3">
        <f>DATE(2016,10,25)</f>
        <v>42668</v>
      </c>
      <c r="D36" s="4" t="s">
        <v>5</v>
      </c>
      <c r="E36" s="33">
        <v>1446674.57</v>
      </c>
      <c r="F36" s="7">
        <f t="shared" si="0"/>
        <v>220679.17169491516</v>
      </c>
      <c r="G36" s="8">
        <f>E36-(E33-F33+E34-F34+E35-F35)*$H$5</f>
        <v>673680.67677966098</v>
      </c>
      <c r="H36" s="8">
        <f t="shared" si="1"/>
        <v>21170847.900000002</v>
      </c>
      <c r="I36">
        <f t="shared" si="3"/>
        <v>0.99044829641720322</v>
      </c>
      <c r="J36" s="30">
        <f t="shared" si="2"/>
        <v>0.12206570299569242</v>
      </c>
      <c r="K36" s="8"/>
      <c r="L36" s="8"/>
      <c r="N36" s="30"/>
    </row>
    <row r="37" spans="2:14" x14ac:dyDescent="0.25">
      <c r="B37" s="2">
        <v>15</v>
      </c>
      <c r="C37" s="3">
        <f>DATE(2016,11,25)</f>
        <v>42699</v>
      </c>
      <c r="D37" s="4" t="s">
        <v>5</v>
      </c>
      <c r="E37" s="33">
        <v>1411389.86</v>
      </c>
      <c r="F37" s="7">
        <f t="shared" si="0"/>
        <v>215296.75830508466</v>
      </c>
      <c r="G37" s="8">
        <f>E37</f>
        <v>1411389.86</v>
      </c>
      <c r="H37" s="8">
        <f t="shared" si="1"/>
        <v>22031451.84</v>
      </c>
      <c r="I37">
        <f t="shared" si="3"/>
        <v>0.99044829641720322</v>
      </c>
      <c r="J37" s="30">
        <f t="shared" si="2"/>
        <v>0.12206570299569242</v>
      </c>
      <c r="K37" s="8"/>
      <c r="L37" s="8"/>
      <c r="N37" s="30"/>
    </row>
    <row r="38" spans="2:14" x14ac:dyDescent="0.25">
      <c r="B38" s="2">
        <v>16</v>
      </c>
      <c r="C38" s="3">
        <f>DATE(2016,12,25)</f>
        <v>42729</v>
      </c>
      <c r="D38" s="4" t="s">
        <v>5</v>
      </c>
      <c r="E38" s="33">
        <v>1376965.74</v>
      </c>
      <c r="F38" s="7">
        <f t="shared" si="0"/>
        <v>210045.62135593209</v>
      </c>
      <c r="G38" s="8">
        <f>E38</f>
        <v>1376965.74</v>
      </c>
      <c r="H38" s="8">
        <f t="shared" si="1"/>
        <v>10634851.946610168</v>
      </c>
      <c r="I38">
        <f t="shared" si="3"/>
        <v>0.99044829641720322</v>
      </c>
      <c r="J38" s="30">
        <f t="shared" si="2"/>
        <v>0.12206570299569242</v>
      </c>
      <c r="K38" s="8"/>
      <c r="L38" s="8"/>
      <c r="N38" s="30"/>
    </row>
    <row r="39" spans="2:14" x14ac:dyDescent="0.25">
      <c r="B39" s="2">
        <v>17</v>
      </c>
      <c r="C39" s="3">
        <f>DATE(2017,1,25)</f>
        <v>42760</v>
      </c>
      <c r="D39" s="4" t="s">
        <v>5</v>
      </c>
      <c r="E39" s="33">
        <v>1343381.25</v>
      </c>
      <c r="F39" s="7">
        <f t="shared" si="0"/>
        <v>204922.56355932195</v>
      </c>
      <c r="G39" s="8">
        <f>E39-(E36-F36+E37-F37+E38-F38)*$H$5</f>
        <v>625579.5262711863</v>
      </c>
      <c r="H39" s="8">
        <f t="shared" si="1"/>
        <v>23591085.839999996</v>
      </c>
      <c r="I39">
        <f t="shared" si="3"/>
        <v>0.99044829641720322</v>
      </c>
      <c r="J39" s="30">
        <f t="shared" si="2"/>
        <v>0.12206570299569242</v>
      </c>
      <c r="K39" s="8"/>
      <c r="L39" s="8"/>
      <c r="N39" s="30"/>
    </row>
    <row r="40" spans="2:14" x14ac:dyDescent="0.25">
      <c r="B40" s="2">
        <v>18</v>
      </c>
      <c r="C40" s="3">
        <f>DATE(2017,2,25)</f>
        <v>42791</v>
      </c>
      <c r="D40" s="4" t="s">
        <v>5</v>
      </c>
      <c r="E40" s="33">
        <v>1310615.8799999999</v>
      </c>
      <c r="F40" s="7">
        <f t="shared" si="0"/>
        <v>199924.45627118633</v>
      </c>
      <c r="G40" s="8">
        <f>E40</f>
        <v>1310615.8799999999</v>
      </c>
      <c r="H40" s="8">
        <f t="shared" si="1"/>
        <v>24294343.729999997</v>
      </c>
      <c r="I40">
        <f t="shared" si="3"/>
        <v>0.99044829641720322</v>
      </c>
      <c r="J40" s="30">
        <f t="shared" si="2"/>
        <v>0.12206570299569242</v>
      </c>
      <c r="K40" s="8"/>
      <c r="L40" s="8"/>
      <c r="N40" s="30"/>
    </row>
    <row r="41" spans="2:14" x14ac:dyDescent="0.25">
      <c r="B41" s="2">
        <v>19</v>
      </c>
      <c r="C41" s="3">
        <f>DATE(2017,3,25)</f>
        <v>42819</v>
      </c>
      <c r="D41" s="4" t="s">
        <v>5</v>
      </c>
      <c r="E41" s="33">
        <v>1278649.67</v>
      </c>
      <c r="F41" s="7">
        <f t="shared" si="0"/>
        <v>195048.25474576262</v>
      </c>
      <c r="G41" s="8">
        <f>E41</f>
        <v>1278649.67</v>
      </c>
      <c r="H41" s="8">
        <f t="shared" si="1"/>
        <v>11618256.298305085</v>
      </c>
      <c r="I41">
        <f t="shared" si="3"/>
        <v>0.99044829641720322</v>
      </c>
      <c r="J41" s="30">
        <f t="shared" si="2"/>
        <v>0.12206570299569242</v>
      </c>
      <c r="K41" s="8"/>
      <c r="L41" s="8"/>
      <c r="N41" s="30"/>
    </row>
    <row r="42" spans="2:14" x14ac:dyDescent="0.25">
      <c r="B42" s="2">
        <v>20</v>
      </c>
      <c r="C42" s="3">
        <f>DATE(2017,4,25)</f>
        <v>42850</v>
      </c>
      <c r="D42" s="4" t="s">
        <v>5</v>
      </c>
      <c r="E42" s="33">
        <v>1247463.1200000001</v>
      </c>
      <c r="F42" s="7">
        <f t="shared" si="0"/>
        <v>190290.98440677958</v>
      </c>
      <c r="G42" s="8">
        <f>E42-(E39-F39+E40-F40+E41-F41)*$H$5</f>
        <v>580912.81491525425</v>
      </c>
      <c r="H42" s="8">
        <f t="shared" si="1"/>
        <v>25557781.620000001</v>
      </c>
      <c r="I42">
        <f t="shared" si="3"/>
        <v>0.99044829641720322</v>
      </c>
      <c r="J42" s="30">
        <f t="shared" si="2"/>
        <v>0.12206570299569242</v>
      </c>
      <c r="K42" s="8"/>
      <c r="L42" s="8"/>
      <c r="N42" s="30"/>
    </row>
    <row r="43" spans="2:14" x14ac:dyDescent="0.25">
      <c r="B43" s="2">
        <v>21</v>
      </c>
      <c r="C43" s="3">
        <f>DATE(2017,5,25)</f>
        <v>42880</v>
      </c>
      <c r="D43" s="4" t="s">
        <v>5</v>
      </c>
      <c r="E43" s="33">
        <v>1217037.22</v>
      </c>
      <c r="F43" s="7">
        <f t="shared" si="0"/>
        <v>185649.74542372872</v>
      </c>
      <c r="G43" s="8">
        <f>E43</f>
        <v>1217037.22</v>
      </c>
      <c r="H43" s="8">
        <f t="shared" si="1"/>
        <v>26121775.02</v>
      </c>
      <c r="I43">
        <f t="shared" si="3"/>
        <v>0.99044829641720322</v>
      </c>
      <c r="J43" s="30">
        <f t="shared" si="2"/>
        <v>0.12206570299569242</v>
      </c>
      <c r="K43" s="8"/>
      <c r="L43" s="8"/>
      <c r="N43" s="30"/>
    </row>
    <row r="44" spans="2:14" x14ac:dyDescent="0.25">
      <c r="B44" s="2">
        <v>22</v>
      </c>
      <c r="C44" s="3">
        <f>DATE(2017,6,25)</f>
        <v>42911</v>
      </c>
      <c r="D44" s="4" t="s">
        <v>5</v>
      </c>
      <c r="E44" s="33">
        <v>1187353.4099999999</v>
      </c>
      <c r="F44" s="7">
        <f t="shared" si="0"/>
        <v>181121.70661016938</v>
      </c>
      <c r="G44" s="8">
        <f>E44</f>
        <v>1187353.4099999999</v>
      </c>
      <c r="H44" s="8">
        <f t="shared" si="1"/>
        <v>12407012.757627118</v>
      </c>
      <c r="I44">
        <f t="shared" si="3"/>
        <v>0.99044829641720322</v>
      </c>
      <c r="J44" s="30">
        <f t="shared" si="2"/>
        <v>0.12206570299569242</v>
      </c>
      <c r="K44" s="8"/>
      <c r="L44" s="8"/>
      <c r="N44" s="30"/>
    </row>
    <row r="45" spans="2:14" x14ac:dyDescent="0.25">
      <c r="B45" s="2">
        <v>23</v>
      </c>
      <c r="C45" s="3">
        <f>DATE(2017,7,25)</f>
        <v>42941</v>
      </c>
      <c r="D45" s="4" t="s">
        <v>5</v>
      </c>
      <c r="E45" s="33">
        <v>1158393.6000000001</v>
      </c>
      <c r="F45" s="7">
        <f t="shared" si="0"/>
        <v>176704.10847457621</v>
      </c>
      <c r="G45" s="8">
        <f>E45-(E42-F42+E43-F43+E44-F44)*$H$5</f>
        <v>539435.33728813555</v>
      </c>
      <c r="H45" s="8">
        <f t="shared" si="1"/>
        <v>27123362.880000003</v>
      </c>
      <c r="I45">
        <f t="shared" si="3"/>
        <v>0.99044829641720322</v>
      </c>
      <c r="J45" s="30">
        <f t="shared" si="2"/>
        <v>0.12206570299569242</v>
      </c>
      <c r="K45" s="8"/>
      <c r="L45" s="8"/>
      <c r="N45" s="30"/>
    </row>
    <row r="46" spans="2:14" x14ac:dyDescent="0.25">
      <c r="B46" s="2">
        <v>24</v>
      </c>
      <c r="C46" s="3">
        <f>DATE(2017,8,25)</f>
        <v>42972</v>
      </c>
      <c r="D46" s="4" t="s">
        <v>5</v>
      </c>
      <c r="E46" s="33">
        <v>1130140.1200000001</v>
      </c>
      <c r="F46" s="7">
        <f t="shared" si="0"/>
        <v>172394.25559322027</v>
      </c>
      <c r="G46" s="8">
        <f>E46</f>
        <v>1130140.1200000001</v>
      </c>
      <c r="H46" s="8">
        <f t="shared" si="1"/>
        <v>27564394</v>
      </c>
      <c r="I46">
        <f t="shared" si="3"/>
        <v>0.99044829641720322</v>
      </c>
      <c r="J46" s="30">
        <f t="shared" si="2"/>
        <v>0.12206570299569242</v>
      </c>
      <c r="K46" s="8"/>
      <c r="L46" s="8"/>
      <c r="N46" s="30"/>
    </row>
    <row r="47" spans="2:14" x14ac:dyDescent="0.25">
      <c r="B47" s="2">
        <v>25</v>
      </c>
      <c r="C47" s="3">
        <f>DATE(2017,9,25)</f>
        <v>43003</v>
      </c>
      <c r="D47" s="4" t="s">
        <v>5</v>
      </c>
      <c r="E47" s="33">
        <v>1102575.76</v>
      </c>
      <c r="F47" s="7">
        <f t="shared" si="0"/>
        <v>168189.52271186432</v>
      </c>
      <c r="G47" s="8">
        <f>E47</f>
        <v>1102575.76</v>
      </c>
      <c r="H47" s="8">
        <f t="shared" si="1"/>
        <v>13023903.655254232</v>
      </c>
      <c r="I47">
        <f t="shared" si="3"/>
        <v>0.99044829641720322</v>
      </c>
      <c r="J47" s="30">
        <f t="shared" si="2"/>
        <v>0.12206570299569242</v>
      </c>
      <c r="K47" s="8"/>
      <c r="L47" s="8"/>
      <c r="N47" s="30"/>
    </row>
    <row r="48" spans="2:14" x14ac:dyDescent="0.25">
      <c r="B48" s="2">
        <v>26</v>
      </c>
      <c r="C48" s="3">
        <f>DATE(2017,10,25)</f>
        <v>43033</v>
      </c>
      <c r="D48" s="4" t="s">
        <v>5</v>
      </c>
      <c r="E48" s="33">
        <v>1075683.69</v>
      </c>
      <c r="F48" s="7">
        <f t="shared" si="0"/>
        <v>164087.34254237279</v>
      </c>
      <c r="G48" s="8">
        <f>E48-(E45-F45+E46-F46+E47-F47)*$H$5</f>
        <v>500919.37135593197</v>
      </c>
      <c r="H48" s="8">
        <f t="shared" si="1"/>
        <v>28335083.310000002</v>
      </c>
      <c r="I48">
        <f t="shared" si="3"/>
        <v>0.99044829641720322</v>
      </c>
      <c r="J48" s="30">
        <f t="shared" si="2"/>
        <v>0.12206570299569242</v>
      </c>
      <c r="K48" s="8"/>
      <c r="L48" s="8"/>
      <c r="N48" s="30"/>
    </row>
    <row r="49" spans="1:14" x14ac:dyDescent="0.25">
      <c r="B49" s="2">
        <v>27</v>
      </c>
      <c r="C49" s="3">
        <f>DATE(2017,11,25)</f>
        <v>43064</v>
      </c>
      <c r="D49" s="4" t="s">
        <v>5</v>
      </c>
      <c r="E49" s="33">
        <v>1049447.53</v>
      </c>
      <c r="F49" s="7">
        <f t="shared" si="0"/>
        <v>160085.2164406779</v>
      </c>
      <c r="G49" s="8">
        <f>E49</f>
        <v>1049447.53</v>
      </c>
      <c r="H49" s="8">
        <f t="shared" si="1"/>
        <v>28667835.560000002</v>
      </c>
      <c r="I49">
        <f t="shared" si="3"/>
        <v>0.99044829641720322</v>
      </c>
      <c r="J49" s="30">
        <f t="shared" si="2"/>
        <v>0.12206570299569242</v>
      </c>
      <c r="K49" s="8"/>
      <c r="L49" s="8"/>
      <c r="N49" s="30"/>
    </row>
    <row r="50" spans="1:14" x14ac:dyDescent="0.25">
      <c r="B50" s="2">
        <v>28</v>
      </c>
      <c r="C50" s="3">
        <f>DATE(2017,12,25)</f>
        <v>43094</v>
      </c>
      <c r="D50" s="4" t="s">
        <v>5</v>
      </c>
      <c r="E50" s="33">
        <v>1023851.27</v>
      </c>
      <c r="F50" s="7">
        <f t="shared" si="0"/>
        <v>156180.70220338975</v>
      </c>
      <c r="G50" s="8">
        <f>E50</f>
        <v>1023851.27</v>
      </c>
      <c r="H50" s="8">
        <f t="shared" si="1"/>
        <v>13489450.462881358</v>
      </c>
      <c r="I50">
        <f t="shared" si="3"/>
        <v>0.99044829641720322</v>
      </c>
      <c r="J50" s="30">
        <f t="shared" si="2"/>
        <v>0.12206570299569242</v>
      </c>
      <c r="K50" s="8"/>
      <c r="L50" s="8"/>
      <c r="N50" s="30"/>
    </row>
    <row r="51" spans="1:14" x14ac:dyDescent="0.25">
      <c r="B51" s="2">
        <v>29</v>
      </c>
      <c r="C51" s="3">
        <f>DATE(2018,1,25)</f>
        <v>43125</v>
      </c>
      <c r="D51" s="4" t="s">
        <v>5</v>
      </c>
      <c r="E51" s="33">
        <v>998879.31</v>
      </c>
      <c r="F51" s="7">
        <f t="shared" si="0"/>
        <v>152371.42016949147</v>
      </c>
      <c r="G51" s="8">
        <f>E51-(E48-F48+E49-F49+E50-F50)*$H$5</f>
        <v>465153.46423728822</v>
      </c>
      <c r="H51" s="8">
        <f t="shared" si="1"/>
        <v>29235492.600000001</v>
      </c>
      <c r="I51">
        <f t="shared" si="3"/>
        <v>0.99044829641720322</v>
      </c>
      <c r="J51" s="30">
        <f t="shared" si="2"/>
        <v>0.12206570299569242</v>
      </c>
      <c r="K51" s="8"/>
      <c r="L51" s="8"/>
      <c r="N51" s="30"/>
    </row>
    <row r="52" spans="1:14" x14ac:dyDescent="0.25">
      <c r="B52" s="2">
        <v>30</v>
      </c>
      <c r="C52" s="3">
        <f>DATE(2018,2,25)</f>
        <v>43156</v>
      </c>
      <c r="D52" s="4" t="s">
        <v>5</v>
      </c>
      <c r="E52" s="33">
        <v>974516.42</v>
      </c>
      <c r="F52" s="7">
        <f t="shared" si="0"/>
        <v>148655.047118644</v>
      </c>
      <c r="G52" s="8">
        <f>E52</f>
        <v>974516.42</v>
      </c>
      <c r="H52" s="8">
        <f t="shared" si="1"/>
        <v>29473180.25</v>
      </c>
      <c r="I52">
        <f t="shared" si="3"/>
        <v>0.99044829641720322</v>
      </c>
      <c r="J52" s="30">
        <f t="shared" si="2"/>
        <v>0.12206570299569242</v>
      </c>
      <c r="K52" s="8"/>
      <c r="L52" s="8"/>
      <c r="N52" s="30"/>
    </row>
    <row r="53" spans="1:14" x14ac:dyDescent="0.25">
      <c r="B53" s="2">
        <v>31</v>
      </c>
      <c r="C53" s="3">
        <f>DATE(2018,3,25)</f>
        <v>43184</v>
      </c>
      <c r="D53" s="4" t="s">
        <v>5</v>
      </c>
      <c r="E53" s="33">
        <v>950747.75</v>
      </c>
      <c r="F53" s="7">
        <f t="shared" si="0"/>
        <v>145029.31779661009</v>
      </c>
      <c r="G53" s="8">
        <f>E53</f>
        <v>950747.75</v>
      </c>
      <c r="H53" s="8">
        <f t="shared" si="1"/>
        <v>13822120.352542371</v>
      </c>
      <c r="I53">
        <f t="shared" si="3"/>
        <v>0.99044829641720322</v>
      </c>
      <c r="J53" s="30">
        <f t="shared" si="2"/>
        <v>0.12206570299569242</v>
      </c>
      <c r="K53" s="8"/>
      <c r="L53" s="8"/>
      <c r="N53" s="30"/>
    </row>
    <row r="54" spans="1:14" x14ac:dyDescent="0.25">
      <c r="B54" s="2">
        <v>32</v>
      </c>
      <c r="C54" s="3">
        <f>DATE(2018,4,25)</f>
        <v>43215</v>
      </c>
      <c r="D54" s="4" t="s">
        <v>5</v>
      </c>
      <c r="E54" s="33">
        <v>927558.8</v>
      </c>
      <c r="F54" s="7">
        <f t="shared" si="0"/>
        <v>141492.02033898298</v>
      </c>
      <c r="G54" s="8">
        <f>E54-(E51-F51+E52-F52+E53-F53)*$H$5</f>
        <v>431941.26101694908</v>
      </c>
      <c r="H54" s="8">
        <f t="shared" si="1"/>
        <v>29862869.52</v>
      </c>
      <c r="I54">
        <f t="shared" si="3"/>
        <v>0.99044829641720322</v>
      </c>
      <c r="J54" s="30">
        <f t="shared" si="2"/>
        <v>0.12206570299569242</v>
      </c>
      <c r="K54" s="8"/>
      <c r="L54" s="8"/>
      <c r="N54" s="30"/>
    </row>
    <row r="55" spans="1:14" x14ac:dyDescent="0.25">
      <c r="B55" s="2">
        <v>33</v>
      </c>
      <c r="C55" s="3">
        <f>DATE(2018,5,25)</f>
        <v>43245</v>
      </c>
      <c r="D55" s="4" t="s">
        <v>5</v>
      </c>
      <c r="E55" s="33">
        <v>904935.44</v>
      </c>
      <c r="F55" s="7">
        <f t="shared" si="0"/>
        <v>138040.99932203384</v>
      </c>
      <c r="G55" s="8">
        <f>E55</f>
        <v>904935.44</v>
      </c>
      <c r="H55" s="8">
        <f t="shared" si="1"/>
        <v>30017371.239999998</v>
      </c>
      <c r="I55">
        <f t="shared" si="3"/>
        <v>0.99044829641720322</v>
      </c>
      <c r="J55" s="30">
        <f t="shared" si="2"/>
        <v>0.12206570299569242</v>
      </c>
      <c r="K55" s="8"/>
      <c r="L55" s="8"/>
      <c r="N55" s="30"/>
    </row>
    <row r="56" spans="1:14" x14ac:dyDescent="0.25">
      <c r="B56" s="2">
        <v>34</v>
      </c>
      <c r="C56" s="3">
        <f>DATE(2018,6,25)</f>
        <v>43276</v>
      </c>
      <c r="D56" s="4" t="s">
        <v>5</v>
      </c>
      <c r="E56" s="33">
        <v>882863.86</v>
      </c>
      <c r="F56" s="7">
        <f t="shared" si="0"/>
        <v>134674.14813559316</v>
      </c>
      <c r="G56" s="8">
        <f>E56</f>
        <v>882863.86</v>
      </c>
      <c r="H56" s="8">
        <f t="shared" si="1"/>
        <v>14038515.174576271</v>
      </c>
      <c r="I56">
        <f t="shared" si="3"/>
        <v>0.99044829641720322</v>
      </c>
      <c r="J56" s="30">
        <f t="shared" si="2"/>
        <v>0.12206570299569242</v>
      </c>
      <c r="K56" s="8"/>
      <c r="L56" s="8"/>
      <c r="N56" s="30"/>
    </row>
    <row r="57" spans="1:14" x14ac:dyDescent="0.25">
      <c r="B57" s="2">
        <v>35</v>
      </c>
      <c r="C57" s="3">
        <f>DATE(2018,7,25)</f>
        <v>43306</v>
      </c>
      <c r="D57" s="4" t="s">
        <v>5</v>
      </c>
      <c r="E57" s="33">
        <v>861330.62</v>
      </c>
      <c r="F57" s="7">
        <f t="shared" si="0"/>
        <v>131389.41661016943</v>
      </c>
      <c r="G57" s="8">
        <f>E57-(E54-F54+E55-F55+E56-F56)*$H$5</f>
        <v>401100.43355932203</v>
      </c>
      <c r="H57" s="8">
        <f t="shared" si="1"/>
        <v>25124220.567457624</v>
      </c>
      <c r="I57">
        <f t="shared" si="3"/>
        <v>0.99044829641720322</v>
      </c>
      <c r="J57" s="30">
        <f t="shared" si="2"/>
        <v>0.12206570299569242</v>
      </c>
      <c r="K57" s="8"/>
      <c r="L57" s="8"/>
      <c r="N57" s="30"/>
    </row>
    <row r="58" spans="1:14" x14ac:dyDescent="0.25">
      <c r="B58" s="2">
        <v>36</v>
      </c>
      <c r="C58" s="3">
        <f>DATE(2018,8,25)</f>
        <v>43337</v>
      </c>
      <c r="D58" s="4" t="s">
        <v>5</v>
      </c>
      <c r="E58" s="33">
        <v>840322.57</v>
      </c>
      <c r="F58" s="7">
        <f t="shared" si="0"/>
        <v>128184.79881355925</v>
      </c>
      <c r="G58" s="8">
        <f t="shared" ref="G58" si="4">E58-(E58-F58)*$H$5</f>
        <v>697895.01576271176</v>
      </c>
      <c r="H58" s="8">
        <f t="shared" si="1"/>
        <v>55500</v>
      </c>
      <c r="I58">
        <f t="shared" ref="I58" si="5">I57-SERIESSUM(I57,0,1,$G$22:$G$59)/SERIESSUM(I57,0,1,$H$22:$H$59)</f>
        <v>0.99044829641720322</v>
      </c>
      <c r="J58" s="30">
        <f t="shared" ref="J58" si="6">POWER(I58,-12)-1</f>
        <v>0.12206570299569242</v>
      </c>
      <c r="K58" s="8"/>
      <c r="L58" s="8"/>
      <c r="N58" s="30"/>
    </row>
    <row r="59" spans="1:14" x14ac:dyDescent="0.25">
      <c r="B59" s="49">
        <v>37</v>
      </c>
      <c r="E59" s="1" t="s">
        <v>66</v>
      </c>
      <c r="F59" s="1" t="s">
        <v>67</v>
      </c>
      <c r="G59" s="8">
        <f>H9</f>
        <v>1500</v>
      </c>
      <c r="J59" s="30"/>
    </row>
    <row r="60" spans="1:14" x14ac:dyDescent="0.25">
      <c r="B60" s="1" t="s">
        <v>69</v>
      </c>
      <c r="C60" s="1"/>
      <c r="D60" s="1"/>
      <c r="E60" s="7">
        <f>SUM(E23:E58)+E22</f>
        <v>56489248.029999994</v>
      </c>
      <c r="F60" s="7">
        <f>SUM(F23:F58)</f>
        <v>7345166.6486440646</v>
      </c>
    </row>
    <row r="61" spans="1:14" ht="15.75" thickBot="1" x14ac:dyDescent="0.3"/>
    <row r="62" spans="1:14" ht="16.5" thickBot="1" x14ac:dyDescent="0.3">
      <c r="B62" t="s">
        <v>70</v>
      </c>
      <c r="F62" s="8"/>
      <c r="G62" s="12">
        <f>H8</f>
        <v>0.11840000000000001</v>
      </c>
    </row>
    <row r="64" spans="1:14" ht="18.75" x14ac:dyDescent="0.3">
      <c r="A64" s="5" t="s">
        <v>40</v>
      </c>
    </row>
    <row r="65" spans="1:9" x14ac:dyDescent="0.25">
      <c r="A65" s="11" t="s">
        <v>71</v>
      </c>
    </row>
    <row r="66" spans="1:9" x14ac:dyDescent="0.25">
      <c r="B66" t="s">
        <v>72</v>
      </c>
      <c r="G66" s="8">
        <f>H6-E22</f>
        <v>33350400</v>
      </c>
    </row>
    <row r="67" spans="1:9" x14ac:dyDescent="0.25">
      <c r="B67" t="s">
        <v>73</v>
      </c>
      <c r="G67" s="8">
        <f>E60-H6</f>
        <v>14801248.029999994</v>
      </c>
    </row>
    <row r="68" spans="1:9" x14ac:dyDescent="0.25">
      <c r="B68" t="s">
        <v>74</v>
      </c>
      <c r="G68" s="10">
        <f>(G67/H6)/($H$7/12)</f>
        <v>0.11834938935265139</v>
      </c>
    </row>
    <row r="69" spans="1:9" ht="15.75" thickBot="1" x14ac:dyDescent="0.3">
      <c r="B69" t="s">
        <v>75</v>
      </c>
      <c r="G69" s="10">
        <f>(G67/G66)/($H$7/12)</f>
        <v>0.14793673669081422</v>
      </c>
    </row>
    <row r="70" spans="1:9" ht="19.5" thickBot="1" x14ac:dyDescent="0.35">
      <c r="B70" t="s">
        <v>76</v>
      </c>
      <c r="G70" s="15">
        <f>EFFECT(G69,12)</f>
        <v>0.15839135068400623</v>
      </c>
    </row>
    <row r="71" spans="1:9" ht="15.75" thickBot="1" x14ac:dyDescent="0.3">
      <c r="A71" s="11" t="s">
        <v>77</v>
      </c>
      <c r="B71" s="27"/>
      <c r="C71" s="27"/>
      <c r="D71" s="27"/>
      <c r="E71" s="27"/>
      <c r="F71" s="27"/>
      <c r="G71" s="28"/>
      <c r="H71" s="29"/>
      <c r="I71" s="27"/>
    </row>
    <row r="72" spans="1:9" ht="19.5" thickBot="1" x14ac:dyDescent="0.35">
      <c r="A72" s="11"/>
      <c r="B72" s="27"/>
      <c r="C72" s="27"/>
      <c r="D72" s="27"/>
      <c r="E72" s="27"/>
      <c r="F72" s="27"/>
      <c r="G72" s="15">
        <f>J57</f>
        <v>0.12206570299569242</v>
      </c>
      <c r="H72" s="29"/>
      <c r="I72" s="27"/>
    </row>
    <row r="73" spans="1:9" s="27" customFormat="1" ht="15.75" thickBot="1" x14ac:dyDescent="0.3">
      <c r="A73" s="11" t="s">
        <v>78</v>
      </c>
      <c r="G73" s="28"/>
      <c r="H73" s="29"/>
    </row>
    <row r="74" spans="1:9" s="27" customFormat="1" ht="19.5" thickBot="1" x14ac:dyDescent="0.35">
      <c r="A74" s="11"/>
      <c r="G74" s="48">
        <f>G72*(1-$H$4)</f>
        <v>0.10009387645646779</v>
      </c>
      <c r="H74" s="29"/>
      <c r="I74" s="47"/>
    </row>
    <row r="75" spans="1:9" s="27" customFormat="1" x14ac:dyDescent="0.25">
      <c r="A75" s="11"/>
      <c r="G75" s="28"/>
      <c r="H75" s="29"/>
    </row>
    <row r="76" spans="1:9" s="27" customFormat="1" x14ac:dyDescent="0.25">
      <c r="A76" s="11"/>
      <c r="G76" s="28"/>
      <c r="H76" s="29"/>
    </row>
    <row r="77" spans="1:9" s="27" customFormat="1" ht="18.75" hidden="1" x14ac:dyDescent="0.3">
      <c r="A77" s="32" t="s">
        <v>33</v>
      </c>
      <c r="G77" s="28"/>
      <c r="H77" s="29"/>
    </row>
    <row r="78" spans="1:9" s="27" customFormat="1" hidden="1" x14ac:dyDescent="0.25">
      <c r="A78" s="11" t="s">
        <v>36</v>
      </c>
      <c r="B78"/>
      <c r="C78"/>
      <c r="D78"/>
      <c r="E78"/>
      <c r="F78"/>
      <c r="G78"/>
      <c r="H78"/>
      <c r="I78"/>
    </row>
    <row r="79" spans="1:9" s="27" customFormat="1" hidden="1" x14ac:dyDescent="0.25">
      <c r="A79"/>
      <c r="B79" t="s">
        <v>8</v>
      </c>
      <c r="C79"/>
      <c r="D79"/>
      <c r="E79"/>
      <c r="F79"/>
      <c r="G79" s="8">
        <f>G66</f>
        <v>33350400</v>
      </c>
      <c r="H79"/>
      <c r="I79"/>
    </row>
    <row r="80" spans="1:9" hidden="1" x14ac:dyDescent="0.25">
      <c r="B80" t="s">
        <v>34</v>
      </c>
      <c r="G80" s="8">
        <f>G79/(1+$H$4)-H17</f>
        <v>24094250.847457629</v>
      </c>
    </row>
    <row r="81" spans="2:7" hidden="1" x14ac:dyDescent="0.25">
      <c r="B81" t="s">
        <v>9</v>
      </c>
      <c r="G81" s="8">
        <f>G67</f>
        <v>14801248.029999994</v>
      </c>
    </row>
    <row r="82" spans="2:7" ht="15.75" hidden="1" thickBot="1" x14ac:dyDescent="0.3">
      <c r="B82" t="s">
        <v>12</v>
      </c>
      <c r="G82" s="10">
        <f>(G81/G80)/3</f>
        <v>0.20476873817614169</v>
      </c>
    </row>
    <row r="83" spans="2:7" ht="19.5" hidden="1" thickBot="1" x14ac:dyDescent="0.35">
      <c r="B83" t="s">
        <v>11</v>
      </c>
      <c r="G83" s="15">
        <f>EFFECT(G82,12)</f>
        <v>0.22512302689210406</v>
      </c>
    </row>
    <row r="84" spans="2:7" hidden="1" x14ac:dyDescent="0.25"/>
  </sheetData>
  <mergeCells count="4">
    <mergeCell ref="A6:A11"/>
    <mergeCell ref="A13:A18"/>
    <mergeCell ref="B17:G17"/>
    <mergeCell ref="G20:J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F6" sqref="F6"/>
    </sheetView>
  </sheetViews>
  <sheetFormatPr defaultRowHeight="15" x14ac:dyDescent="0.25"/>
  <cols>
    <col min="1" max="1" width="9.140625" style="39"/>
    <col min="2" max="2" width="10.140625" style="39" bestFit="1" customWidth="1"/>
    <col min="3" max="7" width="20.7109375" style="39" customWidth="1"/>
    <col min="8" max="16384" width="9.140625" style="39"/>
  </cols>
  <sheetData>
    <row r="1" spans="1:7" ht="19.5" thickBot="1" x14ac:dyDescent="0.3">
      <c r="B1" s="52" t="s">
        <v>41</v>
      </c>
      <c r="E1" s="50">
        <v>0.12</v>
      </c>
    </row>
    <row r="2" spans="1:7" ht="19.5" thickBot="1" x14ac:dyDescent="0.3">
      <c r="B2" s="52" t="s">
        <v>42</v>
      </c>
      <c r="E2" s="51">
        <v>25000</v>
      </c>
    </row>
    <row r="3" spans="1:7" ht="19.5" thickBot="1" x14ac:dyDescent="0.3">
      <c r="B3" s="52" t="s">
        <v>43</v>
      </c>
      <c r="E3" s="51">
        <v>12</v>
      </c>
    </row>
    <row r="4" spans="1:7" x14ac:dyDescent="0.25">
      <c r="D4" s="40" t="s">
        <v>29</v>
      </c>
      <c r="E4" s="40" t="s">
        <v>30</v>
      </c>
      <c r="F4" s="40" t="s">
        <v>31</v>
      </c>
      <c r="G4" s="40" t="s">
        <v>44</v>
      </c>
    </row>
    <row r="5" spans="1:7" x14ac:dyDescent="0.25">
      <c r="A5" s="39">
        <v>1</v>
      </c>
      <c r="B5" s="41">
        <f>DATE(2015,8,25)</f>
        <v>42241</v>
      </c>
      <c r="C5" s="53">
        <f>$E$2*$E$1/12</f>
        <v>250</v>
      </c>
      <c r="D5" s="39">
        <f>C5-E2</f>
        <v>-24750</v>
      </c>
      <c r="E5" s="39">
        <f>D6*A5</f>
        <v>250</v>
      </c>
      <c r="F5" s="39">
        <v>1</v>
      </c>
      <c r="G5" s="39">
        <f t="shared" ref="G5:G10" si="0">POWER(F5,-12)-1</f>
        <v>0</v>
      </c>
    </row>
    <row r="6" spans="1:7" x14ac:dyDescent="0.25">
      <c r="A6" s="39">
        <v>2</v>
      </c>
      <c r="B6" s="41">
        <f>EOMONTH(B5,1)</f>
        <v>42277</v>
      </c>
      <c r="C6" s="53">
        <f t="shared" ref="C6:C15" si="1">$E$2*$E$1/12</f>
        <v>250</v>
      </c>
      <c r="D6" s="39">
        <f>C6</f>
        <v>250</v>
      </c>
      <c r="E6" s="39">
        <f t="shared" ref="E6:E16" si="2">D7*A6</f>
        <v>500</v>
      </c>
      <c r="F6" s="39">
        <f>F5-SERIESSUM(F5,0,1,$D$5:$D$16)/SERIESSUM(F5,0,1,$E$5:$E$15)</f>
        <v>0.98970840480274447</v>
      </c>
      <c r="G6" s="42">
        <f>POWER(F6,-12)-1</f>
        <v>0.1321732752872562</v>
      </c>
    </row>
    <row r="7" spans="1:7" x14ac:dyDescent="0.25">
      <c r="A7" s="39">
        <v>3</v>
      </c>
      <c r="B7" s="41">
        <f t="shared" ref="B7:B16" si="3">EOMONTH(B6,1)</f>
        <v>42308</v>
      </c>
      <c r="C7" s="53">
        <f t="shared" si="1"/>
        <v>250</v>
      </c>
      <c r="D7" s="39">
        <f t="shared" ref="D7:D16" si="4">C7</f>
        <v>250</v>
      </c>
      <c r="E7" s="39">
        <f t="shared" si="2"/>
        <v>750</v>
      </c>
      <c r="F7" s="39">
        <f t="shared" ref="F7:F16" si="5">F6-SERIESSUM(F6,0,1,$D$5:$D$16)/SERIESSUM(F6,0,1,$E$5:$E$15)</f>
        <v>0.98915056697294312</v>
      </c>
      <c r="G7" s="42">
        <f t="shared" si="0"/>
        <v>0.13985904245646874</v>
      </c>
    </row>
    <row r="8" spans="1:7" x14ac:dyDescent="0.25">
      <c r="A8" s="39">
        <v>4</v>
      </c>
      <c r="B8" s="41">
        <f t="shared" si="3"/>
        <v>42338</v>
      </c>
      <c r="C8" s="53">
        <f t="shared" si="1"/>
        <v>250</v>
      </c>
      <c r="D8" s="39">
        <f t="shared" si="4"/>
        <v>250</v>
      </c>
      <c r="E8" s="39">
        <f t="shared" si="2"/>
        <v>1000</v>
      </c>
      <c r="F8" s="39">
        <f t="shared" si="5"/>
        <v>0.98914902027773033</v>
      </c>
      <c r="G8" s="42">
        <f t="shared" si="0"/>
        <v>0.13988043089825464</v>
      </c>
    </row>
    <row r="9" spans="1:7" x14ac:dyDescent="0.25">
      <c r="A9" s="39">
        <v>5</v>
      </c>
      <c r="B9" s="41">
        <f t="shared" si="3"/>
        <v>42369</v>
      </c>
      <c r="C9" s="53">
        <f t="shared" si="1"/>
        <v>250</v>
      </c>
      <c r="D9" s="39">
        <f t="shared" si="4"/>
        <v>250</v>
      </c>
      <c r="E9" s="39">
        <f t="shared" si="2"/>
        <v>1250</v>
      </c>
      <c r="F9" s="39">
        <f t="shared" si="5"/>
        <v>0.98914902026587948</v>
      </c>
      <c r="G9" s="42">
        <f t="shared" si="0"/>
        <v>0.1398804310621351</v>
      </c>
    </row>
    <row r="10" spans="1:7" x14ac:dyDescent="0.25">
      <c r="A10" s="39">
        <v>6</v>
      </c>
      <c r="B10" s="41">
        <f t="shared" si="3"/>
        <v>42400</v>
      </c>
      <c r="C10" s="53">
        <f t="shared" si="1"/>
        <v>250</v>
      </c>
      <c r="D10" s="39">
        <f t="shared" si="4"/>
        <v>250</v>
      </c>
      <c r="E10" s="39">
        <f t="shared" si="2"/>
        <v>1500</v>
      </c>
      <c r="F10" s="39">
        <f t="shared" si="5"/>
        <v>0.98914902026587948</v>
      </c>
      <c r="G10" s="42">
        <f t="shared" si="0"/>
        <v>0.1398804310621351</v>
      </c>
    </row>
    <row r="11" spans="1:7" x14ac:dyDescent="0.25">
      <c r="A11" s="39">
        <v>7</v>
      </c>
      <c r="B11" s="41">
        <f t="shared" si="3"/>
        <v>42429</v>
      </c>
      <c r="C11" s="53">
        <f t="shared" si="1"/>
        <v>250</v>
      </c>
      <c r="D11" s="39">
        <f t="shared" si="4"/>
        <v>250</v>
      </c>
      <c r="E11" s="39">
        <f t="shared" si="2"/>
        <v>1750</v>
      </c>
      <c r="F11" s="39">
        <f t="shared" si="5"/>
        <v>0.98914902026587948</v>
      </c>
      <c r="G11" s="42">
        <f>POWER(F11,-12)-1</f>
        <v>0.1398804310621351</v>
      </c>
    </row>
    <row r="12" spans="1:7" x14ac:dyDescent="0.25">
      <c r="A12" s="39">
        <v>8</v>
      </c>
      <c r="B12" s="41">
        <f t="shared" si="3"/>
        <v>42460</v>
      </c>
      <c r="C12" s="53">
        <f t="shared" si="1"/>
        <v>250</v>
      </c>
      <c r="D12" s="39">
        <f t="shared" si="4"/>
        <v>250</v>
      </c>
      <c r="E12" s="39">
        <f t="shared" si="2"/>
        <v>2000</v>
      </c>
      <c r="F12" s="39">
        <f t="shared" si="5"/>
        <v>0.98914902026587948</v>
      </c>
      <c r="G12" s="42">
        <f t="shared" ref="G12:G16" si="6">POWER(F12,-12)-1</f>
        <v>0.1398804310621351</v>
      </c>
    </row>
    <row r="13" spans="1:7" x14ac:dyDescent="0.25">
      <c r="A13" s="39">
        <v>9</v>
      </c>
      <c r="B13" s="41">
        <f t="shared" si="3"/>
        <v>42490</v>
      </c>
      <c r="C13" s="53">
        <f t="shared" si="1"/>
        <v>250</v>
      </c>
      <c r="D13" s="39">
        <f t="shared" si="4"/>
        <v>250</v>
      </c>
      <c r="E13" s="39">
        <f t="shared" si="2"/>
        <v>2250</v>
      </c>
      <c r="F13" s="39">
        <f t="shared" si="5"/>
        <v>0.98914902026587948</v>
      </c>
      <c r="G13" s="42">
        <f t="shared" si="6"/>
        <v>0.1398804310621351</v>
      </c>
    </row>
    <row r="14" spans="1:7" x14ac:dyDescent="0.25">
      <c r="A14" s="39">
        <v>10</v>
      </c>
      <c r="B14" s="41">
        <f t="shared" si="3"/>
        <v>42521</v>
      </c>
      <c r="C14" s="53">
        <f t="shared" si="1"/>
        <v>250</v>
      </c>
      <c r="D14" s="39">
        <f t="shared" si="4"/>
        <v>250</v>
      </c>
      <c r="E14" s="39">
        <f t="shared" si="2"/>
        <v>2500</v>
      </c>
      <c r="F14" s="39">
        <f t="shared" si="5"/>
        <v>0.98914902026587948</v>
      </c>
      <c r="G14" s="42">
        <f t="shared" si="6"/>
        <v>0.1398804310621351</v>
      </c>
    </row>
    <row r="15" spans="1:7" x14ac:dyDescent="0.25">
      <c r="A15" s="39">
        <v>11</v>
      </c>
      <c r="B15" s="41">
        <f t="shared" si="3"/>
        <v>42551</v>
      </c>
      <c r="C15" s="53">
        <f t="shared" si="1"/>
        <v>250</v>
      </c>
      <c r="D15" s="39">
        <f t="shared" si="4"/>
        <v>250</v>
      </c>
      <c r="E15" s="39">
        <f t="shared" si="2"/>
        <v>277750</v>
      </c>
      <c r="F15" s="39">
        <f t="shared" si="5"/>
        <v>0.98914902026587948</v>
      </c>
      <c r="G15" s="42">
        <f t="shared" si="6"/>
        <v>0.1398804310621351</v>
      </c>
    </row>
    <row r="16" spans="1:7" x14ac:dyDescent="0.25">
      <c r="A16" s="39">
        <v>12</v>
      </c>
      <c r="B16" s="41">
        <f t="shared" si="3"/>
        <v>42582</v>
      </c>
      <c r="C16" s="53">
        <f>$E$2*$E$1/12+E2</f>
        <v>25250</v>
      </c>
      <c r="D16" s="39">
        <f t="shared" si="4"/>
        <v>25250</v>
      </c>
      <c r="E16" s="39">
        <f t="shared" si="2"/>
        <v>0</v>
      </c>
      <c r="F16" s="39">
        <f t="shared" si="5"/>
        <v>0.98914902026587948</v>
      </c>
      <c r="G16" s="42">
        <f t="shared" si="6"/>
        <v>0.1398804310621351</v>
      </c>
    </row>
    <row r="17" spans="2:7" ht="15.75" thickBot="1" x14ac:dyDescent="0.3">
      <c r="B17" s="41"/>
    </row>
    <row r="18" spans="2:7" ht="45.75" thickBot="1" x14ac:dyDescent="0.3">
      <c r="D18" s="43" t="s">
        <v>37</v>
      </c>
      <c r="E18" s="43" t="s">
        <v>38</v>
      </c>
      <c r="F18" s="43" t="s">
        <v>39</v>
      </c>
      <c r="G18" s="43" t="s">
        <v>40</v>
      </c>
    </row>
    <row r="19" spans="2:7" x14ac:dyDescent="0.25">
      <c r="C19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4"/>
  <sheetViews>
    <sheetView workbookViewId="0">
      <selection activeCell="G62" sqref="G62"/>
    </sheetView>
  </sheetViews>
  <sheetFormatPr defaultRowHeight="15" x14ac:dyDescent="0.25"/>
  <cols>
    <col min="2" max="2" width="8.85546875" customWidth="1"/>
    <col min="3" max="4" width="11.7109375" customWidth="1"/>
    <col min="5" max="5" width="15.5703125" customWidth="1"/>
    <col min="6" max="6" width="14.28515625" customWidth="1"/>
    <col min="7" max="7" width="19.85546875" customWidth="1"/>
    <col min="8" max="8" width="20.85546875" customWidth="1"/>
    <col min="10" max="10" width="14.28515625" bestFit="1" customWidth="1"/>
  </cols>
  <sheetData>
    <row r="2" spans="2:10" ht="18.75" x14ac:dyDescent="0.3">
      <c r="C2" s="5" t="s">
        <v>35</v>
      </c>
      <c r="D2" s="5"/>
      <c r="E2" s="5"/>
      <c r="F2" s="5"/>
      <c r="G2" s="5"/>
    </row>
    <row r="4" spans="2:10" x14ac:dyDescent="0.25">
      <c r="B4" t="s">
        <v>15</v>
      </c>
      <c r="H4" s="4">
        <v>120000000</v>
      </c>
    </row>
    <row r="5" spans="2:10" x14ac:dyDescent="0.25">
      <c r="B5" t="s">
        <v>14</v>
      </c>
      <c r="H5" s="4">
        <f>H6/0.67</f>
        <v>149253731.34328356</v>
      </c>
    </row>
    <row r="6" spans="2:10" x14ac:dyDescent="0.25">
      <c r="B6" t="s">
        <v>21</v>
      </c>
      <c r="H6" s="4">
        <v>100000000</v>
      </c>
    </row>
    <row r="7" spans="2:10" x14ac:dyDescent="0.25">
      <c r="B7" t="s">
        <v>16</v>
      </c>
      <c r="H7" s="4">
        <f>H6*(1-1/1.18)</f>
        <v>15254237.288135586</v>
      </c>
    </row>
    <row r="8" spans="2:10" ht="30" customHeight="1" x14ac:dyDescent="0.25">
      <c r="B8" s="63" t="s">
        <v>18</v>
      </c>
      <c r="C8" s="63"/>
      <c r="D8" s="63"/>
      <c r="E8" s="63"/>
      <c r="F8" s="63"/>
      <c r="G8" s="59"/>
      <c r="H8" s="14">
        <f>IF((H4*50%-H6)*20%&gt;0,(H4*50%-H6)*20%,0)</f>
        <v>0</v>
      </c>
    </row>
    <row r="9" spans="2:10" x14ac:dyDescent="0.25">
      <c r="B9" t="s">
        <v>17</v>
      </c>
      <c r="H9" s="4">
        <f>H6-H7-H8</f>
        <v>84745762.711864412</v>
      </c>
    </row>
    <row r="10" spans="2:10" ht="33" customHeight="1" x14ac:dyDescent="0.25">
      <c r="B10" s="64" t="s">
        <v>19</v>
      </c>
      <c r="C10" s="64"/>
      <c r="D10" s="64"/>
      <c r="E10" s="64"/>
      <c r="F10" s="64"/>
      <c r="G10" s="65"/>
    </row>
    <row r="12" spans="2:10" x14ac:dyDescent="0.25">
      <c r="E12" s="1" t="s">
        <v>4</v>
      </c>
      <c r="F12" s="1" t="s">
        <v>3</v>
      </c>
    </row>
    <row r="13" spans="2:10" x14ac:dyDescent="0.25">
      <c r="B13" s="1" t="s">
        <v>6</v>
      </c>
      <c r="C13" s="1"/>
      <c r="D13" s="1"/>
      <c r="E13" s="7">
        <v>0</v>
      </c>
      <c r="F13" s="7">
        <f>E13*(1-1/1.18)</f>
        <v>0</v>
      </c>
      <c r="J13" s="6"/>
    </row>
    <row r="14" spans="2:10" x14ac:dyDescent="0.25">
      <c r="J14" s="9" t="s">
        <v>26</v>
      </c>
    </row>
    <row r="15" spans="2:10" x14ac:dyDescent="0.25">
      <c r="B15" s="2" t="s">
        <v>0</v>
      </c>
      <c r="C15" s="1" t="s">
        <v>1</v>
      </c>
      <c r="D15" s="1" t="s">
        <v>2</v>
      </c>
      <c r="E15" s="1" t="s">
        <v>4</v>
      </c>
      <c r="F15" s="1" t="s">
        <v>3</v>
      </c>
      <c r="J15" s="8">
        <f>-H6</f>
        <v>-100000000</v>
      </c>
    </row>
    <row r="16" spans="2:10" x14ac:dyDescent="0.25">
      <c r="B16" s="2">
        <v>1</v>
      </c>
      <c r="C16" s="3">
        <v>42272</v>
      </c>
      <c r="D16" s="4" t="s">
        <v>5</v>
      </c>
      <c r="E16" s="4">
        <v>4131045.99</v>
      </c>
      <c r="F16" s="7">
        <f>E16*(1-1/1.18)</f>
        <v>630159.55779660994</v>
      </c>
      <c r="H16" s="8"/>
      <c r="J16" s="8">
        <f>E16</f>
        <v>4131045.99</v>
      </c>
    </row>
    <row r="17" spans="2:10" x14ac:dyDescent="0.25">
      <c r="B17" s="2">
        <v>2</v>
      </c>
      <c r="C17" s="3">
        <v>42302</v>
      </c>
      <c r="D17" s="4" t="s">
        <v>5</v>
      </c>
      <c r="E17" s="4">
        <v>3895045.99</v>
      </c>
      <c r="F17" s="7">
        <f t="shared" ref="F17:F51" si="0">E17*(1-1/1.18)</f>
        <v>594159.55779660994</v>
      </c>
      <c r="J17" s="8">
        <f t="shared" ref="J17:J51" si="1">E17</f>
        <v>3895045.99</v>
      </c>
    </row>
    <row r="18" spans="2:10" x14ac:dyDescent="0.25">
      <c r="B18" s="2">
        <v>3</v>
      </c>
      <c r="C18" s="3">
        <v>42333</v>
      </c>
      <c r="D18" s="4" t="s">
        <v>5</v>
      </c>
      <c r="E18" s="4">
        <f>E17</f>
        <v>3895045.99</v>
      </c>
      <c r="F18" s="7">
        <f t="shared" si="0"/>
        <v>594159.55779660994</v>
      </c>
      <c r="J18" s="8">
        <f t="shared" si="1"/>
        <v>3895045.99</v>
      </c>
    </row>
    <row r="19" spans="2:10" x14ac:dyDescent="0.25">
      <c r="B19" s="2">
        <v>4</v>
      </c>
      <c r="C19" s="3">
        <v>42363</v>
      </c>
      <c r="D19" s="4" t="s">
        <v>5</v>
      </c>
      <c r="E19" s="4">
        <f t="shared" ref="E19:E51" si="2">E18</f>
        <v>3895045.99</v>
      </c>
      <c r="F19" s="7">
        <f t="shared" si="0"/>
        <v>594159.55779660994</v>
      </c>
      <c r="J19" s="8">
        <f t="shared" si="1"/>
        <v>3895045.99</v>
      </c>
    </row>
    <row r="20" spans="2:10" x14ac:dyDescent="0.25">
      <c r="B20" s="2">
        <v>5</v>
      </c>
      <c r="C20" s="3">
        <v>42394</v>
      </c>
      <c r="D20" s="4" t="s">
        <v>5</v>
      </c>
      <c r="E20" s="4">
        <f t="shared" si="2"/>
        <v>3895045.99</v>
      </c>
      <c r="F20" s="7">
        <f t="shared" si="0"/>
        <v>594159.55779660994</v>
      </c>
      <c r="J20" s="8">
        <f t="shared" si="1"/>
        <v>3895045.99</v>
      </c>
    </row>
    <row r="21" spans="2:10" x14ac:dyDescent="0.25">
      <c r="B21" s="2">
        <v>6</v>
      </c>
      <c r="C21" s="3">
        <v>42425</v>
      </c>
      <c r="D21" s="4" t="s">
        <v>5</v>
      </c>
      <c r="E21" s="4">
        <f t="shared" si="2"/>
        <v>3895045.99</v>
      </c>
      <c r="F21" s="7">
        <f t="shared" si="0"/>
        <v>594159.55779660994</v>
      </c>
      <c r="J21" s="8">
        <f t="shared" si="1"/>
        <v>3895045.99</v>
      </c>
    </row>
    <row r="22" spans="2:10" x14ac:dyDescent="0.25">
      <c r="B22" s="2">
        <v>7</v>
      </c>
      <c r="C22" s="3">
        <v>42454</v>
      </c>
      <c r="D22" s="4" t="s">
        <v>5</v>
      </c>
      <c r="E22" s="4">
        <f t="shared" si="2"/>
        <v>3895045.99</v>
      </c>
      <c r="F22" s="7">
        <f t="shared" si="0"/>
        <v>594159.55779660994</v>
      </c>
      <c r="J22" s="8">
        <f t="shared" si="1"/>
        <v>3895045.99</v>
      </c>
    </row>
    <row r="23" spans="2:10" x14ac:dyDescent="0.25">
      <c r="B23" s="2">
        <v>8</v>
      </c>
      <c r="C23" s="3">
        <v>42485</v>
      </c>
      <c r="D23" s="4" t="s">
        <v>5</v>
      </c>
      <c r="E23" s="4">
        <f t="shared" si="2"/>
        <v>3895045.99</v>
      </c>
      <c r="F23" s="7">
        <f t="shared" si="0"/>
        <v>594159.55779660994</v>
      </c>
      <c r="J23" s="8">
        <f t="shared" si="1"/>
        <v>3895045.99</v>
      </c>
    </row>
    <row r="24" spans="2:10" x14ac:dyDescent="0.25">
      <c r="B24" s="2">
        <v>9</v>
      </c>
      <c r="C24" s="3">
        <v>42515</v>
      </c>
      <c r="D24" s="4" t="s">
        <v>5</v>
      </c>
      <c r="E24" s="4">
        <f t="shared" si="2"/>
        <v>3895045.99</v>
      </c>
      <c r="F24" s="7">
        <f t="shared" si="0"/>
        <v>594159.55779660994</v>
      </c>
      <c r="J24" s="8">
        <f t="shared" si="1"/>
        <v>3895045.99</v>
      </c>
    </row>
    <row r="25" spans="2:10" x14ac:dyDescent="0.25">
      <c r="B25" s="2">
        <v>10</v>
      </c>
      <c r="C25" s="3">
        <v>42546</v>
      </c>
      <c r="D25" s="4" t="s">
        <v>5</v>
      </c>
      <c r="E25" s="4">
        <f t="shared" si="2"/>
        <v>3895045.99</v>
      </c>
      <c r="F25" s="7">
        <f t="shared" si="0"/>
        <v>594159.55779660994</v>
      </c>
      <c r="J25" s="8">
        <f t="shared" si="1"/>
        <v>3895045.99</v>
      </c>
    </row>
    <row r="26" spans="2:10" x14ac:dyDescent="0.25">
      <c r="B26" s="2">
        <v>11</v>
      </c>
      <c r="C26" s="3">
        <v>42576</v>
      </c>
      <c r="D26" s="4" t="s">
        <v>5</v>
      </c>
      <c r="E26" s="4">
        <f t="shared" si="2"/>
        <v>3895045.99</v>
      </c>
      <c r="F26" s="7">
        <f t="shared" si="0"/>
        <v>594159.55779660994</v>
      </c>
      <c r="J26" s="8">
        <f t="shared" si="1"/>
        <v>3895045.99</v>
      </c>
    </row>
    <row r="27" spans="2:10" x14ac:dyDescent="0.25">
      <c r="B27" s="2">
        <v>12</v>
      </c>
      <c r="C27" s="3">
        <v>42607</v>
      </c>
      <c r="D27" s="4" t="s">
        <v>5</v>
      </c>
      <c r="E27" s="4">
        <f t="shared" si="2"/>
        <v>3895045.99</v>
      </c>
      <c r="F27" s="7">
        <f t="shared" si="0"/>
        <v>594159.55779660994</v>
      </c>
      <c r="J27" s="8">
        <f t="shared" si="1"/>
        <v>3895045.99</v>
      </c>
    </row>
    <row r="28" spans="2:10" x14ac:dyDescent="0.25">
      <c r="B28" s="2">
        <v>13</v>
      </c>
      <c r="C28" s="3">
        <v>42638</v>
      </c>
      <c r="D28" s="4" t="s">
        <v>5</v>
      </c>
      <c r="E28" s="4">
        <f t="shared" si="2"/>
        <v>3895045.99</v>
      </c>
      <c r="F28" s="7">
        <f t="shared" si="0"/>
        <v>594159.55779660994</v>
      </c>
      <c r="J28" s="8">
        <f t="shared" si="1"/>
        <v>3895045.99</v>
      </c>
    </row>
    <row r="29" spans="2:10" x14ac:dyDescent="0.25">
      <c r="B29" s="2">
        <v>14</v>
      </c>
      <c r="C29" s="3">
        <v>42668</v>
      </c>
      <c r="D29" s="4" t="s">
        <v>5</v>
      </c>
      <c r="E29" s="4">
        <f t="shared" si="2"/>
        <v>3895045.99</v>
      </c>
      <c r="F29" s="7">
        <f t="shared" si="0"/>
        <v>594159.55779660994</v>
      </c>
      <c r="J29" s="8">
        <f t="shared" si="1"/>
        <v>3895045.99</v>
      </c>
    </row>
    <row r="30" spans="2:10" x14ac:dyDescent="0.25">
      <c r="B30" s="2">
        <v>15</v>
      </c>
      <c r="C30" s="3">
        <v>42699</v>
      </c>
      <c r="D30" s="4" t="s">
        <v>5</v>
      </c>
      <c r="E30" s="4">
        <f t="shared" si="2"/>
        <v>3895045.99</v>
      </c>
      <c r="F30" s="7">
        <f t="shared" si="0"/>
        <v>594159.55779660994</v>
      </c>
      <c r="J30" s="8">
        <f t="shared" si="1"/>
        <v>3895045.99</v>
      </c>
    </row>
    <row r="31" spans="2:10" x14ac:dyDescent="0.25">
      <c r="B31" s="2">
        <v>16</v>
      </c>
      <c r="C31" s="3">
        <v>42729</v>
      </c>
      <c r="D31" s="4" t="s">
        <v>5</v>
      </c>
      <c r="E31" s="4">
        <f t="shared" si="2"/>
        <v>3895045.99</v>
      </c>
      <c r="F31" s="7">
        <f t="shared" si="0"/>
        <v>594159.55779660994</v>
      </c>
      <c r="J31" s="8">
        <f t="shared" si="1"/>
        <v>3895045.99</v>
      </c>
    </row>
    <row r="32" spans="2:10" x14ac:dyDescent="0.25">
      <c r="B32" s="2">
        <v>17</v>
      </c>
      <c r="C32" s="3">
        <v>42485</v>
      </c>
      <c r="D32" s="4" t="s">
        <v>5</v>
      </c>
      <c r="E32" s="4">
        <f t="shared" si="2"/>
        <v>3895045.99</v>
      </c>
      <c r="F32" s="7">
        <f t="shared" si="0"/>
        <v>594159.55779660994</v>
      </c>
      <c r="J32" s="8">
        <f t="shared" si="1"/>
        <v>3895045.99</v>
      </c>
    </row>
    <row r="33" spans="2:10" x14ac:dyDescent="0.25">
      <c r="B33" s="2">
        <v>18</v>
      </c>
      <c r="C33" s="3">
        <v>42515</v>
      </c>
      <c r="D33" s="4" t="s">
        <v>5</v>
      </c>
      <c r="E33" s="4">
        <f t="shared" si="2"/>
        <v>3895045.99</v>
      </c>
      <c r="F33" s="7">
        <f t="shared" si="0"/>
        <v>594159.55779660994</v>
      </c>
      <c r="J33" s="8">
        <f t="shared" si="1"/>
        <v>3895045.99</v>
      </c>
    </row>
    <row r="34" spans="2:10" x14ac:dyDescent="0.25">
      <c r="B34" s="2">
        <v>19</v>
      </c>
      <c r="C34" s="3">
        <v>42546</v>
      </c>
      <c r="D34" s="4" t="s">
        <v>5</v>
      </c>
      <c r="E34" s="4">
        <f t="shared" si="2"/>
        <v>3895045.99</v>
      </c>
      <c r="F34" s="7">
        <f t="shared" si="0"/>
        <v>594159.55779660994</v>
      </c>
      <c r="J34" s="8">
        <f t="shared" si="1"/>
        <v>3895045.99</v>
      </c>
    </row>
    <row r="35" spans="2:10" x14ac:dyDescent="0.25">
      <c r="B35" s="2">
        <v>20</v>
      </c>
      <c r="C35" s="3">
        <v>42576</v>
      </c>
      <c r="D35" s="4" t="s">
        <v>5</v>
      </c>
      <c r="E35" s="4">
        <f t="shared" si="2"/>
        <v>3895045.99</v>
      </c>
      <c r="F35" s="7">
        <f t="shared" si="0"/>
        <v>594159.55779660994</v>
      </c>
      <c r="J35" s="8">
        <f t="shared" si="1"/>
        <v>3895045.99</v>
      </c>
    </row>
    <row r="36" spans="2:10" x14ac:dyDescent="0.25">
      <c r="B36" s="2">
        <v>21</v>
      </c>
      <c r="C36" s="3">
        <v>42607</v>
      </c>
      <c r="D36" s="4" t="s">
        <v>5</v>
      </c>
      <c r="E36" s="4">
        <f t="shared" si="2"/>
        <v>3895045.99</v>
      </c>
      <c r="F36" s="7">
        <f t="shared" si="0"/>
        <v>594159.55779660994</v>
      </c>
      <c r="J36" s="8">
        <f t="shared" si="1"/>
        <v>3895045.99</v>
      </c>
    </row>
    <row r="37" spans="2:10" x14ac:dyDescent="0.25">
      <c r="B37" s="2">
        <v>22</v>
      </c>
      <c r="C37" s="3">
        <v>42638</v>
      </c>
      <c r="D37" s="4" t="s">
        <v>5</v>
      </c>
      <c r="E37" s="4">
        <f t="shared" si="2"/>
        <v>3895045.99</v>
      </c>
      <c r="F37" s="7">
        <f t="shared" si="0"/>
        <v>594159.55779660994</v>
      </c>
      <c r="J37" s="8">
        <f t="shared" si="1"/>
        <v>3895045.99</v>
      </c>
    </row>
    <row r="38" spans="2:10" x14ac:dyDescent="0.25">
      <c r="B38" s="2">
        <v>23</v>
      </c>
      <c r="C38" s="3">
        <v>42668</v>
      </c>
      <c r="D38" s="4" t="s">
        <v>5</v>
      </c>
      <c r="E38" s="4">
        <f t="shared" si="2"/>
        <v>3895045.99</v>
      </c>
      <c r="F38" s="7">
        <f t="shared" si="0"/>
        <v>594159.55779660994</v>
      </c>
      <c r="J38" s="8">
        <f t="shared" si="1"/>
        <v>3895045.99</v>
      </c>
    </row>
    <row r="39" spans="2:10" x14ac:dyDescent="0.25">
      <c r="B39" s="2">
        <v>24</v>
      </c>
      <c r="C39" s="3">
        <v>42699</v>
      </c>
      <c r="D39" s="4" t="s">
        <v>5</v>
      </c>
      <c r="E39" s="4">
        <f t="shared" si="2"/>
        <v>3895045.99</v>
      </c>
      <c r="F39" s="7">
        <f t="shared" si="0"/>
        <v>594159.55779660994</v>
      </c>
      <c r="J39" s="8">
        <f t="shared" si="1"/>
        <v>3895045.99</v>
      </c>
    </row>
    <row r="40" spans="2:10" x14ac:dyDescent="0.25">
      <c r="B40" s="2">
        <v>25</v>
      </c>
      <c r="C40" s="3">
        <v>42729</v>
      </c>
      <c r="D40" s="4" t="s">
        <v>5</v>
      </c>
      <c r="E40" s="4">
        <f t="shared" si="2"/>
        <v>3895045.99</v>
      </c>
      <c r="F40" s="7">
        <f t="shared" si="0"/>
        <v>594159.55779660994</v>
      </c>
      <c r="J40" s="8">
        <f t="shared" si="1"/>
        <v>3895045.99</v>
      </c>
    </row>
    <row r="41" spans="2:10" x14ac:dyDescent="0.25">
      <c r="B41" s="2">
        <v>26</v>
      </c>
      <c r="C41" s="3">
        <v>42760</v>
      </c>
      <c r="D41" s="4" t="s">
        <v>5</v>
      </c>
      <c r="E41" s="4">
        <f t="shared" si="2"/>
        <v>3895045.99</v>
      </c>
      <c r="F41" s="7">
        <f t="shared" si="0"/>
        <v>594159.55779660994</v>
      </c>
      <c r="J41" s="8">
        <f t="shared" si="1"/>
        <v>3895045.99</v>
      </c>
    </row>
    <row r="42" spans="2:10" x14ac:dyDescent="0.25">
      <c r="B42" s="2">
        <v>27</v>
      </c>
      <c r="C42" s="3">
        <v>42791</v>
      </c>
      <c r="D42" s="4" t="s">
        <v>5</v>
      </c>
      <c r="E42" s="4">
        <f t="shared" si="2"/>
        <v>3895045.99</v>
      </c>
      <c r="F42" s="7">
        <f t="shared" si="0"/>
        <v>594159.55779660994</v>
      </c>
      <c r="J42" s="8">
        <f t="shared" si="1"/>
        <v>3895045.99</v>
      </c>
    </row>
    <row r="43" spans="2:10" x14ac:dyDescent="0.25">
      <c r="B43" s="2">
        <v>28</v>
      </c>
      <c r="C43" s="3">
        <v>42819</v>
      </c>
      <c r="D43" s="4" t="s">
        <v>5</v>
      </c>
      <c r="E43" s="4">
        <f t="shared" si="2"/>
        <v>3895045.99</v>
      </c>
      <c r="F43" s="7">
        <f t="shared" si="0"/>
        <v>594159.55779660994</v>
      </c>
      <c r="J43" s="8">
        <f t="shared" si="1"/>
        <v>3895045.99</v>
      </c>
    </row>
    <row r="44" spans="2:10" x14ac:dyDescent="0.25">
      <c r="B44" s="2">
        <v>29</v>
      </c>
      <c r="C44" s="3">
        <v>42850</v>
      </c>
      <c r="D44" s="4" t="s">
        <v>5</v>
      </c>
      <c r="E44" s="4">
        <f t="shared" si="2"/>
        <v>3895045.99</v>
      </c>
      <c r="F44" s="7">
        <f t="shared" si="0"/>
        <v>594159.55779660994</v>
      </c>
      <c r="J44" s="8">
        <f t="shared" si="1"/>
        <v>3895045.99</v>
      </c>
    </row>
    <row r="45" spans="2:10" x14ac:dyDescent="0.25">
      <c r="B45" s="2">
        <v>30</v>
      </c>
      <c r="C45" s="3">
        <v>42880</v>
      </c>
      <c r="D45" s="4" t="s">
        <v>5</v>
      </c>
      <c r="E45" s="4">
        <f t="shared" si="2"/>
        <v>3895045.99</v>
      </c>
      <c r="F45" s="7">
        <f t="shared" si="0"/>
        <v>594159.55779660994</v>
      </c>
      <c r="J45" s="8">
        <f t="shared" si="1"/>
        <v>3895045.99</v>
      </c>
    </row>
    <row r="46" spans="2:10" x14ac:dyDescent="0.25">
      <c r="B46" s="2">
        <v>31</v>
      </c>
      <c r="C46" s="3">
        <v>42911</v>
      </c>
      <c r="D46" s="4" t="s">
        <v>5</v>
      </c>
      <c r="E46" s="4">
        <f t="shared" si="2"/>
        <v>3895045.99</v>
      </c>
      <c r="F46" s="7">
        <f t="shared" si="0"/>
        <v>594159.55779660994</v>
      </c>
      <c r="J46" s="8">
        <f t="shared" si="1"/>
        <v>3895045.99</v>
      </c>
    </row>
    <row r="47" spans="2:10" x14ac:dyDescent="0.25">
      <c r="B47" s="2">
        <v>32</v>
      </c>
      <c r="C47" s="3">
        <v>42941</v>
      </c>
      <c r="D47" s="4" t="s">
        <v>5</v>
      </c>
      <c r="E47" s="4">
        <f t="shared" si="2"/>
        <v>3895045.99</v>
      </c>
      <c r="F47" s="7">
        <f t="shared" si="0"/>
        <v>594159.55779660994</v>
      </c>
      <c r="J47" s="8">
        <f t="shared" si="1"/>
        <v>3895045.99</v>
      </c>
    </row>
    <row r="48" spans="2:10" x14ac:dyDescent="0.25">
      <c r="B48" s="2">
        <v>33</v>
      </c>
      <c r="C48" s="3">
        <v>42972</v>
      </c>
      <c r="D48" s="4" t="s">
        <v>5</v>
      </c>
      <c r="E48" s="4">
        <f t="shared" si="2"/>
        <v>3895045.99</v>
      </c>
      <c r="F48" s="7">
        <f t="shared" si="0"/>
        <v>594159.55779660994</v>
      </c>
      <c r="J48" s="8">
        <f t="shared" si="1"/>
        <v>3895045.99</v>
      </c>
    </row>
    <row r="49" spans="1:10" x14ac:dyDescent="0.25">
      <c r="B49" s="2">
        <v>34</v>
      </c>
      <c r="C49" s="3">
        <v>43003</v>
      </c>
      <c r="D49" s="4" t="s">
        <v>5</v>
      </c>
      <c r="E49" s="4">
        <f t="shared" si="2"/>
        <v>3895045.99</v>
      </c>
      <c r="F49" s="7">
        <f t="shared" si="0"/>
        <v>594159.55779660994</v>
      </c>
      <c r="J49" s="8">
        <f t="shared" si="1"/>
        <v>3895045.99</v>
      </c>
    </row>
    <row r="50" spans="1:10" x14ac:dyDescent="0.25">
      <c r="B50" s="2">
        <v>35</v>
      </c>
      <c r="C50" s="3">
        <v>43033</v>
      </c>
      <c r="D50" s="4" t="s">
        <v>5</v>
      </c>
      <c r="E50" s="4">
        <f t="shared" si="2"/>
        <v>3895045.99</v>
      </c>
      <c r="F50" s="7">
        <f t="shared" si="0"/>
        <v>594159.55779660994</v>
      </c>
      <c r="J50" s="8">
        <f t="shared" si="1"/>
        <v>3895045.99</v>
      </c>
    </row>
    <row r="51" spans="1:10" ht="15.75" thickBot="1" x14ac:dyDescent="0.3">
      <c r="B51" s="2">
        <v>36</v>
      </c>
      <c r="C51" s="3">
        <v>43064</v>
      </c>
      <c r="D51" s="4" t="s">
        <v>5</v>
      </c>
      <c r="E51" s="4">
        <f t="shared" si="2"/>
        <v>3895045.99</v>
      </c>
      <c r="F51" s="7">
        <f t="shared" si="0"/>
        <v>594159.55779660994</v>
      </c>
      <c r="J51" s="8">
        <f t="shared" si="1"/>
        <v>3895045.99</v>
      </c>
    </row>
    <row r="52" spans="1:10" ht="15.75" thickBot="1" x14ac:dyDescent="0.3">
      <c r="E52" s="1" t="s">
        <v>4</v>
      </c>
      <c r="F52" s="1" t="s">
        <v>3</v>
      </c>
      <c r="J52" s="16">
        <f>SUM(J15:J51)</f>
        <v>40457655.640000001</v>
      </c>
    </row>
    <row r="53" spans="1:10" ht="15.75" thickBot="1" x14ac:dyDescent="0.3">
      <c r="B53" s="1" t="s">
        <v>20</v>
      </c>
      <c r="C53" s="1"/>
      <c r="D53" s="1"/>
      <c r="E53" s="7">
        <f>SUM(E16:E51)</f>
        <v>140457655.63999996</v>
      </c>
      <c r="F53" s="7">
        <f>SUM(F16:F51)</f>
        <v>21425744.080677953</v>
      </c>
      <c r="J53" s="17">
        <f>IRR(J15:J51)*12</f>
        <v>0.23633764933454593</v>
      </c>
    </row>
    <row r="54" spans="1:10" ht="15.75" thickBot="1" x14ac:dyDescent="0.3"/>
    <row r="55" spans="1:10" ht="16.5" thickBot="1" x14ac:dyDescent="0.3">
      <c r="B55" t="s">
        <v>13</v>
      </c>
      <c r="F55" s="8"/>
      <c r="G55" s="12">
        <v>0.13489999999999999</v>
      </c>
    </row>
    <row r="57" spans="1:10" ht="18.75" x14ac:dyDescent="0.3">
      <c r="A57" s="5" t="s">
        <v>7</v>
      </c>
    </row>
    <row r="58" spans="1:10" x14ac:dyDescent="0.25">
      <c r="A58" s="11" t="s">
        <v>22</v>
      </c>
    </row>
    <row r="59" spans="1:10" x14ac:dyDescent="0.25">
      <c r="B59" t="s">
        <v>8</v>
      </c>
      <c r="G59" s="8">
        <f>H6</f>
        <v>100000000</v>
      </c>
    </row>
    <row r="60" spans="1:10" x14ac:dyDescent="0.25">
      <c r="B60" t="s">
        <v>9</v>
      </c>
      <c r="G60" s="8">
        <f>E53-G59</f>
        <v>40457655.639999956</v>
      </c>
    </row>
    <row r="61" spans="1:10" ht="15.75" thickBot="1" x14ac:dyDescent="0.3">
      <c r="B61" t="s">
        <v>12</v>
      </c>
      <c r="G61" s="10">
        <f>(G60/G59)/3</f>
        <v>0.13485885213333318</v>
      </c>
    </row>
    <row r="62" spans="1:10" ht="19.5" thickBot="1" x14ac:dyDescent="0.35">
      <c r="B62" t="s">
        <v>11</v>
      </c>
      <c r="G62" s="13">
        <f>EFFECT(G61,12)</f>
        <v>0.14351481959972778</v>
      </c>
    </row>
    <row r="63" spans="1:10" x14ac:dyDescent="0.25">
      <c r="A63" s="11" t="s">
        <v>23</v>
      </c>
    </row>
    <row r="64" spans="1:10" x14ac:dyDescent="0.25">
      <c r="B64" t="s">
        <v>8</v>
      </c>
      <c r="G64" s="8">
        <f>G59</f>
        <v>100000000</v>
      </c>
    </row>
    <row r="65" spans="1:8" x14ac:dyDescent="0.25">
      <c r="B65" t="s">
        <v>10</v>
      </c>
      <c r="G65" s="8">
        <f>G64/1.18</f>
        <v>84745762.711864412</v>
      </c>
    </row>
    <row r="66" spans="1:8" x14ac:dyDescent="0.25">
      <c r="B66" t="s">
        <v>9</v>
      </c>
      <c r="G66" s="8">
        <f>G60</f>
        <v>40457655.639999956</v>
      </c>
    </row>
    <row r="67" spans="1:8" ht="15.75" thickBot="1" x14ac:dyDescent="0.3">
      <c r="B67" t="s">
        <v>12</v>
      </c>
      <c r="G67" s="10">
        <f>(G66/G65)/3</f>
        <v>0.15913344551733313</v>
      </c>
    </row>
    <row r="68" spans="1:8" ht="19.5" thickBot="1" x14ac:dyDescent="0.35">
      <c r="B68" t="s">
        <v>11</v>
      </c>
      <c r="G68" s="13">
        <f>EFFECT(G67,12)</f>
        <v>0.17126872083343492</v>
      </c>
    </row>
    <row r="69" spans="1:8" ht="15.75" thickBot="1" x14ac:dyDescent="0.3">
      <c r="A69" s="11" t="s">
        <v>24</v>
      </c>
    </row>
    <row r="70" spans="1:8" ht="19.5" thickBot="1" x14ac:dyDescent="0.35">
      <c r="G70" s="15">
        <f>RATE(36,-E17,H6)*12</f>
        <v>0.23461102502484427</v>
      </c>
      <c r="H70" t="s">
        <v>28</v>
      </c>
    </row>
    <row r="71" spans="1:8" ht="15.75" thickBot="1" x14ac:dyDescent="0.3">
      <c r="A71" s="11" t="s">
        <v>25</v>
      </c>
    </row>
    <row r="72" spans="1:8" ht="19.5" thickBot="1" x14ac:dyDescent="0.35">
      <c r="G72" s="15">
        <f>RATE(36,-E17,H9)*12</f>
        <v>0.36276737206695953</v>
      </c>
      <c r="H72" t="s">
        <v>28</v>
      </c>
    </row>
    <row r="73" spans="1:8" ht="15.75" thickBot="1" x14ac:dyDescent="0.3">
      <c r="A73" s="11" t="s">
        <v>27</v>
      </c>
    </row>
    <row r="74" spans="1:8" ht="19.5" thickBot="1" x14ac:dyDescent="0.35">
      <c r="G74" s="15">
        <f>J53</f>
        <v>0.23633764933454593</v>
      </c>
    </row>
  </sheetData>
  <mergeCells count="2">
    <mergeCell ref="B8:G8"/>
    <mergeCell ref="B10:G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Template</vt:lpstr>
      <vt:lpstr>Formula</vt:lpstr>
      <vt:lpstr>Возвратный лизинг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Mikhail Cherkasov</cp:lastModifiedBy>
  <dcterms:created xsi:type="dcterms:W3CDTF">2015-08-14T11:58:30Z</dcterms:created>
  <dcterms:modified xsi:type="dcterms:W3CDTF">2015-12-03T14:43:41Z</dcterms:modified>
</cp:coreProperties>
</file>