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"/>
    </mc:Choice>
  </mc:AlternateContent>
  <bookViews>
    <workbookView xWindow="0" yWindow="0" windowWidth="20496" windowHeight="6936" firstSheet="3" activeTab="6" xr2:uid="{00000000-000D-0000-FFFF-FFFF00000000}"/>
  </bookViews>
  <sheets>
    <sheet name="Фиксированные ставки" sheetId="3" r:id="rId1"/>
    <sheet name="Вариативные ставки" sheetId="4" r:id="rId2"/>
    <sheet name="Cash Flow уточненный" sheetId="6" r:id="rId3"/>
    <sheet name="Формулы и определения" sheetId="7" r:id="rId4"/>
    <sheet name="Чувствительность" sheetId="9" r:id="rId5"/>
    <sheet name="Определение БухКоэфф" sheetId="10" r:id="rId6"/>
    <sheet name="Расчет БухКоэфф" sheetId="11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"HE6A3QMGT5ZT2TVGNYUIWL8J"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2" i="11" l="1"/>
  <c r="B171" i="11"/>
  <c r="B170" i="11"/>
  <c r="H169" i="11"/>
  <c r="H171" i="11"/>
  <c r="B169" i="11"/>
  <c r="I168" i="11"/>
  <c r="H168" i="11"/>
  <c r="H170" i="11"/>
  <c r="G168" i="11"/>
  <c r="G170" i="11"/>
  <c r="F168" i="11"/>
  <c r="F170" i="11"/>
  <c r="E168" i="11"/>
  <c r="E170" i="11"/>
  <c r="D168" i="11"/>
  <c r="D170" i="11"/>
  <c r="I170" i="11"/>
  <c r="B168" i="11"/>
  <c r="B164" i="11"/>
  <c r="B162" i="11"/>
  <c r="B161" i="11"/>
  <c r="B156" i="11"/>
  <c r="B155" i="11"/>
  <c r="B154" i="11"/>
  <c r="B153" i="11"/>
  <c r="B151" i="11"/>
  <c r="B150" i="11"/>
  <c r="H149" i="11"/>
  <c r="H150" i="11"/>
  <c r="B149" i="11"/>
  <c r="H137" i="11"/>
  <c r="F137" i="11"/>
  <c r="B135" i="11"/>
  <c r="B131" i="11"/>
  <c r="H111" i="11"/>
  <c r="G111" i="11"/>
  <c r="F111" i="11"/>
  <c r="E111" i="11"/>
  <c r="D111" i="11"/>
  <c r="E109" i="11"/>
  <c r="C108" i="11"/>
  <c r="C97" i="11"/>
  <c r="E95" i="11"/>
  <c r="H93" i="11"/>
  <c r="G93" i="11"/>
  <c r="F93" i="11"/>
  <c r="F89" i="11"/>
  <c r="E93" i="11"/>
  <c r="E89" i="11"/>
  <c r="D93" i="11"/>
  <c r="C93" i="11"/>
  <c r="C89" i="11"/>
  <c r="H89" i="11"/>
  <c r="G89" i="11"/>
  <c r="D89" i="11"/>
  <c r="H84" i="11"/>
  <c r="G84" i="11"/>
  <c r="F84" i="11"/>
  <c r="E84" i="11"/>
  <c r="D84" i="11"/>
  <c r="C84" i="11"/>
  <c r="H83" i="11"/>
  <c r="G83" i="11"/>
  <c r="F83" i="11"/>
  <c r="E83" i="11"/>
  <c r="D83" i="11"/>
  <c r="C83" i="11"/>
  <c r="C78" i="11"/>
  <c r="C95" i="11"/>
  <c r="H82" i="11"/>
  <c r="G82" i="11"/>
  <c r="F82" i="11"/>
  <c r="E82" i="11"/>
  <c r="D82" i="11"/>
  <c r="C82" i="11"/>
  <c r="H81" i="11"/>
  <c r="G81" i="11"/>
  <c r="F81" i="11"/>
  <c r="E81" i="11"/>
  <c r="D81" i="11"/>
  <c r="D78" i="11"/>
  <c r="D95" i="11"/>
  <c r="C81" i="11"/>
  <c r="H80" i="11"/>
  <c r="G80" i="11"/>
  <c r="F80" i="11"/>
  <c r="E80" i="11"/>
  <c r="D80" i="11"/>
  <c r="C80" i="11"/>
  <c r="H78" i="11"/>
  <c r="H162" i="11"/>
  <c r="F78" i="11"/>
  <c r="F95" i="11"/>
  <c r="E78" i="11"/>
  <c r="H74" i="11"/>
  <c r="G74" i="11"/>
  <c r="F74" i="11"/>
  <c r="E74" i="11"/>
  <c r="D74" i="11"/>
  <c r="D152" i="11"/>
  <c r="C74" i="11"/>
  <c r="H73" i="11"/>
  <c r="H148" i="11"/>
  <c r="H151" i="11"/>
  <c r="G73" i="11"/>
  <c r="F73" i="11"/>
  <c r="E73" i="11"/>
  <c r="E152" i="11"/>
  <c r="D73" i="11"/>
  <c r="C73" i="11"/>
  <c r="H72" i="11"/>
  <c r="G72" i="11"/>
  <c r="F72" i="11"/>
  <c r="F68" i="11"/>
  <c r="E72" i="11"/>
  <c r="D72" i="11"/>
  <c r="C72" i="11"/>
  <c r="H71" i="11"/>
  <c r="G71" i="11"/>
  <c r="F71" i="11"/>
  <c r="E71" i="11"/>
  <c r="D71" i="11"/>
  <c r="C71" i="11"/>
  <c r="H70" i="11"/>
  <c r="G70" i="11"/>
  <c r="G68" i="11"/>
  <c r="F70" i="11"/>
  <c r="E70" i="11"/>
  <c r="D70" i="11"/>
  <c r="C70" i="11"/>
  <c r="H68" i="11"/>
  <c r="E68" i="11"/>
  <c r="E155" i="11"/>
  <c r="H66" i="11"/>
  <c r="G66" i="11"/>
  <c r="F66" i="11"/>
  <c r="E66" i="11"/>
  <c r="D66" i="11"/>
  <c r="D63" i="11"/>
  <c r="D157" i="11"/>
  <c r="C66" i="11"/>
  <c r="H65" i="11"/>
  <c r="G65" i="11"/>
  <c r="F65" i="11"/>
  <c r="E65" i="11"/>
  <c r="D65" i="11"/>
  <c r="C65" i="11"/>
  <c r="C63" i="11"/>
  <c r="H63" i="11"/>
  <c r="H157" i="11"/>
  <c r="G63" i="11"/>
  <c r="H60" i="11"/>
  <c r="H58" i="11"/>
  <c r="C57" i="11"/>
  <c r="C56" i="11"/>
  <c r="C55" i="11"/>
  <c r="C52" i="11"/>
  <c r="H50" i="11"/>
  <c r="G50" i="11"/>
  <c r="F50" i="11"/>
  <c r="E50" i="11"/>
  <c r="D50" i="11"/>
  <c r="C50" i="11"/>
  <c r="H49" i="11"/>
  <c r="G49" i="11"/>
  <c r="F49" i="11"/>
  <c r="E49" i="11"/>
  <c r="D49" i="11"/>
  <c r="C49" i="11"/>
  <c r="H48" i="11"/>
  <c r="G48" i="11"/>
  <c r="F48" i="11"/>
  <c r="E48" i="11"/>
  <c r="D48" i="11"/>
  <c r="C48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45" i="11"/>
  <c r="G45" i="11"/>
  <c r="F45" i="11"/>
  <c r="E45" i="11"/>
  <c r="D45" i="11"/>
  <c r="C45" i="11"/>
  <c r="H39" i="11"/>
  <c r="G39" i="11"/>
  <c r="G109" i="11"/>
  <c r="F39" i="11"/>
  <c r="F109" i="11"/>
  <c r="E39" i="11"/>
  <c r="D39" i="11"/>
  <c r="D129" i="11"/>
  <c r="H37" i="11"/>
  <c r="G37" i="11"/>
  <c r="F37" i="11"/>
  <c r="E37" i="11"/>
  <c r="D37" i="11"/>
  <c r="I37" i="11"/>
  <c r="H35" i="11"/>
  <c r="G35" i="11"/>
  <c r="G137" i="11"/>
  <c r="F35" i="11"/>
  <c r="E35" i="11"/>
  <c r="E137" i="11"/>
  <c r="D35" i="11"/>
  <c r="E34" i="11"/>
  <c r="F34" i="11"/>
  <c r="G34" i="11"/>
  <c r="G56" i="11"/>
  <c r="G55" i="11"/>
  <c r="G163" i="11"/>
  <c r="D34" i="11"/>
  <c r="G32" i="11"/>
  <c r="H32" i="11"/>
  <c r="F32" i="11"/>
  <c r="E32" i="11"/>
  <c r="D32" i="11"/>
  <c r="C31" i="11"/>
  <c r="C98" i="11"/>
  <c r="H30" i="11"/>
  <c r="G30" i="11"/>
  <c r="F30" i="11"/>
  <c r="E30" i="11"/>
  <c r="D30" i="11"/>
  <c r="I30" i="11"/>
  <c r="C29" i="11"/>
  <c r="C101" i="11"/>
  <c r="D28" i="11"/>
  <c r="E28" i="11"/>
  <c r="F28" i="11"/>
  <c r="G28" i="11"/>
  <c r="H28" i="11"/>
  <c r="H53" i="11"/>
  <c r="F27" i="11"/>
  <c r="F108" i="11"/>
  <c r="C27" i="11"/>
  <c r="G26" i="11"/>
  <c r="F26" i="11"/>
  <c r="F54" i="11"/>
  <c r="H25" i="11"/>
  <c r="G25" i="11"/>
  <c r="E25" i="11"/>
  <c r="D25" i="11"/>
  <c r="G23" i="11"/>
  <c r="F23" i="11"/>
  <c r="G22" i="11"/>
  <c r="F22" i="11"/>
  <c r="D22" i="11"/>
  <c r="G21" i="11"/>
  <c r="F21" i="11"/>
  <c r="D21" i="11"/>
  <c r="H20" i="11"/>
  <c r="H24" i="11"/>
  <c r="H134" i="11"/>
  <c r="G20" i="11"/>
  <c r="G24" i="11"/>
  <c r="F20" i="11"/>
  <c r="F24" i="11"/>
  <c r="E20" i="11"/>
  <c r="E23" i="11"/>
  <c r="D20" i="11"/>
  <c r="D23" i="11"/>
  <c r="H19" i="11"/>
  <c r="G19" i="11"/>
  <c r="F19" i="11"/>
  <c r="E19" i="11"/>
  <c r="D19" i="11"/>
  <c r="H18" i="11"/>
  <c r="H57" i="11"/>
  <c r="G18" i="11"/>
  <c r="G57" i="11"/>
  <c r="F18" i="11"/>
  <c r="F57" i="11"/>
  <c r="E18" i="11"/>
  <c r="E57" i="11"/>
  <c r="D18" i="11"/>
  <c r="H17" i="11"/>
  <c r="G17" i="11"/>
  <c r="F17" i="11"/>
  <c r="E17" i="11"/>
  <c r="E162" i="11"/>
  <c r="D17" i="11"/>
  <c r="D56" i="11"/>
  <c r="H16" i="11"/>
  <c r="H132" i="11"/>
  <c r="H14" i="11"/>
  <c r="G14" i="11"/>
  <c r="F14" i="11"/>
  <c r="E14" i="11"/>
  <c r="D14" i="11"/>
  <c r="H13" i="11"/>
  <c r="G13" i="11"/>
  <c r="F13" i="11"/>
  <c r="E13" i="11"/>
  <c r="D13" i="11"/>
  <c r="I12" i="11"/>
  <c r="H12" i="11"/>
  <c r="G12" i="11"/>
  <c r="G149" i="11"/>
  <c r="G150" i="11"/>
  <c r="F12" i="11"/>
  <c r="F169" i="11"/>
  <c r="F171" i="11"/>
  <c r="E12" i="11"/>
  <c r="E149" i="11"/>
  <c r="E150" i="11"/>
  <c r="D12" i="11"/>
  <c r="D26" i="11"/>
  <c r="H11" i="11"/>
  <c r="G11" i="11"/>
  <c r="F11" i="11"/>
  <c r="E11" i="11"/>
  <c r="D11" i="11"/>
  <c r="H10" i="11"/>
  <c r="H174" i="11"/>
  <c r="G10" i="11"/>
  <c r="G154" i="11"/>
  <c r="F10" i="11"/>
  <c r="F154" i="11"/>
  <c r="E10" i="11"/>
  <c r="D10" i="11"/>
  <c r="H9" i="11"/>
  <c r="G9" i="11"/>
  <c r="F9" i="11"/>
  <c r="E9" i="11"/>
  <c r="D9" i="11"/>
  <c r="I9" i="11"/>
  <c r="C9" i="11"/>
  <c r="H8" i="11"/>
  <c r="G8" i="11"/>
  <c r="F8" i="11"/>
  <c r="E8" i="11"/>
  <c r="D8" i="11"/>
  <c r="H7" i="11"/>
  <c r="G7" i="11"/>
  <c r="F7" i="11"/>
  <c r="I7" i="11"/>
  <c r="E7" i="11"/>
  <c r="D7" i="11"/>
  <c r="H6" i="11"/>
  <c r="G6" i="11"/>
  <c r="G60" i="11"/>
  <c r="G58" i="11"/>
  <c r="F6" i="11"/>
  <c r="F60" i="11"/>
  <c r="F58" i="11"/>
  <c r="E6" i="11"/>
  <c r="E60" i="11"/>
  <c r="E58" i="11"/>
  <c r="D6" i="11"/>
  <c r="D60" i="11"/>
  <c r="D58" i="11"/>
  <c r="C6" i="11"/>
  <c r="C60" i="11"/>
  <c r="C58" i="11"/>
  <c r="I5" i="11"/>
  <c r="B41" i="10"/>
  <c r="B40" i="10"/>
  <c r="B39" i="10"/>
  <c r="B37" i="10"/>
  <c r="B35" i="10"/>
  <c r="B34" i="10"/>
  <c r="B19" i="10"/>
  <c r="B18" i="10"/>
  <c r="B17" i="10"/>
  <c r="B16" i="10"/>
  <c r="B15" i="10"/>
  <c r="B12" i="10"/>
  <c r="B11" i="10"/>
  <c r="B10" i="10"/>
  <c r="B8" i="10"/>
  <c r="B7" i="10"/>
  <c r="B4" i="10"/>
  <c r="B3" i="10"/>
  <c r="C102" i="11"/>
  <c r="C103" i="11"/>
  <c r="G76" i="11"/>
  <c r="G131" i="11"/>
  <c r="G155" i="11"/>
  <c r="C106" i="11"/>
  <c r="C107" i="11"/>
  <c r="D54" i="11"/>
  <c r="F155" i="11"/>
  <c r="E154" i="11"/>
  <c r="E129" i="11"/>
  <c r="E174" i="11"/>
  <c r="E16" i="11"/>
  <c r="I13" i="11"/>
  <c r="F56" i="11"/>
  <c r="F55" i="11"/>
  <c r="F163" i="11"/>
  <c r="G27" i="11"/>
  <c r="G108" i="11"/>
  <c r="H152" i="11"/>
  <c r="H153" i="11"/>
  <c r="I111" i="11"/>
  <c r="G129" i="11"/>
  <c r="H156" i="11"/>
  <c r="H34" i="11"/>
  <c r="H56" i="11"/>
  <c r="H55" i="11"/>
  <c r="H163" i="11"/>
  <c r="F148" i="11"/>
  <c r="F151" i="11"/>
  <c r="F134" i="11"/>
  <c r="F174" i="11"/>
  <c r="F16" i="11"/>
  <c r="F53" i="11"/>
  <c r="F52" i="11"/>
  <c r="F166" i="11"/>
  <c r="F29" i="11"/>
  <c r="G162" i="11"/>
  <c r="E22" i="11"/>
  <c r="I22" i="11"/>
  <c r="E24" i="11"/>
  <c r="E26" i="11"/>
  <c r="I26" i="11"/>
  <c r="C33" i="11"/>
  <c r="G157" i="11"/>
  <c r="H97" i="11"/>
  <c r="F149" i="11"/>
  <c r="F150" i="11"/>
  <c r="D149" i="11"/>
  <c r="D169" i="11"/>
  <c r="D137" i="11"/>
  <c r="I137" i="11"/>
  <c r="I35" i="11"/>
  <c r="H109" i="11"/>
  <c r="H129" i="11"/>
  <c r="H76" i="11"/>
  <c r="D148" i="11"/>
  <c r="D27" i="11"/>
  <c r="D174" i="11"/>
  <c r="D53" i="11"/>
  <c r="D52" i="11"/>
  <c r="D166" i="11"/>
  <c r="D29" i="11"/>
  <c r="G174" i="11"/>
  <c r="G53" i="11"/>
  <c r="G52" i="11"/>
  <c r="G166" i="11"/>
  <c r="G29" i="11"/>
  <c r="G16" i="11"/>
  <c r="I17" i="11"/>
  <c r="I20" i="11"/>
  <c r="G54" i="11"/>
  <c r="I39" i="11"/>
  <c r="C68" i="11"/>
  <c r="C76" i="11"/>
  <c r="E134" i="11"/>
  <c r="D16" i="11"/>
  <c r="I10" i="11"/>
  <c r="I18" i="11"/>
  <c r="D156" i="11"/>
  <c r="D68" i="11"/>
  <c r="H95" i="11"/>
  <c r="G134" i="11"/>
  <c r="E21" i="11"/>
  <c r="I21" i="11"/>
  <c r="I28" i="11"/>
  <c r="I32" i="11"/>
  <c r="D57" i="11"/>
  <c r="D55" i="11"/>
  <c r="D163" i="11"/>
  <c r="E156" i="11"/>
  <c r="G78" i="11"/>
  <c r="E148" i="11"/>
  <c r="E151" i="11"/>
  <c r="H155" i="11"/>
  <c r="F162" i="11"/>
  <c r="H21" i="11"/>
  <c r="H26" i="11"/>
  <c r="H22" i="11"/>
  <c r="I6" i="11"/>
  <c r="I14" i="11"/>
  <c r="D162" i="11"/>
  <c r="I162" i="11"/>
  <c r="E27" i="11"/>
  <c r="E108" i="11"/>
  <c r="E53" i="11"/>
  <c r="F63" i="11"/>
  <c r="F157" i="11"/>
  <c r="F25" i="11"/>
  <c r="I25" i="11"/>
  <c r="F152" i="11"/>
  <c r="I152" i="11"/>
  <c r="D109" i="11"/>
  <c r="G148" i="11"/>
  <c r="G151" i="11"/>
  <c r="H23" i="11"/>
  <c r="I23" i="11"/>
  <c r="E29" i="11"/>
  <c r="G152" i="11"/>
  <c r="F129" i="11"/>
  <c r="I129" i="11"/>
  <c r="D154" i="11"/>
  <c r="I154" i="11"/>
  <c r="F156" i="11"/>
  <c r="D24" i="11"/>
  <c r="I24" i="11"/>
  <c r="H154" i="11"/>
  <c r="E169" i="11"/>
  <c r="E171" i="11"/>
  <c r="E56" i="11"/>
  <c r="E55" i="11"/>
  <c r="E163" i="11"/>
  <c r="E63" i="11"/>
  <c r="E157" i="11"/>
  <c r="I157" i="11"/>
  <c r="G169" i="11"/>
  <c r="G171" i="11"/>
  <c r="H131" i="11"/>
  <c r="I109" i="11"/>
  <c r="H172" i="11"/>
  <c r="H161" i="11"/>
  <c r="H135" i="11"/>
  <c r="H136" i="11"/>
  <c r="G153" i="11"/>
  <c r="D33" i="11"/>
  <c r="D101" i="11"/>
  <c r="D31" i="11"/>
  <c r="G135" i="11"/>
  <c r="G136" i="11"/>
  <c r="G172" i="11"/>
  <c r="G161" i="11"/>
  <c r="E76" i="11"/>
  <c r="G156" i="11"/>
  <c r="G95" i="11"/>
  <c r="F41" i="11"/>
  <c r="F33" i="11"/>
  <c r="F31" i="11"/>
  <c r="F101" i="11"/>
  <c r="H54" i="11"/>
  <c r="H52" i="11"/>
  <c r="H166" i="11"/>
  <c r="H27" i="11"/>
  <c r="H108" i="11"/>
  <c r="H29" i="11"/>
  <c r="D97" i="11"/>
  <c r="D132" i="11"/>
  <c r="I16" i="11"/>
  <c r="G132" i="11"/>
  <c r="G97" i="11"/>
  <c r="I174" i="11"/>
  <c r="I34" i="11"/>
  <c r="E33" i="11"/>
  <c r="E101" i="11"/>
  <c r="E41" i="11"/>
  <c r="E31" i="11"/>
  <c r="E98" i="11"/>
  <c r="D155" i="11"/>
  <c r="I155" i="11"/>
  <c r="D76" i="11"/>
  <c r="D108" i="11"/>
  <c r="I108" i="11"/>
  <c r="I169" i="11"/>
  <c r="D171" i="11"/>
  <c r="I171" i="11"/>
  <c r="C37" i="11"/>
  <c r="C38" i="11"/>
  <c r="C99" i="11"/>
  <c r="C36" i="11"/>
  <c r="C100" i="11"/>
  <c r="F132" i="11"/>
  <c r="F97" i="11"/>
  <c r="E132" i="11"/>
  <c r="E97" i="11"/>
  <c r="I156" i="11"/>
  <c r="G101" i="11"/>
  <c r="G31" i="11"/>
  <c r="G41" i="11"/>
  <c r="G33" i="11"/>
  <c r="D134" i="11"/>
  <c r="I134" i="11"/>
  <c r="D150" i="11"/>
  <c r="I150" i="11"/>
  <c r="I149" i="11"/>
  <c r="I29" i="11"/>
  <c r="F76" i="11"/>
  <c r="D151" i="11"/>
  <c r="I151" i="11"/>
  <c r="I148" i="11"/>
  <c r="E173" i="11"/>
  <c r="E54" i="11"/>
  <c r="E52" i="11"/>
  <c r="E166" i="11"/>
  <c r="I166" i="11"/>
  <c r="C105" i="11"/>
  <c r="G100" i="11"/>
  <c r="G36" i="11"/>
  <c r="G38" i="11"/>
  <c r="G99" i="11"/>
  <c r="G42" i="11"/>
  <c r="F172" i="11"/>
  <c r="F135" i="11"/>
  <c r="F136" i="11"/>
  <c r="F153" i="11"/>
  <c r="F131" i="11"/>
  <c r="F161" i="11"/>
  <c r="G133" i="11"/>
  <c r="G103" i="11"/>
  <c r="G102" i="11"/>
  <c r="I33" i="11"/>
  <c r="H101" i="11"/>
  <c r="H41" i="11"/>
  <c r="H33" i="11"/>
  <c r="H31" i="11"/>
  <c r="D133" i="11"/>
  <c r="D103" i="11"/>
  <c r="D102" i="11"/>
  <c r="I101" i="11"/>
  <c r="D172" i="11"/>
  <c r="D135" i="11"/>
  <c r="D136" i="11"/>
  <c r="D153" i="11"/>
  <c r="D131" i="11"/>
  <c r="I131" i="11"/>
  <c r="D161" i="11"/>
  <c r="D38" i="11"/>
  <c r="D100" i="11"/>
  <c r="D99" i="11"/>
  <c r="D36" i="11"/>
  <c r="E135" i="11"/>
  <c r="E136" i="11"/>
  <c r="E172" i="11"/>
  <c r="E153" i="11"/>
  <c r="E161" i="11"/>
  <c r="E131" i="11"/>
  <c r="E106" i="11"/>
  <c r="E107" i="11"/>
  <c r="F102" i="11"/>
  <c r="F103" i="11"/>
  <c r="F133" i="11"/>
  <c r="I41" i="11"/>
  <c r="F98" i="11"/>
  <c r="F173" i="11"/>
  <c r="E103" i="11"/>
  <c r="E102" i="11"/>
  <c r="E133" i="11"/>
  <c r="I132" i="11"/>
  <c r="F99" i="11"/>
  <c r="F100" i="11"/>
  <c r="F42" i="11"/>
  <c r="F38" i="11"/>
  <c r="F36" i="11"/>
  <c r="G98" i="11"/>
  <c r="G173" i="11"/>
  <c r="C104" i="11"/>
  <c r="I27" i="11"/>
  <c r="E99" i="11"/>
  <c r="E42" i="11"/>
  <c r="E100" i="11"/>
  <c r="E38" i="11"/>
  <c r="E36" i="11"/>
  <c r="I97" i="11"/>
  <c r="D98" i="11"/>
  <c r="I31" i="11"/>
  <c r="D173" i="11"/>
  <c r="I36" i="11"/>
  <c r="I42" i="11"/>
  <c r="F105" i="11"/>
  <c r="F43" i="11"/>
  <c r="F158" i="11"/>
  <c r="F165" i="11"/>
  <c r="D117" i="11"/>
  <c r="D128" i="11"/>
  <c r="D164" i="11"/>
  <c r="D146" i="11"/>
  <c r="D114" i="11"/>
  <c r="D104" i="11"/>
  <c r="I173" i="11"/>
  <c r="F107" i="11"/>
  <c r="F106" i="11"/>
  <c r="D105" i="11"/>
  <c r="D165" i="11"/>
  <c r="D158" i="11"/>
  <c r="F117" i="11"/>
  <c r="F146" i="11"/>
  <c r="F159" i="11"/>
  <c r="F164" i="11"/>
  <c r="F128" i="11"/>
  <c r="F114" i="11"/>
  <c r="F104" i="11"/>
  <c r="I161" i="11"/>
  <c r="D106" i="11"/>
  <c r="D107" i="11"/>
  <c r="I133" i="11"/>
  <c r="G43" i="11"/>
  <c r="G158" i="11"/>
  <c r="G165" i="11"/>
  <c r="G105" i="11"/>
  <c r="I153" i="11"/>
  <c r="H98" i="11"/>
  <c r="H173" i="11"/>
  <c r="I136" i="11"/>
  <c r="H100" i="11"/>
  <c r="H38" i="11"/>
  <c r="H36" i="11"/>
  <c r="H99" i="11"/>
  <c r="I99" i="11"/>
  <c r="H42" i="11"/>
  <c r="G117" i="11"/>
  <c r="G146" i="11"/>
  <c r="G159" i="11"/>
  <c r="G164" i="11"/>
  <c r="G128" i="11"/>
  <c r="G114" i="11"/>
  <c r="G104" i="11"/>
  <c r="G106" i="11"/>
  <c r="G107" i="11"/>
  <c r="I172" i="11"/>
  <c r="I38" i="11"/>
  <c r="E165" i="11"/>
  <c r="E158" i="11"/>
  <c r="E105" i="11"/>
  <c r="E43" i="11"/>
  <c r="E104" i="11"/>
  <c r="E117" i="11"/>
  <c r="E146" i="11"/>
  <c r="E159" i="11"/>
  <c r="E128" i="11"/>
  <c r="E164" i="11"/>
  <c r="E114" i="11"/>
  <c r="E116" i="11"/>
  <c r="E139" i="11"/>
  <c r="E122" i="11"/>
  <c r="H133" i="11"/>
  <c r="H102" i="11"/>
  <c r="I102" i="11"/>
  <c r="H103" i="11"/>
  <c r="I103" i="11"/>
  <c r="I104" i="11"/>
  <c r="H146" i="11"/>
  <c r="H159" i="11"/>
  <c r="H164" i="11"/>
  <c r="I164" i="11"/>
  <c r="H128" i="11"/>
  <c r="H114" i="11"/>
  <c r="H104" i="11"/>
  <c r="H117" i="11"/>
  <c r="H107" i="11"/>
  <c r="H106" i="11"/>
  <c r="F139" i="11"/>
  <c r="F122" i="11"/>
  <c r="F116" i="11"/>
  <c r="I117" i="11"/>
  <c r="I98" i="11"/>
  <c r="G116" i="11"/>
  <c r="G122" i="11"/>
  <c r="G139" i="11"/>
  <c r="E143" i="11"/>
  <c r="E140" i="11"/>
  <c r="E142" i="11"/>
  <c r="E141" i="11"/>
  <c r="G130" i="11"/>
  <c r="G125" i="11"/>
  <c r="G120" i="11"/>
  <c r="G112" i="11"/>
  <c r="G121" i="11"/>
  <c r="G113" i="11"/>
  <c r="G118" i="11"/>
  <c r="G147" i="11"/>
  <c r="G124" i="11"/>
  <c r="G119" i="11"/>
  <c r="G115" i="11"/>
  <c r="G127" i="11"/>
  <c r="D139" i="11"/>
  <c r="D116" i="11"/>
  <c r="D122" i="11"/>
  <c r="I100" i="11"/>
  <c r="I107" i="11"/>
  <c r="E124" i="11"/>
  <c r="E119" i="11"/>
  <c r="E115" i="11"/>
  <c r="E130" i="11"/>
  <c r="E125" i="11"/>
  <c r="E120" i="11"/>
  <c r="E112" i="11"/>
  <c r="E113" i="11"/>
  <c r="E121" i="11"/>
  <c r="E147" i="11"/>
  <c r="E118" i="11"/>
  <c r="E127" i="11"/>
  <c r="H158" i="11"/>
  <c r="I158" i="11"/>
  <c r="H165" i="11"/>
  <c r="H105" i="11"/>
  <c r="H43" i="11"/>
  <c r="I43" i="11"/>
  <c r="I114" i="11"/>
  <c r="F121" i="11"/>
  <c r="F113" i="11"/>
  <c r="F118" i="11"/>
  <c r="F120" i="11"/>
  <c r="F124" i="11"/>
  <c r="F119" i="11"/>
  <c r="F112" i="11"/>
  <c r="F147" i="11"/>
  <c r="F115" i="11"/>
  <c r="F130" i="11"/>
  <c r="F125" i="11"/>
  <c r="F127" i="11"/>
  <c r="I165" i="11"/>
  <c r="D159" i="11"/>
  <c r="I159" i="11"/>
  <c r="I146" i="11"/>
  <c r="D147" i="11"/>
  <c r="D130" i="11"/>
  <c r="D125" i="11"/>
  <c r="D120" i="11"/>
  <c r="D112" i="11"/>
  <c r="D121" i="11"/>
  <c r="D113" i="11"/>
  <c r="D124" i="11"/>
  <c r="D119" i="11"/>
  <c r="D115" i="11"/>
  <c r="D118" i="11"/>
  <c r="D127" i="11"/>
  <c r="I128" i="11"/>
  <c r="I119" i="11"/>
  <c r="H118" i="11"/>
  <c r="H147" i="11"/>
  <c r="H124" i="11"/>
  <c r="H119" i="11"/>
  <c r="H115" i="11"/>
  <c r="H112" i="11"/>
  <c r="H130" i="11"/>
  <c r="I130" i="11"/>
  <c r="H121" i="11"/>
  <c r="I121" i="11"/>
  <c r="H125" i="11"/>
  <c r="I125" i="11"/>
  <c r="H120" i="11"/>
  <c r="H113" i="11"/>
  <c r="H127" i="11"/>
  <c r="I105" i="11"/>
  <c r="I113" i="11"/>
  <c r="H122" i="11"/>
  <c r="I122" i="11"/>
  <c r="H116" i="11"/>
  <c r="H139" i="11"/>
  <c r="I112" i="11"/>
  <c r="I106" i="11"/>
  <c r="I127" i="11"/>
  <c r="I116" i="11"/>
  <c r="I120" i="11"/>
  <c r="I118" i="11"/>
  <c r="I115" i="11"/>
  <c r="D142" i="11"/>
  <c r="D143" i="11"/>
  <c r="D140" i="11"/>
  <c r="I147" i="11"/>
  <c r="I124" i="11"/>
  <c r="G141" i="11"/>
  <c r="G143" i="11"/>
  <c r="G142" i="11"/>
  <c r="G140" i="11"/>
  <c r="F142" i="11"/>
  <c r="F143" i="11"/>
  <c r="F140" i="11"/>
  <c r="F141" i="11"/>
  <c r="I140" i="11"/>
  <c r="I143" i="11"/>
  <c r="H143" i="11"/>
  <c r="H140" i="11"/>
  <c r="H141" i="11"/>
  <c r="H142" i="11"/>
  <c r="I139" i="11"/>
  <c r="I142" i="11"/>
  <c r="I195" i="3"/>
  <c r="I192" i="3"/>
  <c r="I197" i="3"/>
  <c r="H196" i="3"/>
  <c r="I196" i="3"/>
  <c r="E193" i="3"/>
  <c r="F193" i="3"/>
  <c r="G193" i="3"/>
  <c r="H193" i="3"/>
  <c r="D193" i="3"/>
  <c r="D171" i="3"/>
  <c r="D192" i="3"/>
  <c r="C176" i="3"/>
  <c r="D176" i="3"/>
  <c r="E176" i="3"/>
  <c r="F176" i="3"/>
  <c r="I194" i="3"/>
  <c r="I193" i="3"/>
  <c r="G176" i="3"/>
  <c r="H176" i="3"/>
  <c r="K176" i="3"/>
  <c r="E217" i="6"/>
  <c r="F217" i="6"/>
  <c r="G217" i="6"/>
  <c r="H217" i="6"/>
  <c r="D217" i="6"/>
  <c r="I215" i="6"/>
  <c r="I216" i="6"/>
  <c r="E216" i="6"/>
  <c r="F216" i="6"/>
  <c r="G216" i="6"/>
  <c r="H216" i="6"/>
  <c r="D216" i="6"/>
  <c r="E215" i="6"/>
  <c r="F215" i="6"/>
  <c r="G215" i="6"/>
  <c r="H215" i="6"/>
  <c r="D215" i="6"/>
  <c r="I217" i="6"/>
  <c r="E212" i="6"/>
  <c r="F212" i="6"/>
  <c r="G212" i="6"/>
  <c r="H212" i="6"/>
  <c r="D212" i="6"/>
  <c r="C269" i="9"/>
  <c r="E283" i="9"/>
  <c r="F269" i="9"/>
  <c r="D283" i="9"/>
  <c r="E269" i="9"/>
  <c r="D269" i="9"/>
  <c r="C283" i="9"/>
  <c r="D219" i="9"/>
  <c r="E219" i="9"/>
  <c r="F219" i="9"/>
  <c r="G219" i="9"/>
  <c r="H219" i="9"/>
  <c r="E265" i="9"/>
  <c r="F265" i="9"/>
  <c r="G265" i="9"/>
  <c r="H265" i="9"/>
  <c r="E264" i="9"/>
  <c r="F264" i="9"/>
  <c r="G264" i="9"/>
  <c r="H264" i="9"/>
  <c r="E263" i="9"/>
  <c r="F263" i="9"/>
  <c r="G263" i="9"/>
  <c r="H263" i="9"/>
  <c r="E262" i="9"/>
  <c r="F262" i="9"/>
  <c r="G262" i="9"/>
  <c r="H262" i="9"/>
  <c r="E261" i="9"/>
  <c r="F261" i="9"/>
  <c r="G261" i="9"/>
  <c r="H261" i="9"/>
  <c r="E260" i="9"/>
  <c r="F260" i="9"/>
  <c r="G260" i="9"/>
  <c r="H260" i="9"/>
  <c r="E257" i="9"/>
  <c r="F257" i="9"/>
  <c r="G257" i="9"/>
  <c r="H257" i="9"/>
  <c r="E256" i="9"/>
  <c r="F256" i="9"/>
  <c r="G256" i="9"/>
  <c r="H256" i="9"/>
  <c r="D252" i="9"/>
  <c r="E255" i="9"/>
  <c r="F255" i="9"/>
  <c r="G255" i="9"/>
  <c r="H255" i="9"/>
  <c r="C255" i="9"/>
  <c r="E254" i="9"/>
  <c r="F254" i="9"/>
  <c r="G254" i="9"/>
  <c r="H254" i="9"/>
  <c r="C254" i="9"/>
  <c r="E253" i="9"/>
  <c r="F253" i="9"/>
  <c r="G253" i="9"/>
  <c r="H253" i="9"/>
  <c r="C253" i="9"/>
  <c r="E252" i="9"/>
  <c r="F252" i="9"/>
  <c r="G252" i="9"/>
  <c r="H252" i="9"/>
  <c r="F241" i="9"/>
  <c r="F239" i="9"/>
  <c r="F237" i="9"/>
  <c r="F235" i="9"/>
  <c r="F238" i="9"/>
  <c r="F236" i="9"/>
  <c r="F234" i="9"/>
  <c r="E246" i="9"/>
  <c r="F246" i="9"/>
  <c r="G246" i="9"/>
  <c r="H246" i="9"/>
  <c r="E245" i="9"/>
  <c r="F245" i="9"/>
  <c r="G245" i="9"/>
  <c r="H245" i="9"/>
  <c r="E244" i="9"/>
  <c r="F244" i="9"/>
  <c r="G244" i="9"/>
  <c r="H244" i="9"/>
  <c r="E247" i="9"/>
  <c r="F247" i="9"/>
  <c r="G247" i="9"/>
  <c r="H247" i="9"/>
  <c r="C247" i="9"/>
  <c r="C246" i="9"/>
  <c r="C245" i="9"/>
  <c r="F240" i="9"/>
  <c r="D218" i="9"/>
  <c r="E218" i="9"/>
  <c r="F218" i="9"/>
  <c r="D23" i="9"/>
  <c r="E23" i="6"/>
  <c r="F23" i="6"/>
  <c r="G23" i="6"/>
  <c r="H23" i="6"/>
  <c r="D23" i="6"/>
  <c r="I23" i="6"/>
  <c r="E23" i="4"/>
  <c r="F23" i="4"/>
  <c r="G23" i="4"/>
  <c r="H23" i="4"/>
  <c r="D23" i="4"/>
  <c r="F233" i="9"/>
  <c r="F232" i="9"/>
  <c r="F231" i="9"/>
  <c r="F230" i="9"/>
  <c r="D233" i="9"/>
  <c r="D235" i="9"/>
  <c r="D237" i="9"/>
  <c r="D239" i="9"/>
  <c r="D241" i="9"/>
  <c r="D232" i="9"/>
  <c r="E19" i="9"/>
  <c r="F19" i="9"/>
  <c r="E11" i="9"/>
  <c r="E8" i="9"/>
  <c r="E9" i="9"/>
  <c r="E7" i="9"/>
  <c r="D223" i="9"/>
  <c r="E223" i="9"/>
  <c r="F223" i="9"/>
  <c r="G223" i="9"/>
  <c r="H223" i="9"/>
  <c r="C223" i="9"/>
  <c r="D222" i="9"/>
  <c r="E222" i="9"/>
  <c r="F222" i="9"/>
  <c r="G222" i="9"/>
  <c r="H222" i="9"/>
  <c r="C222" i="9"/>
  <c r="D221" i="9"/>
  <c r="E221" i="9"/>
  <c r="F221" i="9"/>
  <c r="G221" i="9"/>
  <c r="H221" i="9"/>
  <c r="C221" i="9"/>
  <c r="D220" i="9"/>
  <c r="E220" i="9"/>
  <c r="F220" i="9"/>
  <c r="G220" i="9"/>
  <c r="H220" i="9"/>
  <c r="C220" i="9"/>
  <c r="B95" i="4"/>
  <c r="B202" i="9"/>
  <c r="C51" i="4"/>
  <c r="C52" i="4"/>
  <c r="B54" i="4"/>
  <c r="C54" i="4"/>
  <c r="D54" i="4"/>
  <c r="E54" i="4"/>
  <c r="F54" i="4"/>
  <c r="G54" i="4"/>
  <c r="H54" i="4"/>
  <c r="C55" i="4"/>
  <c r="B55" i="4"/>
  <c r="B56" i="4"/>
  <c r="D52" i="4"/>
  <c r="D55" i="4"/>
  <c r="E52" i="4"/>
  <c r="E55" i="4"/>
  <c r="F52" i="4"/>
  <c r="F55" i="4"/>
  <c r="G52" i="4"/>
  <c r="G55" i="4"/>
  <c r="H52" i="4"/>
  <c r="H55" i="4"/>
  <c r="H170" i="9"/>
  <c r="G170" i="9"/>
  <c r="F170" i="9"/>
  <c r="E170" i="9"/>
  <c r="D170" i="9"/>
  <c r="C170" i="9"/>
  <c r="D167" i="9"/>
  <c r="C166" i="9"/>
  <c r="D166" i="9"/>
  <c r="E166" i="9"/>
  <c r="E119" i="9"/>
  <c r="E121" i="9"/>
  <c r="D119" i="9"/>
  <c r="D121" i="9"/>
  <c r="C119" i="9"/>
  <c r="C121" i="9"/>
  <c r="E118" i="9"/>
  <c r="E120" i="9"/>
  <c r="D118" i="9"/>
  <c r="D120" i="9"/>
  <c r="C118" i="9"/>
  <c r="C120" i="9"/>
  <c r="C106" i="9"/>
  <c r="C108" i="9"/>
  <c r="C103" i="9"/>
  <c r="C104" i="9"/>
  <c r="C159" i="9"/>
  <c r="D100" i="9"/>
  <c r="C100" i="9"/>
  <c r="C94" i="9"/>
  <c r="D91" i="9"/>
  <c r="D92" i="9"/>
  <c r="D98" i="9"/>
  <c r="D99" i="9"/>
  <c r="C91" i="9"/>
  <c r="C92" i="9"/>
  <c r="E88" i="9"/>
  <c r="D88" i="9"/>
  <c r="C88" i="9"/>
  <c r="E87" i="9"/>
  <c r="D87" i="9"/>
  <c r="C87" i="9"/>
  <c r="D86" i="9"/>
  <c r="C86" i="9"/>
  <c r="C85" i="9"/>
  <c r="D82" i="9"/>
  <c r="C82" i="9"/>
  <c r="D81" i="9"/>
  <c r="D152" i="9"/>
  <c r="C81" i="9"/>
  <c r="C152" i="9"/>
  <c r="C80" i="9"/>
  <c r="D74" i="9"/>
  <c r="C74" i="9"/>
  <c r="B72" i="9"/>
  <c r="E67" i="9"/>
  <c r="J64" i="9"/>
  <c r="J65" i="9"/>
  <c r="I64" i="9"/>
  <c r="H64" i="9"/>
  <c r="H65" i="9"/>
  <c r="H87" i="9"/>
  <c r="G64" i="9"/>
  <c r="F64" i="9"/>
  <c r="F65" i="9"/>
  <c r="B62" i="9"/>
  <c r="I65" i="9"/>
  <c r="E57" i="9"/>
  <c r="E81" i="9"/>
  <c r="B54" i="9"/>
  <c r="B48" i="9"/>
  <c r="B55" i="9"/>
  <c r="B45" i="9"/>
  <c r="B39" i="9"/>
  <c r="B46" i="9"/>
  <c r="D46" i="9"/>
  <c r="E46" i="9"/>
  <c r="C27" i="9"/>
  <c r="C134" i="9"/>
  <c r="C142" i="9"/>
  <c r="C26" i="9"/>
  <c r="C20" i="9"/>
  <c r="C22" i="9"/>
  <c r="C24" i="9"/>
  <c r="H18" i="9"/>
  <c r="G18" i="9"/>
  <c r="F18" i="9"/>
  <c r="E18" i="9"/>
  <c r="D18" i="9"/>
  <c r="I17" i="9"/>
  <c r="D14" i="9"/>
  <c r="D10" i="9"/>
  <c r="C9" i="9"/>
  <c r="H6" i="9"/>
  <c r="G6" i="9"/>
  <c r="F6" i="9"/>
  <c r="E6" i="9"/>
  <c r="D6" i="9"/>
  <c r="C6" i="9"/>
  <c r="C29" i="9"/>
  <c r="I5" i="9"/>
  <c r="F8" i="9"/>
  <c r="G8" i="9"/>
  <c r="H8" i="9"/>
  <c r="B53" i="9"/>
  <c r="E55" i="9"/>
  <c r="F55" i="9"/>
  <c r="G55" i="9"/>
  <c r="H55" i="9"/>
  <c r="I55" i="9"/>
  <c r="D48" i="9"/>
  <c r="C109" i="9"/>
  <c r="E152" i="9"/>
  <c r="C126" i="9"/>
  <c r="G65" i="9"/>
  <c r="G87" i="9"/>
  <c r="C97" i="9"/>
  <c r="D93" i="9"/>
  <c r="C107" i="9"/>
  <c r="E18" i="6"/>
  <c r="E213" i="6"/>
  <c r="F18" i="6"/>
  <c r="G18" i="6"/>
  <c r="G213" i="6"/>
  <c r="H18" i="6"/>
  <c r="H213" i="6"/>
  <c r="D18" i="6"/>
  <c r="D213" i="6"/>
  <c r="G218" i="9"/>
  <c r="D182" i="3"/>
  <c r="E182" i="3"/>
  <c r="F182" i="3"/>
  <c r="G182" i="3"/>
  <c r="H182" i="3"/>
  <c r="H184" i="3"/>
  <c r="I184" i="3"/>
  <c r="C6" i="3"/>
  <c r="C26" i="3"/>
  <c r="C17" i="3"/>
  <c r="C19" i="3"/>
  <c r="C21" i="3"/>
  <c r="D7" i="3"/>
  <c r="D9" i="3"/>
  <c r="D24" i="3"/>
  <c r="D6" i="3"/>
  <c r="B39" i="6"/>
  <c r="B46" i="6"/>
  <c r="D46" i="6"/>
  <c r="D86" i="6"/>
  <c r="D87" i="6"/>
  <c r="D88" i="6"/>
  <c r="H122" i="3"/>
  <c r="D122" i="3"/>
  <c r="E9" i="3"/>
  <c r="E24" i="3"/>
  <c r="E6" i="3"/>
  <c r="E13" i="3"/>
  <c r="E12" i="3"/>
  <c r="E10" i="3"/>
  <c r="E14" i="3"/>
  <c r="B54" i="6"/>
  <c r="B48" i="6"/>
  <c r="B53" i="6"/>
  <c r="E87" i="6"/>
  <c r="E88" i="6"/>
  <c r="F8" i="3"/>
  <c r="G8" i="3"/>
  <c r="H8" i="3"/>
  <c r="F7" i="3"/>
  <c r="F55" i="3"/>
  <c r="F56" i="3"/>
  <c r="F6" i="3"/>
  <c r="F11" i="3"/>
  <c r="G11" i="3"/>
  <c r="H11" i="3"/>
  <c r="I11" i="3"/>
  <c r="B62" i="6"/>
  <c r="H65" i="6"/>
  <c r="H87" i="6"/>
  <c r="F64" i="6"/>
  <c r="F65" i="6"/>
  <c r="F87" i="6"/>
  <c r="D74" i="6"/>
  <c r="E74" i="6"/>
  <c r="F74" i="6"/>
  <c r="G74" i="6"/>
  <c r="H74" i="6"/>
  <c r="B72" i="6"/>
  <c r="F73" i="6"/>
  <c r="F122" i="3"/>
  <c r="G7" i="3"/>
  <c r="G6" i="3"/>
  <c r="G64" i="6"/>
  <c r="G73" i="6"/>
  <c r="G122" i="3"/>
  <c r="H7" i="3"/>
  <c r="H55" i="3"/>
  <c r="H56" i="3"/>
  <c r="H82" i="3"/>
  <c r="H6" i="3"/>
  <c r="H64" i="6"/>
  <c r="H73" i="6"/>
  <c r="C55" i="3"/>
  <c r="C56" i="3"/>
  <c r="C82" i="3"/>
  <c r="E55" i="3"/>
  <c r="E56" i="3"/>
  <c r="D55" i="3"/>
  <c r="D56" i="3"/>
  <c r="G55" i="3"/>
  <c r="G56" i="3"/>
  <c r="D158" i="3"/>
  <c r="D159" i="3"/>
  <c r="E158" i="3"/>
  <c r="E159" i="3"/>
  <c r="F158" i="3"/>
  <c r="F159" i="3"/>
  <c r="G158" i="3"/>
  <c r="G159" i="3"/>
  <c r="H158" i="3"/>
  <c r="H159" i="3"/>
  <c r="C20" i="6"/>
  <c r="C22" i="6"/>
  <c r="C24" i="6"/>
  <c r="C25" i="6"/>
  <c r="C209" i="6"/>
  <c r="C39" i="6"/>
  <c r="C80" i="6"/>
  <c r="C82" i="6"/>
  <c r="C81" i="6"/>
  <c r="C152" i="6"/>
  <c r="D82" i="6"/>
  <c r="D81" i="6"/>
  <c r="D152" i="6"/>
  <c r="E67" i="6"/>
  <c r="E82" i="6"/>
  <c r="E57" i="6"/>
  <c r="D69" i="3"/>
  <c r="E9" i="6"/>
  <c r="E10" i="6"/>
  <c r="F6" i="6"/>
  <c r="F13" i="6"/>
  <c r="F118" i="6"/>
  <c r="F120" i="6"/>
  <c r="E15" i="6"/>
  <c r="F15" i="6"/>
  <c r="F91" i="6"/>
  <c r="F92" i="6"/>
  <c r="E100" i="6"/>
  <c r="E91" i="6"/>
  <c r="E92" i="6"/>
  <c r="E119" i="6"/>
  <c r="E121" i="6"/>
  <c r="E118" i="6"/>
  <c r="E120" i="6"/>
  <c r="D6" i="6"/>
  <c r="D14" i="6"/>
  <c r="D12" i="6"/>
  <c r="D16" i="6"/>
  <c r="D94" i="6"/>
  <c r="D10" i="6"/>
  <c r="D27" i="6"/>
  <c r="E7" i="4"/>
  <c r="E9" i="4"/>
  <c r="F7" i="4"/>
  <c r="G7" i="4"/>
  <c r="H7" i="4"/>
  <c r="D7" i="4"/>
  <c r="D10" i="4"/>
  <c r="D27" i="4"/>
  <c r="C6" i="6"/>
  <c r="C29" i="6"/>
  <c r="C26" i="6"/>
  <c r="C133" i="6"/>
  <c r="C141" i="6"/>
  <c r="C103" i="6"/>
  <c r="C104" i="6"/>
  <c r="C159" i="6"/>
  <c r="C119" i="6"/>
  <c r="C121" i="6"/>
  <c r="D119" i="6"/>
  <c r="D121" i="6"/>
  <c r="D118" i="6"/>
  <c r="D120" i="6"/>
  <c r="C118" i="6"/>
  <c r="C120" i="6"/>
  <c r="D170" i="6"/>
  <c r="E170" i="6"/>
  <c r="F170" i="6"/>
  <c r="G170" i="6"/>
  <c r="H170" i="6"/>
  <c r="C170" i="6"/>
  <c r="C106" i="6"/>
  <c r="C107" i="6"/>
  <c r="D167" i="6"/>
  <c r="C166" i="6"/>
  <c r="D166" i="6"/>
  <c r="E166" i="6"/>
  <c r="F166" i="6"/>
  <c r="G166" i="6"/>
  <c r="H166" i="6"/>
  <c r="D100" i="6"/>
  <c r="C100" i="6"/>
  <c r="C94" i="6"/>
  <c r="D91" i="6"/>
  <c r="D97" i="6"/>
  <c r="E97" i="6"/>
  <c r="G91" i="6"/>
  <c r="G92" i="6"/>
  <c r="H91" i="6"/>
  <c r="C91" i="6"/>
  <c r="C92" i="6"/>
  <c r="C98" i="6"/>
  <c r="C99" i="6"/>
  <c r="C101" i="6"/>
  <c r="C88" i="6"/>
  <c r="C87" i="6"/>
  <c r="C86" i="6"/>
  <c r="C85" i="6"/>
  <c r="C74" i="6"/>
  <c r="I64" i="6"/>
  <c r="J64" i="6"/>
  <c r="B45" i="6"/>
  <c r="B55" i="6"/>
  <c r="J65" i="6"/>
  <c r="E55" i="6"/>
  <c r="F55" i="6"/>
  <c r="G55" i="6"/>
  <c r="H55" i="6"/>
  <c r="I55" i="6"/>
  <c r="B44" i="6"/>
  <c r="I91" i="6"/>
  <c r="D92" i="6"/>
  <c r="D98" i="6"/>
  <c r="D99" i="6"/>
  <c r="D101" i="6"/>
  <c r="C27" i="6"/>
  <c r="C134" i="6"/>
  <c r="C142" i="6"/>
  <c r="I17" i="6"/>
  <c r="D106" i="6"/>
  <c r="D115" i="6"/>
  <c r="D116" i="6"/>
  <c r="C9" i="6"/>
  <c r="I7" i="6"/>
  <c r="H6" i="6"/>
  <c r="G6" i="6"/>
  <c r="E6" i="6"/>
  <c r="I5" i="6"/>
  <c r="I26" i="6"/>
  <c r="D103" i="6"/>
  <c r="D104" i="6"/>
  <c r="G13" i="6"/>
  <c r="H13" i="6"/>
  <c r="H118" i="6"/>
  <c r="H120" i="6"/>
  <c r="C93" i="6"/>
  <c r="C95" i="6"/>
  <c r="D109" i="6"/>
  <c r="D107" i="6"/>
  <c r="I18" i="6"/>
  <c r="C136" i="6"/>
  <c r="D134" i="6"/>
  <c r="D142" i="6"/>
  <c r="C63" i="4"/>
  <c r="C74" i="4"/>
  <c r="G118" i="6"/>
  <c r="G120" i="6"/>
  <c r="G119" i="6"/>
  <c r="G121" i="6"/>
  <c r="C31" i="6"/>
  <c r="C138" i="6"/>
  <c r="D103" i="4"/>
  <c r="D117" i="4"/>
  <c r="E103" i="4"/>
  <c r="E117" i="4"/>
  <c r="F103" i="4"/>
  <c r="F117" i="4"/>
  <c r="G103" i="4"/>
  <c r="G117" i="4"/>
  <c r="H103" i="4"/>
  <c r="H117" i="4"/>
  <c r="C103" i="4"/>
  <c r="C117" i="4"/>
  <c r="B202" i="6"/>
  <c r="D73" i="4"/>
  <c r="D95" i="4"/>
  <c r="E73" i="4"/>
  <c r="E95" i="4"/>
  <c r="F73" i="4"/>
  <c r="F95" i="4"/>
  <c r="G73" i="4"/>
  <c r="G95" i="4"/>
  <c r="H73" i="4"/>
  <c r="H95" i="4"/>
  <c r="C73" i="4"/>
  <c r="C95" i="4"/>
  <c r="E39" i="4"/>
  <c r="E40" i="4"/>
  <c r="F39" i="4"/>
  <c r="F40" i="4"/>
  <c r="G39" i="4"/>
  <c r="G40" i="4"/>
  <c r="H39" i="4"/>
  <c r="H40" i="4"/>
  <c r="D39" i="4"/>
  <c r="D40" i="4"/>
  <c r="C39" i="4"/>
  <c r="C40" i="4"/>
  <c r="B48" i="4"/>
  <c r="B116" i="4"/>
  <c r="I168" i="3"/>
  <c r="E184" i="3"/>
  <c r="F184" i="3"/>
  <c r="G184" i="3"/>
  <c r="D184" i="3"/>
  <c r="C182" i="3"/>
  <c r="E169" i="3"/>
  <c r="F169" i="3"/>
  <c r="G169" i="3"/>
  <c r="H169" i="3"/>
  <c r="D169" i="3"/>
  <c r="C9" i="4"/>
  <c r="F13" i="4"/>
  <c r="G13" i="4"/>
  <c r="H13" i="4"/>
  <c r="E18" i="4"/>
  <c r="F18" i="4"/>
  <c r="G18" i="4"/>
  <c r="H18" i="4"/>
  <c r="D18" i="4"/>
  <c r="C27" i="4"/>
  <c r="C26" i="4"/>
  <c r="I26" i="4"/>
  <c r="C20" i="4"/>
  <c r="C22" i="4"/>
  <c r="C24" i="4"/>
  <c r="C28" i="4"/>
  <c r="I17" i="4"/>
  <c r="H6" i="4"/>
  <c r="G6" i="4"/>
  <c r="F6" i="4"/>
  <c r="E6" i="4"/>
  <c r="D6" i="4"/>
  <c r="C6" i="4"/>
  <c r="I5" i="4"/>
  <c r="H146" i="3"/>
  <c r="G146" i="3"/>
  <c r="F146" i="3"/>
  <c r="E146" i="3"/>
  <c r="D146" i="3"/>
  <c r="C146" i="3"/>
  <c r="H141" i="3"/>
  <c r="G141" i="3"/>
  <c r="F141" i="3"/>
  <c r="E141" i="3"/>
  <c r="D141" i="3"/>
  <c r="C141" i="3"/>
  <c r="D32" i="6"/>
  <c r="C169" i="6"/>
  <c r="C164" i="6"/>
  <c r="C158" i="3"/>
  <c r="E152" i="3"/>
  <c r="F152" i="3"/>
  <c r="G152" i="3"/>
  <c r="H152" i="3"/>
  <c r="D152" i="3"/>
  <c r="C152" i="3"/>
  <c r="C111" i="3"/>
  <c r="C122" i="3"/>
  <c r="D168" i="6"/>
  <c r="C87" i="4"/>
  <c r="C96" i="4"/>
  <c r="C105" i="4"/>
  <c r="E185" i="3"/>
  <c r="D50" i="3"/>
  <c r="E50" i="3"/>
  <c r="F50" i="3"/>
  <c r="G50" i="3"/>
  <c r="H50" i="3"/>
  <c r="C50" i="3"/>
  <c r="E122" i="3"/>
  <c r="E111" i="3"/>
  <c r="F111" i="3"/>
  <c r="G111" i="3"/>
  <c r="H111" i="3"/>
  <c r="D111" i="3"/>
  <c r="D104" i="3"/>
  <c r="E104" i="3"/>
  <c r="F104" i="3"/>
  <c r="G104" i="3"/>
  <c r="H104" i="3"/>
  <c r="H75" i="3"/>
  <c r="G75" i="3"/>
  <c r="F75" i="3"/>
  <c r="E75" i="3"/>
  <c r="D75" i="3"/>
  <c r="C75" i="3"/>
  <c r="H73" i="3"/>
  <c r="G73" i="3"/>
  <c r="F73" i="3"/>
  <c r="E73" i="3"/>
  <c r="D73" i="3"/>
  <c r="C73" i="3"/>
  <c r="H71" i="3"/>
  <c r="G71" i="3"/>
  <c r="F71" i="3"/>
  <c r="E71" i="3"/>
  <c r="D71" i="3"/>
  <c r="C71" i="3"/>
  <c r="H69" i="3"/>
  <c r="G69" i="3"/>
  <c r="F69" i="3"/>
  <c r="E69" i="3"/>
  <c r="C69" i="3"/>
  <c r="H44" i="3"/>
  <c r="G44" i="3"/>
  <c r="F44" i="3"/>
  <c r="E44" i="3"/>
  <c r="D44" i="3"/>
  <c r="C44" i="3"/>
  <c r="C40" i="3"/>
  <c r="C24" i="3"/>
  <c r="C23" i="3"/>
  <c r="I23" i="3"/>
  <c r="I20" i="3"/>
  <c r="I16" i="3"/>
  <c r="I15" i="3"/>
  <c r="C45" i="3"/>
  <c r="I5" i="3"/>
  <c r="E15" i="4"/>
  <c r="E249" i="9"/>
  <c r="F249" i="9"/>
  <c r="G249" i="9"/>
  <c r="H249" i="9"/>
  <c r="H218" i="9"/>
  <c r="F166" i="9"/>
  <c r="G166" i="9"/>
  <c r="H166" i="9"/>
  <c r="E248" i="9"/>
  <c r="F248" i="9"/>
  <c r="G248" i="9"/>
  <c r="H248" i="9"/>
  <c r="C29" i="4"/>
  <c r="I175" i="3"/>
  <c r="F180" i="3"/>
  <c r="F179" i="3"/>
  <c r="F178" i="3"/>
  <c r="F177" i="3"/>
  <c r="G171" i="3"/>
  <c r="G183" i="3"/>
  <c r="G180" i="3"/>
  <c r="G179" i="3"/>
  <c r="G178" i="3"/>
  <c r="G177" i="3"/>
  <c r="D180" i="3"/>
  <c r="D179" i="3"/>
  <c r="D178" i="3"/>
  <c r="D177" i="3"/>
  <c r="I177" i="3"/>
  <c r="E171" i="3"/>
  <c r="E183" i="3"/>
  <c r="E180" i="3"/>
  <c r="E179" i="3"/>
  <c r="E178" i="3"/>
  <c r="E177" i="3"/>
  <c r="H171" i="3"/>
  <c r="H180" i="3"/>
  <c r="H179" i="3"/>
  <c r="H178" i="3"/>
  <c r="H177" i="3"/>
  <c r="D40" i="3"/>
  <c r="E40" i="3"/>
  <c r="F40" i="3"/>
  <c r="G40" i="3"/>
  <c r="H40" i="3"/>
  <c r="H75" i="6"/>
  <c r="H88" i="6"/>
  <c r="I74" i="6"/>
  <c r="I75" i="6"/>
  <c r="I67" i="6"/>
  <c r="C124" i="6"/>
  <c r="C156" i="6"/>
  <c r="E27" i="6"/>
  <c r="E134" i="6"/>
  <c r="E142" i="6"/>
  <c r="E106" i="6"/>
  <c r="E46" i="6"/>
  <c r="F46" i="6"/>
  <c r="G46" i="6"/>
  <c r="F14" i="6"/>
  <c r="F103" i="6"/>
  <c r="F104" i="6"/>
  <c r="F100" i="6"/>
  <c r="G15" i="6"/>
  <c r="D93" i="6"/>
  <c r="D95" i="6"/>
  <c r="C108" i="6"/>
  <c r="G65" i="6"/>
  <c r="G87" i="6"/>
  <c r="D108" i="6"/>
  <c r="I65" i="6"/>
  <c r="C83" i="6"/>
  <c r="F97" i="6"/>
  <c r="C30" i="6"/>
  <c r="C137" i="6"/>
  <c r="E14" i="6"/>
  <c r="E103" i="6"/>
  <c r="E104" i="6"/>
  <c r="F119" i="6"/>
  <c r="F121" i="6"/>
  <c r="F9" i="6"/>
  <c r="F213" i="6"/>
  <c r="E10" i="4"/>
  <c r="E27" i="4"/>
  <c r="I7" i="4"/>
  <c r="I23" i="4"/>
  <c r="C25" i="4"/>
  <c r="D14" i="4"/>
  <c r="D12" i="4"/>
  <c r="D16" i="4"/>
  <c r="F9" i="4"/>
  <c r="G9" i="4"/>
  <c r="I6" i="4"/>
  <c r="I18" i="4"/>
  <c r="D12" i="3"/>
  <c r="D10" i="3"/>
  <c r="D14" i="3"/>
  <c r="F124" i="3"/>
  <c r="I183" i="3"/>
  <c r="I187" i="3"/>
  <c r="C59" i="3"/>
  <c r="C60" i="3"/>
  <c r="D59" i="3"/>
  <c r="H45" i="3"/>
  <c r="C124" i="3"/>
  <c r="G9" i="3"/>
  <c r="G24" i="3"/>
  <c r="G59" i="3"/>
  <c r="G82" i="3"/>
  <c r="G123" i="3"/>
  <c r="G45" i="3"/>
  <c r="F113" i="3"/>
  <c r="E124" i="3"/>
  <c r="E170" i="3"/>
  <c r="C113" i="3"/>
  <c r="I182" i="3"/>
  <c r="H9" i="3"/>
  <c r="H24" i="3"/>
  <c r="H59" i="3"/>
  <c r="I7" i="3"/>
  <c r="D113" i="3"/>
  <c r="E113" i="3"/>
  <c r="F13" i="3"/>
  <c r="F82" i="3"/>
  <c r="F45" i="3"/>
  <c r="H183" i="3"/>
  <c r="H170" i="3"/>
  <c r="H123" i="3"/>
  <c r="H112" i="3"/>
  <c r="H113" i="3"/>
  <c r="G113" i="3"/>
  <c r="G185" i="3"/>
  <c r="H124" i="3"/>
  <c r="G124" i="3"/>
  <c r="D124" i="3"/>
  <c r="E82" i="3"/>
  <c r="E45" i="3"/>
  <c r="E59" i="3"/>
  <c r="C25" i="3"/>
  <c r="C57" i="3"/>
  <c r="C58" i="3"/>
  <c r="C22" i="3"/>
  <c r="I8" i="3"/>
  <c r="D186" i="3"/>
  <c r="E186" i="3"/>
  <c r="F186" i="3"/>
  <c r="H186" i="3"/>
  <c r="D82" i="3"/>
  <c r="D45" i="3"/>
  <c r="C31" i="3"/>
  <c r="C32" i="3"/>
  <c r="C81" i="3"/>
  <c r="C27" i="3"/>
  <c r="D23" i="3"/>
  <c r="H185" i="3"/>
  <c r="E17" i="3"/>
  <c r="I6" i="3"/>
  <c r="F185" i="3"/>
  <c r="G186" i="3"/>
  <c r="D185" i="3"/>
  <c r="G170" i="3"/>
  <c r="F9" i="3"/>
  <c r="G10" i="4"/>
  <c r="C38" i="4"/>
  <c r="C72" i="4"/>
  <c r="C61" i="4"/>
  <c r="C30" i="4"/>
  <c r="D26" i="4"/>
  <c r="I13" i="4"/>
  <c r="C111" i="6"/>
  <c r="C110" i="6"/>
  <c r="C123" i="3"/>
  <c r="C112" i="3"/>
  <c r="C31" i="4"/>
  <c r="C159" i="3"/>
  <c r="C185" i="3"/>
  <c r="D126" i="6"/>
  <c r="D159" i="6"/>
  <c r="H9" i="4"/>
  <c r="H10" i="4"/>
  <c r="F15" i="4"/>
  <c r="E14" i="4"/>
  <c r="C157" i="6"/>
  <c r="C125" i="6"/>
  <c r="F171" i="3"/>
  <c r="F183" i="3"/>
  <c r="H97" i="6"/>
  <c r="H92" i="6"/>
  <c r="D122" i="6"/>
  <c r="D170" i="3"/>
  <c r="C170" i="3"/>
  <c r="C174" i="3"/>
  <c r="D174" i="3"/>
  <c r="E174" i="3"/>
  <c r="H119" i="6"/>
  <c r="H121" i="6"/>
  <c r="I13" i="6"/>
  <c r="D124" i="6"/>
  <c r="D156" i="6"/>
  <c r="G98" i="6"/>
  <c r="G99" i="6"/>
  <c r="G93" i="6"/>
  <c r="E98" i="6"/>
  <c r="E99" i="6"/>
  <c r="E101" i="6"/>
  <c r="E93" i="6"/>
  <c r="F10" i="6"/>
  <c r="G9" i="6"/>
  <c r="F57" i="6"/>
  <c r="E81" i="6"/>
  <c r="E152" i="6"/>
  <c r="I159" i="3"/>
  <c r="E54" i="6"/>
  <c r="E86" i="6"/>
  <c r="D48" i="6"/>
  <c r="C28" i="6"/>
  <c r="C97" i="6"/>
  <c r="G97" i="6"/>
  <c r="C109" i="6"/>
  <c r="C115" i="6"/>
  <c r="C116" i="6"/>
  <c r="C122" i="6"/>
  <c r="C126" i="6"/>
  <c r="F10" i="4"/>
  <c r="E12" i="6"/>
  <c r="F85" i="6"/>
  <c r="D12" i="9"/>
  <c r="D103" i="9"/>
  <c r="D104" i="9"/>
  <c r="C133" i="9"/>
  <c r="C141" i="9"/>
  <c r="I26" i="9"/>
  <c r="D51" i="4"/>
  <c r="D20" i="6"/>
  <c r="F93" i="6"/>
  <c r="F98" i="6"/>
  <c r="F99" i="6"/>
  <c r="F101" i="6"/>
  <c r="G75" i="6"/>
  <c r="G88" i="6"/>
  <c r="E85" i="6"/>
  <c r="E83" i="6"/>
  <c r="E21" i="6"/>
  <c r="C93" i="9"/>
  <c r="C95" i="9"/>
  <c r="C125" i="9"/>
  <c r="C98" i="9"/>
  <c r="C99" i="9"/>
  <c r="C53" i="4"/>
  <c r="C57" i="4"/>
  <c r="I6" i="6"/>
  <c r="F12" i="6"/>
  <c r="C79" i="6"/>
  <c r="D39" i="6"/>
  <c r="C28" i="3"/>
  <c r="F75" i="6"/>
  <c r="D85" i="6"/>
  <c r="D83" i="6"/>
  <c r="D21" i="6"/>
  <c r="E23" i="9"/>
  <c r="E213" i="9"/>
  <c r="E74" i="9"/>
  <c r="E91" i="9"/>
  <c r="C83" i="9"/>
  <c r="F283" i="9"/>
  <c r="E10" i="9"/>
  <c r="E27" i="9"/>
  <c r="E134" i="9"/>
  <c r="E142" i="9"/>
  <c r="I6" i="9"/>
  <c r="I18" i="9"/>
  <c r="D213" i="9"/>
  <c r="F57" i="9"/>
  <c r="F87" i="9"/>
  <c r="F46" i="9"/>
  <c r="E85" i="9"/>
  <c r="E106" i="9"/>
  <c r="C39" i="9"/>
  <c r="B44" i="9"/>
  <c r="E54" i="9"/>
  <c r="E86" i="9"/>
  <c r="C101" i="9"/>
  <c r="C31" i="9"/>
  <c r="C30" i="9"/>
  <c r="C136" i="9"/>
  <c r="D20" i="9"/>
  <c r="D106" i="9"/>
  <c r="D27" i="9"/>
  <c r="C28" i="9"/>
  <c r="C25" i="9"/>
  <c r="F9" i="9"/>
  <c r="D16" i="9"/>
  <c r="D85" i="9"/>
  <c r="D83" i="9"/>
  <c r="D21" i="9"/>
  <c r="E82" i="9"/>
  <c r="G19" i="9"/>
  <c r="F23" i="9"/>
  <c r="F213" i="9"/>
  <c r="C110" i="9"/>
  <c r="C111" i="9"/>
  <c r="C112" i="9"/>
  <c r="D97" i="9"/>
  <c r="D80" i="9"/>
  <c r="D101" i="9"/>
  <c r="C115" i="9"/>
  <c r="C116" i="9"/>
  <c r="C122" i="9"/>
  <c r="F7" i="9"/>
  <c r="F11" i="9"/>
  <c r="E15" i="9"/>
  <c r="F174" i="3"/>
  <c r="G174" i="3"/>
  <c r="H174" i="3"/>
  <c r="I179" i="3"/>
  <c r="K174" i="3"/>
  <c r="I173" i="3"/>
  <c r="D17" i="3"/>
  <c r="D125" i="6"/>
  <c r="D157" i="6"/>
  <c r="G100" i="6"/>
  <c r="G101" i="6"/>
  <c r="H15" i="6"/>
  <c r="I15" i="6"/>
  <c r="G14" i="6"/>
  <c r="H46" i="6"/>
  <c r="G85" i="6"/>
  <c r="D26" i="6"/>
  <c r="D133" i="6"/>
  <c r="D141" i="6"/>
  <c r="F126" i="6"/>
  <c r="F159" i="6"/>
  <c r="E108" i="6"/>
  <c r="E115" i="6"/>
  <c r="E116" i="6"/>
  <c r="E122" i="6"/>
  <c r="E107" i="6"/>
  <c r="E109" i="6"/>
  <c r="D110" i="6"/>
  <c r="D111" i="6"/>
  <c r="D112" i="6"/>
  <c r="I97" i="6"/>
  <c r="E126" i="6"/>
  <c r="E159" i="6"/>
  <c r="D20" i="4"/>
  <c r="D60" i="3"/>
  <c r="E60" i="3"/>
  <c r="G112" i="3"/>
  <c r="C61" i="3"/>
  <c r="C151" i="3"/>
  <c r="C157" i="3"/>
  <c r="I9" i="3"/>
  <c r="C49" i="3"/>
  <c r="C43" i="3"/>
  <c r="C46" i="3"/>
  <c r="C76" i="3"/>
  <c r="C110" i="3"/>
  <c r="C115" i="3"/>
  <c r="C70" i="3"/>
  <c r="C54" i="3"/>
  <c r="C62" i="3"/>
  <c r="C74" i="3"/>
  <c r="C72" i="3"/>
  <c r="G13" i="3"/>
  <c r="F12" i="3"/>
  <c r="F170" i="3"/>
  <c r="I170" i="3"/>
  <c r="F112" i="3"/>
  <c r="F123" i="3"/>
  <c r="D112" i="3"/>
  <c r="D123" i="3"/>
  <c r="F24" i="3"/>
  <c r="I186" i="3"/>
  <c r="E123" i="3"/>
  <c r="E112" i="3"/>
  <c r="C179" i="6"/>
  <c r="C175" i="6"/>
  <c r="C181" i="6"/>
  <c r="C128" i="6"/>
  <c r="F124" i="6"/>
  <c r="F156" i="6"/>
  <c r="C157" i="9"/>
  <c r="C35" i="3"/>
  <c r="C38" i="3"/>
  <c r="E18" i="3"/>
  <c r="E19" i="3"/>
  <c r="E21" i="4"/>
  <c r="E20" i="6"/>
  <c r="E16" i="6"/>
  <c r="C113" i="4"/>
  <c r="C83" i="4"/>
  <c r="C104" i="4"/>
  <c r="F20" i="6"/>
  <c r="F106" i="6"/>
  <c r="F27" i="6"/>
  <c r="H27" i="4"/>
  <c r="C76" i="4"/>
  <c r="C75" i="4"/>
  <c r="I9" i="4"/>
  <c r="D79" i="6"/>
  <c r="E39" i="6"/>
  <c r="D22" i="6"/>
  <c r="D159" i="9"/>
  <c r="D126" i="9"/>
  <c r="I10" i="4"/>
  <c r="F27" i="4"/>
  <c r="D80" i="6"/>
  <c r="E48" i="6"/>
  <c r="C43" i="4"/>
  <c r="C41" i="4"/>
  <c r="C112" i="4"/>
  <c r="G27" i="4"/>
  <c r="D18" i="3"/>
  <c r="D21" i="4"/>
  <c r="C77" i="6"/>
  <c r="C151" i="6"/>
  <c r="C149" i="6"/>
  <c r="C208" i="6"/>
  <c r="D53" i="4"/>
  <c r="D57" i="4"/>
  <c r="E51" i="4"/>
  <c r="F81" i="6"/>
  <c r="F152" i="6"/>
  <c r="G57" i="6"/>
  <c r="D128" i="6"/>
  <c r="D179" i="6"/>
  <c r="D175" i="6"/>
  <c r="E12" i="4"/>
  <c r="C83" i="3"/>
  <c r="C121" i="3"/>
  <c r="E92" i="9"/>
  <c r="E97" i="9"/>
  <c r="F88" i="6"/>
  <c r="F67" i="6"/>
  <c r="F16" i="6"/>
  <c r="F94" i="6"/>
  <c r="F95" i="6"/>
  <c r="C135" i="6"/>
  <c r="C143" i="6"/>
  <c r="C144" i="6"/>
  <c r="G10" i="6"/>
  <c r="H9" i="6"/>
  <c r="H10" i="6"/>
  <c r="E124" i="6"/>
  <c r="E156" i="6"/>
  <c r="D183" i="3"/>
  <c r="I171" i="3"/>
  <c r="H93" i="6"/>
  <c r="H98" i="6"/>
  <c r="H99" i="6"/>
  <c r="F14" i="4"/>
  <c r="F12" i="4"/>
  <c r="G15" i="4"/>
  <c r="C51" i="3"/>
  <c r="C112" i="6"/>
  <c r="C64" i="4"/>
  <c r="C85" i="4"/>
  <c r="C225" i="9"/>
  <c r="C179" i="9"/>
  <c r="C175" i="9"/>
  <c r="C128" i="9"/>
  <c r="C224" i="9"/>
  <c r="C158" i="9"/>
  <c r="C127" i="9"/>
  <c r="G9" i="9"/>
  <c r="F10" i="9"/>
  <c r="C135" i="9"/>
  <c r="C143" i="9"/>
  <c r="C144" i="9"/>
  <c r="D22" i="9"/>
  <c r="D26" i="9"/>
  <c r="D133" i="9"/>
  <c r="D141" i="9"/>
  <c r="C137" i="9"/>
  <c r="E83" i="9"/>
  <c r="E21" i="9"/>
  <c r="F91" i="9"/>
  <c r="F74" i="9"/>
  <c r="F75" i="9"/>
  <c r="G7" i="9"/>
  <c r="F73" i="9"/>
  <c r="E48" i="9"/>
  <c r="H19" i="9"/>
  <c r="H23" i="9"/>
  <c r="H213" i="9"/>
  <c r="G23" i="9"/>
  <c r="G213" i="9"/>
  <c r="D94" i="9"/>
  <c r="D95" i="9"/>
  <c r="C138" i="9"/>
  <c r="G46" i="9"/>
  <c r="F85" i="9"/>
  <c r="E14" i="9"/>
  <c r="E100" i="9"/>
  <c r="F15" i="9"/>
  <c r="D134" i="9"/>
  <c r="D142" i="9"/>
  <c r="C124" i="9"/>
  <c r="C156" i="9"/>
  <c r="C79" i="9"/>
  <c r="D39" i="9"/>
  <c r="E109" i="9"/>
  <c r="E108" i="9"/>
  <c r="E107" i="9"/>
  <c r="E115" i="9"/>
  <c r="E116" i="9"/>
  <c r="E122" i="9"/>
  <c r="F13" i="9"/>
  <c r="G11" i="9"/>
  <c r="H11" i="9"/>
  <c r="D156" i="9"/>
  <c r="D124" i="9"/>
  <c r="C169" i="9"/>
  <c r="D32" i="9"/>
  <c r="C209" i="9"/>
  <c r="D115" i="9"/>
  <c r="D116" i="9"/>
  <c r="D122" i="9"/>
  <c r="D109" i="9"/>
  <c r="D107" i="9"/>
  <c r="D108" i="9"/>
  <c r="F81" i="9"/>
  <c r="F152" i="9"/>
  <c r="G57" i="9"/>
  <c r="D19" i="3"/>
  <c r="D22" i="4"/>
  <c r="G124" i="6"/>
  <c r="G156" i="6"/>
  <c r="H85" i="6"/>
  <c r="I46" i="6"/>
  <c r="D158" i="6"/>
  <c r="D127" i="6"/>
  <c r="D129" i="6"/>
  <c r="E128" i="6"/>
  <c r="E179" i="6"/>
  <c r="E175" i="6"/>
  <c r="H100" i="6"/>
  <c r="H101" i="6"/>
  <c r="H14" i="6"/>
  <c r="E110" i="6"/>
  <c r="E111" i="6"/>
  <c r="G12" i="6"/>
  <c r="G16" i="6"/>
  <c r="G94" i="6"/>
  <c r="G95" i="6"/>
  <c r="G103" i="6"/>
  <c r="G104" i="6"/>
  <c r="C154" i="3"/>
  <c r="C114" i="3"/>
  <c r="F10" i="3"/>
  <c r="I172" i="3"/>
  <c r="H13" i="3"/>
  <c r="H12" i="3"/>
  <c r="H10" i="3"/>
  <c r="G12" i="3"/>
  <c r="G10" i="3"/>
  <c r="F59" i="3"/>
  <c r="I24" i="3"/>
  <c r="D24" i="4"/>
  <c r="D25" i="4"/>
  <c r="C135" i="3"/>
  <c r="F16" i="4"/>
  <c r="C94" i="4"/>
  <c r="C88" i="4"/>
  <c r="C158" i="6"/>
  <c r="C127" i="6"/>
  <c r="C129" i="6"/>
  <c r="D21" i="3"/>
  <c r="D22" i="3"/>
  <c r="G27" i="6"/>
  <c r="G134" i="6"/>
  <c r="G142" i="6"/>
  <c r="G106" i="6"/>
  <c r="G20" i="6"/>
  <c r="E79" i="6"/>
  <c r="F39" i="6"/>
  <c r="F108" i="6"/>
  <c r="F109" i="6"/>
  <c r="F115" i="6"/>
  <c r="F116" i="6"/>
  <c r="F122" i="6"/>
  <c r="F107" i="6"/>
  <c r="C36" i="3"/>
  <c r="C69" i="4"/>
  <c r="F125" i="6"/>
  <c r="F157" i="6"/>
  <c r="E93" i="9"/>
  <c r="E98" i="9"/>
  <c r="E99" i="9"/>
  <c r="E101" i="9"/>
  <c r="E16" i="4"/>
  <c r="E20" i="4"/>
  <c r="G81" i="6"/>
  <c r="G152" i="6"/>
  <c r="H57" i="6"/>
  <c r="D83" i="4"/>
  <c r="D113" i="4"/>
  <c r="F20" i="4"/>
  <c r="D151" i="6"/>
  <c r="D149" i="6"/>
  <c r="D208" i="6"/>
  <c r="D77" i="6"/>
  <c r="F34" i="6"/>
  <c r="E21" i="3"/>
  <c r="E25" i="3"/>
  <c r="H15" i="4"/>
  <c r="G14" i="4"/>
  <c r="G12" i="4"/>
  <c r="I9" i="6"/>
  <c r="C197" i="6"/>
  <c r="C145" i="6"/>
  <c r="G67" i="6"/>
  <c r="F82" i="6"/>
  <c r="C125" i="3"/>
  <c r="C126" i="3"/>
  <c r="C140" i="3"/>
  <c r="I27" i="4"/>
  <c r="I10" i="6"/>
  <c r="E94" i="6"/>
  <c r="E95" i="6"/>
  <c r="H156" i="6"/>
  <c r="H124" i="6"/>
  <c r="H27" i="6"/>
  <c r="H134" i="6"/>
  <c r="H142" i="6"/>
  <c r="H106" i="6"/>
  <c r="C84" i="3"/>
  <c r="C92" i="3"/>
  <c r="E57" i="4"/>
  <c r="E53" i="4"/>
  <c r="F51" i="4"/>
  <c r="G125" i="6"/>
  <c r="G157" i="6"/>
  <c r="C44" i="4"/>
  <c r="F54" i="6"/>
  <c r="F86" i="6"/>
  <c r="F83" i="6"/>
  <c r="E80" i="6"/>
  <c r="D24" i="6"/>
  <c r="D25" i="6"/>
  <c r="F134" i="6"/>
  <c r="F142" i="6"/>
  <c r="I27" i="6"/>
  <c r="E34" i="6"/>
  <c r="E22" i="6"/>
  <c r="F88" i="9"/>
  <c r="F67" i="9"/>
  <c r="C226" i="9"/>
  <c r="C197" i="9"/>
  <c r="C145" i="9"/>
  <c r="E225" i="9"/>
  <c r="E128" i="9"/>
  <c r="E179" i="9"/>
  <c r="E175" i="9"/>
  <c r="F100" i="9"/>
  <c r="G15" i="9"/>
  <c r="F14" i="9"/>
  <c r="F103" i="9"/>
  <c r="F104" i="9"/>
  <c r="C151" i="9"/>
  <c r="C149" i="9"/>
  <c r="C208" i="9"/>
  <c r="C77" i="9"/>
  <c r="H7" i="9"/>
  <c r="G73" i="9"/>
  <c r="G74" i="9"/>
  <c r="G91" i="9"/>
  <c r="I7" i="9"/>
  <c r="D24" i="9"/>
  <c r="G10" i="9"/>
  <c r="H9" i="9"/>
  <c r="H57" i="9"/>
  <c r="G81" i="9"/>
  <c r="G152" i="9"/>
  <c r="D168" i="9"/>
  <c r="C164" i="9"/>
  <c r="C181" i="9"/>
  <c r="E111" i="9"/>
  <c r="E110" i="9"/>
  <c r="D225" i="9"/>
  <c r="D240" i="9"/>
  <c r="D128" i="9"/>
  <c r="D179" i="9"/>
  <c r="D175" i="9"/>
  <c r="F119" i="9"/>
  <c r="F121" i="9"/>
  <c r="F118" i="9"/>
  <c r="F120" i="9"/>
  <c r="G13" i="9"/>
  <c r="C129" i="9"/>
  <c r="E103" i="9"/>
  <c r="E104" i="9"/>
  <c r="E12" i="9"/>
  <c r="G85" i="9"/>
  <c r="H46" i="9"/>
  <c r="E80" i="9"/>
  <c r="F54" i="9"/>
  <c r="F86" i="9"/>
  <c r="F83" i="9"/>
  <c r="F92" i="9"/>
  <c r="F97" i="9"/>
  <c r="D111" i="9"/>
  <c r="D110" i="9"/>
  <c r="E39" i="9"/>
  <c r="D79" i="9"/>
  <c r="D157" i="9"/>
  <c r="D125" i="9"/>
  <c r="I23" i="9"/>
  <c r="F106" i="9"/>
  <c r="F27" i="9"/>
  <c r="G159" i="6"/>
  <c r="G126" i="6"/>
  <c r="I14" i="6"/>
  <c r="H103" i="6"/>
  <c r="H104" i="6"/>
  <c r="H12" i="6"/>
  <c r="D130" i="6"/>
  <c r="D139" i="6"/>
  <c r="E112" i="6"/>
  <c r="I13" i="3"/>
  <c r="I12" i="3"/>
  <c r="H14" i="3"/>
  <c r="H17" i="3"/>
  <c r="G14" i="3"/>
  <c r="G17" i="3"/>
  <c r="F14" i="3"/>
  <c r="I10" i="3"/>
  <c r="F17" i="3"/>
  <c r="E22" i="3"/>
  <c r="I59" i="3"/>
  <c r="F60" i="3"/>
  <c r="G60" i="3"/>
  <c r="H60" i="3"/>
  <c r="I60" i="3"/>
  <c r="D32" i="4"/>
  <c r="E156" i="9"/>
  <c r="E124" i="9"/>
  <c r="G75" i="9"/>
  <c r="G88" i="9"/>
  <c r="D209" i="6"/>
  <c r="E32" i="6"/>
  <c r="D214" i="6"/>
  <c r="D169" i="6"/>
  <c r="F48" i="6"/>
  <c r="C90" i="3"/>
  <c r="C98" i="3"/>
  <c r="C153" i="3"/>
  <c r="C85" i="3"/>
  <c r="F34" i="4"/>
  <c r="F128" i="6"/>
  <c r="F179" i="6"/>
  <c r="F175" i="6"/>
  <c r="C91" i="4"/>
  <c r="E24" i="6"/>
  <c r="E28" i="6"/>
  <c r="E35" i="6"/>
  <c r="F21" i="6"/>
  <c r="H109" i="6"/>
  <c r="H115" i="6"/>
  <c r="H116" i="6"/>
  <c r="H122" i="6"/>
  <c r="H107" i="6"/>
  <c r="H108" i="6"/>
  <c r="C145" i="3"/>
  <c r="H67" i="6"/>
  <c r="H82" i="6"/>
  <c r="G82" i="6"/>
  <c r="G16" i="4"/>
  <c r="G20" i="4"/>
  <c r="C97" i="4"/>
  <c r="C102" i="4"/>
  <c r="C107" i="4"/>
  <c r="C98" i="4"/>
  <c r="E83" i="4"/>
  <c r="E113" i="4"/>
  <c r="F12" i="9"/>
  <c r="F20" i="9"/>
  <c r="D28" i="6"/>
  <c r="C160" i="6"/>
  <c r="C146" i="6"/>
  <c r="H14" i="4"/>
  <c r="H12" i="4"/>
  <c r="I15" i="4"/>
  <c r="E57" i="3"/>
  <c r="E26" i="3"/>
  <c r="D104" i="4"/>
  <c r="D105" i="4"/>
  <c r="D86" i="4"/>
  <c r="D87" i="4"/>
  <c r="F111" i="6"/>
  <c r="F112" i="6"/>
  <c r="F110" i="6"/>
  <c r="F79" i="6"/>
  <c r="G39" i="6"/>
  <c r="G34" i="6"/>
  <c r="D25" i="3"/>
  <c r="C154" i="6"/>
  <c r="C162" i="6"/>
  <c r="F53" i="4"/>
  <c r="F57" i="4"/>
  <c r="G51" i="4"/>
  <c r="C99" i="3"/>
  <c r="E125" i="6"/>
  <c r="E157" i="6"/>
  <c r="C198" i="6"/>
  <c r="C203" i="6"/>
  <c r="C202" i="6"/>
  <c r="H81" i="6"/>
  <c r="H152" i="6"/>
  <c r="I57" i="6"/>
  <c r="J57" i="6"/>
  <c r="E22" i="4"/>
  <c r="E34" i="4"/>
  <c r="C68" i="4"/>
  <c r="E151" i="6"/>
  <c r="E149" i="6"/>
  <c r="E208" i="6"/>
  <c r="E77" i="6"/>
  <c r="G115" i="6"/>
  <c r="G116" i="6"/>
  <c r="G122" i="6"/>
  <c r="G108" i="6"/>
  <c r="G109" i="6"/>
  <c r="G107" i="6"/>
  <c r="D28" i="4"/>
  <c r="F21" i="9"/>
  <c r="F22" i="9"/>
  <c r="G92" i="9"/>
  <c r="G97" i="9"/>
  <c r="F82" i="9"/>
  <c r="G67" i="9"/>
  <c r="F134" i="9"/>
  <c r="F142" i="9"/>
  <c r="F48" i="9"/>
  <c r="E16" i="9"/>
  <c r="E20" i="9"/>
  <c r="F34" i="9"/>
  <c r="F108" i="9"/>
  <c r="F109" i="9"/>
  <c r="F107" i="9"/>
  <c r="F115" i="9"/>
  <c r="F116" i="9"/>
  <c r="F122" i="9"/>
  <c r="D77" i="9"/>
  <c r="D151" i="9"/>
  <c r="D149" i="9"/>
  <c r="D208" i="9"/>
  <c r="D112" i="9"/>
  <c r="F98" i="9"/>
  <c r="F99" i="9"/>
  <c r="F101" i="9"/>
  <c r="F93" i="9"/>
  <c r="H85" i="9"/>
  <c r="I46" i="9"/>
  <c r="E159" i="9"/>
  <c r="E126" i="9"/>
  <c r="H10" i="9"/>
  <c r="I9" i="9"/>
  <c r="F126" i="9"/>
  <c r="F159" i="9"/>
  <c r="C198" i="9"/>
  <c r="C203" i="9"/>
  <c r="C202" i="9"/>
  <c r="E79" i="9"/>
  <c r="F39" i="9"/>
  <c r="F16" i="9"/>
  <c r="F94" i="9"/>
  <c r="F95" i="9"/>
  <c r="G106" i="9"/>
  <c r="G27" i="9"/>
  <c r="G134" i="9"/>
  <c r="G142" i="9"/>
  <c r="H73" i="9"/>
  <c r="H74" i="9"/>
  <c r="H91" i="9"/>
  <c r="I91" i="9"/>
  <c r="G100" i="9"/>
  <c r="H15" i="9"/>
  <c r="I15" i="9"/>
  <c r="G14" i="9"/>
  <c r="G118" i="9"/>
  <c r="G120" i="9"/>
  <c r="G119" i="9"/>
  <c r="G121" i="9"/>
  <c r="G12" i="9"/>
  <c r="G20" i="9"/>
  <c r="H13" i="9"/>
  <c r="D28" i="9"/>
  <c r="E112" i="9"/>
  <c r="H81" i="9"/>
  <c r="H152" i="9"/>
  <c r="I57" i="9"/>
  <c r="J57" i="9"/>
  <c r="D25" i="9"/>
  <c r="C160" i="9"/>
  <c r="C154" i="9"/>
  <c r="C146" i="9"/>
  <c r="E25" i="6"/>
  <c r="E127" i="6"/>
  <c r="E129" i="6"/>
  <c r="E130" i="6"/>
  <c r="E139" i="6"/>
  <c r="E158" i="6"/>
  <c r="H159" i="6"/>
  <c r="H126" i="6"/>
  <c r="I12" i="6"/>
  <c r="H16" i="6"/>
  <c r="H20" i="6"/>
  <c r="I17" i="3"/>
  <c r="I14" i="3"/>
  <c r="F113" i="4"/>
  <c r="F83" i="4"/>
  <c r="C70" i="4"/>
  <c r="D29" i="4"/>
  <c r="G111" i="6"/>
  <c r="G110" i="6"/>
  <c r="E35" i="4"/>
  <c r="E24" i="4"/>
  <c r="E86" i="4"/>
  <c r="E87" i="4"/>
  <c r="E104" i="4"/>
  <c r="E105" i="4"/>
  <c r="I14" i="4"/>
  <c r="H110" i="6"/>
  <c r="H111" i="6"/>
  <c r="E135" i="6"/>
  <c r="E29" i="6"/>
  <c r="F18" i="3"/>
  <c r="F21" i="4"/>
  <c r="F22" i="6"/>
  <c r="E209" i="6"/>
  <c r="E169" i="6"/>
  <c r="E36" i="6"/>
  <c r="F32" i="6"/>
  <c r="E214" i="6"/>
  <c r="F80" i="6"/>
  <c r="F151" i="6"/>
  <c r="F149" i="6"/>
  <c r="F208" i="6"/>
  <c r="G54" i="6"/>
  <c r="G86" i="6"/>
  <c r="G83" i="6"/>
  <c r="G48" i="6"/>
  <c r="E167" i="6"/>
  <c r="G179" i="6"/>
  <c r="G175" i="6"/>
  <c r="G128" i="6"/>
  <c r="F127" i="6"/>
  <c r="F158" i="6"/>
  <c r="H16" i="4"/>
  <c r="I16" i="4"/>
  <c r="H20" i="4"/>
  <c r="G53" i="4"/>
  <c r="G57" i="4"/>
  <c r="H51" i="4"/>
  <c r="D57" i="3"/>
  <c r="D26" i="3"/>
  <c r="H39" i="6"/>
  <c r="H79" i="6"/>
  <c r="G79" i="6"/>
  <c r="D96" i="4"/>
  <c r="E31" i="3"/>
  <c r="E32" i="3"/>
  <c r="C108" i="4"/>
  <c r="I12" i="4"/>
  <c r="H179" i="6"/>
  <c r="H175" i="6"/>
  <c r="H128" i="6"/>
  <c r="F129" i="6"/>
  <c r="C86" i="3"/>
  <c r="C200" i="6"/>
  <c r="D29" i="6"/>
  <c r="D135" i="6"/>
  <c r="D143" i="6"/>
  <c r="D144" i="6"/>
  <c r="G34" i="4"/>
  <c r="C90" i="4"/>
  <c r="D164" i="6"/>
  <c r="D181" i="6"/>
  <c r="E168" i="6"/>
  <c r="F168" i="6"/>
  <c r="G34" i="9"/>
  <c r="E151" i="9"/>
  <c r="E149" i="9"/>
  <c r="E208" i="9"/>
  <c r="E77" i="9"/>
  <c r="F111" i="9"/>
  <c r="F110" i="9"/>
  <c r="E94" i="9"/>
  <c r="E95" i="9"/>
  <c r="C249" i="9"/>
  <c r="D135" i="9"/>
  <c r="D29" i="9"/>
  <c r="H14" i="9"/>
  <c r="H103" i="9"/>
  <c r="H104" i="9"/>
  <c r="H100" i="9"/>
  <c r="I74" i="9"/>
  <c r="I75" i="9"/>
  <c r="I67" i="9"/>
  <c r="H75" i="9"/>
  <c r="H88" i="9"/>
  <c r="G115" i="9"/>
  <c r="G116" i="9"/>
  <c r="G122" i="9"/>
  <c r="G108" i="9"/>
  <c r="G107" i="9"/>
  <c r="G109" i="9"/>
  <c r="C200" i="9"/>
  <c r="H27" i="9"/>
  <c r="H106" i="9"/>
  <c r="I10" i="9"/>
  <c r="D127" i="9"/>
  <c r="D129" i="9"/>
  <c r="D130" i="9"/>
  <c r="D139" i="9"/>
  <c r="D224" i="9"/>
  <c r="D158" i="9"/>
  <c r="F225" i="9"/>
  <c r="F179" i="9"/>
  <c r="F175" i="9"/>
  <c r="F128" i="9"/>
  <c r="C257" i="9"/>
  <c r="C162" i="9"/>
  <c r="E127" i="9"/>
  <c r="E224" i="9"/>
  <c r="E158" i="9"/>
  <c r="F79" i="9"/>
  <c r="G39" i="9"/>
  <c r="F124" i="9"/>
  <c r="F156" i="9"/>
  <c r="D209" i="9"/>
  <c r="D169" i="9"/>
  <c r="D212" i="9"/>
  <c r="D214" i="9"/>
  <c r="E32" i="9"/>
  <c r="H12" i="9"/>
  <c r="H20" i="9"/>
  <c r="H119" i="9"/>
  <c r="H121" i="9"/>
  <c r="H118" i="9"/>
  <c r="H120" i="9"/>
  <c r="I13" i="9"/>
  <c r="G16" i="9"/>
  <c r="G94" i="9"/>
  <c r="G103" i="9"/>
  <c r="G104" i="9"/>
  <c r="I14" i="9"/>
  <c r="H97" i="9"/>
  <c r="I97" i="9"/>
  <c r="H92" i="9"/>
  <c r="F125" i="9"/>
  <c r="F157" i="9"/>
  <c r="E22" i="9"/>
  <c r="E34" i="9"/>
  <c r="F80" i="9"/>
  <c r="G54" i="9"/>
  <c r="G86" i="9"/>
  <c r="G83" i="9"/>
  <c r="G82" i="9"/>
  <c r="H67" i="9"/>
  <c r="H82" i="9"/>
  <c r="G93" i="9"/>
  <c r="G98" i="9"/>
  <c r="G99" i="9"/>
  <c r="G101" i="9"/>
  <c r="F24" i="9"/>
  <c r="F28" i="9"/>
  <c r="F35" i="9"/>
  <c r="F77" i="6"/>
  <c r="F130" i="6"/>
  <c r="F139" i="6"/>
  <c r="E143" i="6"/>
  <c r="E144" i="6"/>
  <c r="E197" i="6"/>
  <c r="E202" i="6"/>
  <c r="H34" i="6"/>
  <c r="I34" i="6"/>
  <c r="I20" i="6"/>
  <c r="H94" i="6"/>
  <c r="H95" i="6"/>
  <c r="I16" i="6"/>
  <c r="G113" i="4"/>
  <c r="G83" i="4"/>
  <c r="E96" i="4"/>
  <c r="E141" i="6"/>
  <c r="E145" i="6"/>
  <c r="D197" i="6"/>
  <c r="D145" i="6"/>
  <c r="D31" i="3"/>
  <c r="D27" i="3"/>
  <c r="E23" i="3"/>
  <c r="E27" i="3"/>
  <c r="F23" i="3"/>
  <c r="D28" i="3"/>
  <c r="H34" i="4"/>
  <c r="I34" i="4"/>
  <c r="G21" i="6"/>
  <c r="E136" i="6"/>
  <c r="I20" i="4"/>
  <c r="H53" i="4"/>
  <c r="H57" i="4"/>
  <c r="D30" i="6"/>
  <c r="D31" i="6"/>
  <c r="D136" i="6"/>
  <c r="D58" i="3"/>
  <c r="E58" i="3"/>
  <c r="F167" i="6"/>
  <c r="E164" i="6"/>
  <c r="E181" i="6"/>
  <c r="F22" i="4"/>
  <c r="E203" i="6"/>
  <c r="D30" i="4"/>
  <c r="E26" i="4"/>
  <c r="D61" i="4"/>
  <c r="D38" i="4"/>
  <c r="D72" i="4"/>
  <c r="D31" i="4"/>
  <c r="F104" i="4"/>
  <c r="F105" i="4"/>
  <c r="F86" i="4"/>
  <c r="F87" i="4"/>
  <c r="H54" i="6"/>
  <c r="H86" i="6"/>
  <c r="H83" i="6"/>
  <c r="H21" i="6"/>
  <c r="H48" i="6"/>
  <c r="G80" i="6"/>
  <c r="F24" i="6"/>
  <c r="F25" i="6"/>
  <c r="F35" i="6"/>
  <c r="E28" i="4"/>
  <c r="G95" i="9"/>
  <c r="G125" i="9"/>
  <c r="C92" i="4"/>
  <c r="E49" i="3"/>
  <c r="E51" i="3"/>
  <c r="E151" i="3"/>
  <c r="E81" i="3"/>
  <c r="E110" i="3"/>
  <c r="E115" i="3"/>
  <c r="E43" i="3"/>
  <c r="E46" i="3"/>
  <c r="E39" i="3"/>
  <c r="E54" i="3"/>
  <c r="G151" i="6"/>
  <c r="G149" i="6"/>
  <c r="G208" i="6"/>
  <c r="G77" i="6"/>
  <c r="F19" i="3"/>
  <c r="H112" i="6"/>
  <c r="E25" i="4"/>
  <c r="G112" i="6"/>
  <c r="H34" i="9"/>
  <c r="I34" i="9"/>
  <c r="I20" i="9"/>
  <c r="G179" i="9"/>
  <c r="G175" i="9"/>
  <c r="G128" i="9"/>
  <c r="G225" i="9"/>
  <c r="E168" i="9"/>
  <c r="D164" i="9"/>
  <c r="D181" i="9"/>
  <c r="G124" i="9"/>
  <c r="G156" i="9"/>
  <c r="G21" i="9"/>
  <c r="E167" i="9"/>
  <c r="H159" i="9"/>
  <c r="H126" i="9"/>
  <c r="D143" i="9"/>
  <c r="D144" i="9"/>
  <c r="F112" i="9"/>
  <c r="F29" i="9"/>
  <c r="F135" i="9"/>
  <c r="H93" i="9"/>
  <c r="H98" i="9"/>
  <c r="H99" i="9"/>
  <c r="H101" i="9"/>
  <c r="F151" i="9"/>
  <c r="F149" i="9"/>
  <c r="F208" i="9"/>
  <c r="F77" i="9"/>
  <c r="H134" i="9"/>
  <c r="H142" i="9"/>
  <c r="I27" i="9"/>
  <c r="E157" i="9"/>
  <c r="E125" i="9"/>
  <c r="E129" i="9"/>
  <c r="E130" i="9"/>
  <c r="E139" i="9"/>
  <c r="F25" i="9"/>
  <c r="H16" i="9"/>
  <c r="H94" i="9"/>
  <c r="H95" i="9"/>
  <c r="I12" i="9"/>
  <c r="G111" i="9"/>
  <c r="G110" i="9"/>
  <c r="D136" i="9"/>
  <c r="D30" i="9"/>
  <c r="D31" i="9"/>
  <c r="G48" i="9"/>
  <c r="E35" i="9"/>
  <c r="E24" i="9"/>
  <c r="G126" i="9"/>
  <c r="G159" i="9"/>
  <c r="H39" i="9"/>
  <c r="H79" i="9"/>
  <c r="G79" i="9"/>
  <c r="H115" i="9"/>
  <c r="H116" i="9"/>
  <c r="H122" i="9"/>
  <c r="H107" i="9"/>
  <c r="H109" i="9"/>
  <c r="H108" i="9"/>
  <c r="H125" i="6"/>
  <c r="H157" i="6"/>
  <c r="I83" i="6"/>
  <c r="G32" i="6"/>
  <c r="F214" i="6"/>
  <c r="F36" i="6"/>
  <c r="F169" i="6"/>
  <c r="F209" i="6"/>
  <c r="E135" i="3"/>
  <c r="E114" i="3"/>
  <c r="D137" i="6"/>
  <c r="E26" i="6"/>
  <c r="D35" i="3"/>
  <c r="D38" i="3"/>
  <c r="E28" i="3"/>
  <c r="F96" i="4"/>
  <c r="H158" i="6"/>
  <c r="H127" i="6"/>
  <c r="H129" i="6"/>
  <c r="E121" i="3"/>
  <c r="E83" i="3"/>
  <c r="E92" i="3"/>
  <c r="E99" i="3"/>
  <c r="H18" i="3"/>
  <c r="H19" i="3"/>
  <c r="H21" i="4"/>
  <c r="H22" i="4"/>
  <c r="H22" i="6"/>
  <c r="D43" i="4"/>
  <c r="D112" i="4"/>
  <c r="D41" i="4"/>
  <c r="G18" i="3"/>
  <c r="G21" i="4"/>
  <c r="G22" i="6"/>
  <c r="I21" i="6"/>
  <c r="D160" i="6"/>
  <c r="D154" i="6"/>
  <c r="D162" i="6"/>
  <c r="D146" i="6"/>
  <c r="E146" i="6"/>
  <c r="E32" i="4"/>
  <c r="E36" i="4"/>
  <c r="H80" i="6"/>
  <c r="I54" i="6"/>
  <c r="E29" i="4"/>
  <c r="E31" i="4"/>
  <c r="F28" i="6"/>
  <c r="D85" i="4"/>
  <c r="G167" i="6"/>
  <c r="H113" i="4"/>
  <c r="H83" i="4"/>
  <c r="I57" i="4"/>
  <c r="D203" i="6"/>
  <c r="D202" i="6"/>
  <c r="G86" i="4"/>
  <c r="G87" i="4"/>
  <c r="G104" i="4"/>
  <c r="G105" i="4"/>
  <c r="E62" i="3"/>
  <c r="D76" i="4"/>
  <c r="D75" i="4"/>
  <c r="G157" i="9"/>
  <c r="I16" i="9"/>
  <c r="G127" i="6"/>
  <c r="G129" i="6"/>
  <c r="G130" i="6"/>
  <c r="G139" i="6"/>
  <c r="G158" i="6"/>
  <c r="F21" i="3"/>
  <c r="F22" i="3"/>
  <c r="E103" i="3"/>
  <c r="E105" i="3"/>
  <c r="E91" i="3"/>
  <c r="E157" i="3"/>
  <c r="E154" i="3"/>
  <c r="F35" i="4"/>
  <c r="F24" i="4"/>
  <c r="D138" i="6"/>
  <c r="E31" i="6"/>
  <c r="D32" i="3"/>
  <c r="E160" i="6"/>
  <c r="E154" i="6"/>
  <c r="E162" i="6"/>
  <c r="F141" i="6"/>
  <c r="H128" i="9"/>
  <c r="H225" i="9"/>
  <c r="H179" i="9"/>
  <c r="H175" i="9"/>
  <c r="H124" i="9"/>
  <c r="H156" i="9"/>
  <c r="E28" i="9"/>
  <c r="F158" i="9"/>
  <c r="F224" i="9"/>
  <c r="F127" i="9"/>
  <c r="F129" i="9"/>
  <c r="F130" i="9"/>
  <c r="F139" i="9"/>
  <c r="F143" i="9"/>
  <c r="F144" i="9"/>
  <c r="H110" i="9"/>
  <c r="H111" i="9"/>
  <c r="D138" i="9"/>
  <c r="H157" i="9"/>
  <c r="H125" i="9"/>
  <c r="D197" i="9"/>
  <c r="D226" i="9"/>
  <c r="E141" i="9"/>
  <c r="D145" i="9"/>
  <c r="E25" i="9"/>
  <c r="G112" i="9"/>
  <c r="F169" i="9"/>
  <c r="F209" i="9"/>
  <c r="G32" i="9"/>
  <c r="F212" i="9"/>
  <c r="F214" i="9"/>
  <c r="H54" i="9"/>
  <c r="H86" i="9"/>
  <c r="H83" i="9"/>
  <c r="G80" i="9"/>
  <c r="G77" i="9"/>
  <c r="E26" i="9"/>
  <c r="E133" i="9"/>
  <c r="D137" i="9"/>
  <c r="F136" i="9"/>
  <c r="G22" i="9"/>
  <c r="G168" i="6"/>
  <c r="G96" i="4"/>
  <c r="G151" i="9"/>
  <c r="G149" i="9"/>
  <c r="G208" i="9"/>
  <c r="H21" i="3"/>
  <c r="H25" i="3"/>
  <c r="E138" i="6"/>
  <c r="F28" i="4"/>
  <c r="H86" i="4"/>
  <c r="H87" i="4"/>
  <c r="H96" i="4"/>
  <c r="H104" i="4"/>
  <c r="H106" i="4"/>
  <c r="G106" i="4"/>
  <c r="F106" i="4"/>
  <c r="E106" i="4"/>
  <c r="D106" i="4"/>
  <c r="F135" i="6"/>
  <c r="F143" i="6"/>
  <c r="F144" i="6"/>
  <c r="F197" i="6"/>
  <c r="F29" i="6"/>
  <c r="D44" i="4"/>
  <c r="D36" i="3"/>
  <c r="B59" i="4"/>
  <c r="I113" i="4"/>
  <c r="B115" i="4"/>
  <c r="F25" i="3"/>
  <c r="H151" i="6"/>
  <c r="H149" i="6"/>
  <c r="H208" i="6"/>
  <c r="I208" i="6"/>
  <c r="H77" i="6"/>
  <c r="G25" i="6"/>
  <c r="G35" i="6"/>
  <c r="G24" i="6"/>
  <c r="I22" i="6"/>
  <c r="H35" i="6"/>
  <c r="H24" i="6"/>
  <c r="H28" i="6"/>
  <c r="E140" i="3"/>
  <c r="E145" i="3"/>
  <c r="E126" i="3"/>
  <c r="E125" i="3"/>
  <c r="E133" i="6"/>
  <c r="E30" i="6"/>
  <c r="G19" i="3"/>
  <c r="I18" i="3"/>
  <c r="E43" i="4"/>
  <c r="D43" i="3"/>
  <c r="D76" i="3"/>
  <c r="E76" i="3"/>
  <c r="D151" i="3"/>
  <c r="D54" i="3"/>
  <c r="D70" i="3"/>
  <c r="E70" i="3"/>
  <c r="D39" i="3"/>
  <c r="D81" i="3"/>
  <c r="D74" i="3"/>
  <c r="E74" i="3"/>
  <c r="D49" i="3"/>
  <c r="D72" i="3"/>
  <c r="E72" i="3"/>
  <c r="D110" i="3"/>
  <c r="F25" i="4"/>
  <c r="F164" i="6"/>
  <c r="F181" i="6"/>
  <c r="D94" i="4"/>
  <c r="D88" i="4"/>
  <c r="E72" i="4"/>
  <c r="E38" i="4"/>
  <c r="E61" i="4"/>
  <c r="E30" i="4"/>
  <c r="F26" i="4"/>
  <c r="G22" i="4"/>
  <c r="H35" i="4"/>
  <c r="I21" i="4"/>
  <c r="H24" i="4"/>
  <c r="H28" i="4"/>
  <c r="H29" i="4"/>
  <c r="H130" i="6"/>
  <c r="H139" i="6"/>
  <c r="E38" i="3"/>
  <c r="E35" i="3"/>
  <c r="E36" i="3"/>
  <c r="H21" i="9"/>
  <c r="I83" i="9"/>
  <c r="D160" i="9"/>
  <c r="D154" i="9"/>
  <c r="D162" i="9"/>
  <c r="D146" i="9"/>
  <c r="G35" i="9"/>
  <c r="G24" i="9"/>
  <c r="G127" i="9"/>
  <c r="G129" i="9"/>
  <c r="G130" i="9"/>
  <c r="G139" i="9"/>
  <c r="G158" i="9"/>
  <c r="G224" i="9"/>
  <c r="H48" i="9"/>
  <c r="F197" i="9"/>
  <c r="F226" i="9"/>
  <c r="E209" i="9"/>
  <c r="E212" i="9"/>
  <c r="E214" i="9"/>
  <c r="E169" i="9"/>
  <c r="F32" i="9"/>
  <c r="E36" i="9"/>
  <c r="E135" i="9"/>
  <c r="E143" i="9"/>
  <c r="E144" i="9"/>
  <c r="E29" i="9"/>
  <c r="F36" i="9"/>
  <c r="D202" i="9"/>
  <c r="D203" i="9"/>
  <c r="H112" i="9"/>
  <c r="H25" i="4"/>
  <c r="H25" i="6"/>
  <c r="F145" i="6"/>
  <c r="F146" i="6"/>
  <c r="E85" i="4"/>
  <c r="D91" i="4"/>
  <c r="F26" i="3"/>
  <c r="F57" i="3"/>
  <c r="B196" i="9"/>
  <c r="B83" i="4"/>
  <c r="B104" i="4"/>
  <c r="B96" i="4"/>
  <c r="B196" i="6"/>
  <c r="B203" i="6"/>
  <c r="B62" i="4"/>
  <c r="G141" i="6"/>
  <c r="F160" i="6"/>
  <c r="F154" i="6"/>
  <c r="F162" i="6"/>
  <c r="H105" i="4"/>
  <c r="E41" i="4"/>
  <c r="E112" i="4"/>
  <c r="D97" i="4"/>
  <c r="D107" i="4"/>
  <c r="D102" i="4"/>
  <c r="D98" i="4"/>
  <c r="F32" i="4"/>
  <c r="F36" i="4"/>
  <c r="D115" i="3"/>
  <c r="D114" i="3"/>
  <c r="D83" i="3"/>
  <c r="D121" i="3"/>
  <c r="D157" i="3"/>
  <c r="D154" i="3"/>
  <c r="G21" i="3"/>
  <c r="G22" i="3"/>
  <c r="I19" i="3"/>
  <c r="H135" i="6"/>
  <c r="H143" i="6"/>
  <c r="H144" i="6"/>
  <c r="H197" i="6"/>
  <c r="H29" i="6"/>
  <c r="G28" i="6"/>
  <c r="I24" i="6"/>
  <c r="F29" i="4"/>
  <c r="D61" i="3"/>
  <c r="E61" i="3"/>
  <c r="D62" i="3"/>
  <c r="E75" i="4"/>
  <c r="I35" i="6"/>
  <c r="F136" i="6"/>
  <c r="F30" i="6"/>
  <c r="F31" i="6"/>
  <c r="H57" i="3"/>
  <c r="H26" i="3"/>
  <c r="H32" i="4"/>
  <c r="H36" i="6"/>
  <c r="H169" i="6"/>
  <c r="H209" i="6"/>
  <c r="H214" i="6"/>
  <c r="H72" i="4"/>
  <c r="H38" i="4"/>
  <c r="H61" i="4"/>
  <c r="G35" i="4"/>
  <c r="I35" i="4"/>
  <c r="G24" i="4"/>
  <c r="G25" i="4"/>
  <c r="I22" i="4"/>
  <c r="D51" i="3"/>
  <c r="D46" i="3"/>
  <c r="E137" i="6"/>
  <c r="F26" i="6"/>
  <c r="F133" i="6"/>
  <c r="G36" i="6"/>
  <c r="I36" i="6"/>
  <c r="G214" i="6"/>
  <c r="G169" i="6"/>
  <c r="H32" i="6"/>
  <c r="G209" i="6"/>
  <c r="I209" i="6"/>
  <c r="I210" i="6"/>
  <c r="I25" i="6"/>
  <c r="D118" i="4"/>
  <c r="D119" i="4"/>
  <c r="H118" i="4"/>
  <c r="C118" i="4"/>
  <c r="C119" i="4"/>
  <c r="E118" i="4"/>
  <c r="G118" i="4"/>
  <c r="F118" i="4"/>
  <c r="E44" i="4"/>
  <c r="F203" i="6"/>
  <c r="F202" i="6"/>
  <c r="H22" i="3"/>
  <c r="E164" i="9"/>
  <c r="E181" i="9"/>
  <c r="F168" i="9"/>
  <c r="G168" i="9"/>
  <c r="F203" i="9"/>
  <c r="F202" i="9"/>
  <c r="G28" i="9"/>
  <c r="H22" i="9"/>
  <c r="I21" i="9"/>
  <c r="H158" i="9"/>
  <c r="H224" i="9"/>
  <c r="H127" i="9"/>
  <c r="H129" i="9"/>
  <c r="H130" i="9"/>
  <c r="H139" i="9"/>
  <c r="I54" i="9"/>
  <c r="H80" i="9"/>
  <c r="G25" i="9"/>
  <c r="E30" i="9"/>
  <c r="E136" i="9"/>
  <c r="E31" i="9"/>
  <c r="E226" i="9"/>
  <c r="E197" i="9"/>
  <c r="F167" i="9"/>
  <c r="E145" i="9"/>
  <c r="E146" i="9"/>
  <c r="E119" i="4"/>
  <c r="I22" i="3"/>
  <c r="G36" i="4"/>
  <c r="G32" i="4"/>
  <c r="I25" i="4"/>
  <c r="H36" i="4"/>
  <c r="B74" i="4"/>
  <c r="H62" i="4"/>
  <c r="H63" i="4"/>
  <c r="H74" i="4"/>
  <c r="G62" i="4"/>
  <c r="G63" i="4"/>
  <c r="G74" i="4"/>
  <c r="E62" i="4"/>
  <c r="E63" i="4"/>
  <c r="D62" i="4"/>
  <c r="D63" i="4"/>
  <c r="F62" i="4"/>
  <c r="F63" i="4"/>
  <c r="I32" i="6"/>
  <c r="H167" i="6"/>
  <c r="D91" i="3"/>
  <c r="D103" i="3"/>
  <c r="H64" i="4"/>
  <c r="H85" i="4"/>
  <c r="H136" i="6"/>
  <c r="G25" i="3"/>
  <c r="I21" i="3"/>
  <c r="D126" i="3"/>
  <c r="D140" i="3"/>
  <c r="D125" i="3"/>
  <c r="D135" i="3"/>
  <c r="B204" i="6"/>
  <c r="F58" i="3"/>
  <c r="I32" i="4"/>
  <c r="H168" i="6"/>
  <c r="G164" i="6"/>
  <c r="G181" i="6"/>
  <c r="G28" i="4"/>
  <c r="I24" i="4"/>
  <c r="H41" i="4"/>
  <c r="I46" i="4"/>
  <c r="H112" i="4"/>
  <c r="H119" i="4"/>
  <c r="H31" i="3"/>
  <c r="H32" i="3"/>
  <c r="F137" i="6"/>
  <c r="G26" i="6"/>
  <c r="G133" i="6"/>
  <c r="F72" i="4"/>
  <c r="F61" i="4"/>
  <c r="F30" i="4"/>
  <c r="G26" i="4"/>
  <c r="F38" i="4"/>
  <c r="F31" i="4"/>
  <c r="H203" i="6"/>
  <c r="H202" i="6"/>
  <c r="H198" i="6"/>
  <c r="D92" i="3"/>
  <c r="D84" i="3"/>
  <c r="F27" i="3"/>
  <c r="G23" i="3"/>
  <c r="F31" i="3"/>
  <c r="F28" i="3"/>
  <c r="F138" i="6"/>
  <c r="G135" i="6"/>
  <c r="G143" i="6"/>
  <c r="G144" i="6"/>
  <c r="G197" i="6"/>
  <c r="G29" i="6"/>
  <c r="G31" i="6"/>
  <c r="I28" i="6"/>
  <c r="E227" i="9"/>
  <c r="I214" i="6"/>
  <c r="H75" i="4"/>
  <c r="H76" i="4"/>
  <c r="D108" i="4"/>
  <c r="G145" i="6"/>
  <c r="B228" i="9"/>
  <c r="B203" i="9"/>
  <c r="B204" i="9"/>
  <c r="D90" i="4"/>
  <c r="E94" i="4"/>
  <c r="E88" i="4"/>
  <c r="F164" i="9"/>
  <c r="F181" i="9"/>
  <c r="G167" i="9"/>
  <c r="F26" i="9"/>
  <c r="E137" i="9"/>
  <c r="F31" i="9"/>
  <c r="E138" i="9"/>
  <c r="H151" i="9"/>
  <c r="H149" i="9"/>
  <c r="H208" i="9"/>
  <c r="I208" i="9"/>
  <c r="H77" i="9"/>
  <c r="H24" i="9"/>
  <c r="H35" i="9"/>
  <c r="I35" i="9"/>
  <c r="I22" i="9"/>
  <c r="E198" i="9"/>
  <c r="E202" i="9"/>
  <c r="E203" i="9"/>
  <c r="F146" i="9"/>
  <c r="E160" i="9"/>
  <c r="E154" i="9"/>
  <c r="E162" i="9"/>
  <c r="F141" i="9"/>
  <c r="F145" i="9"/>
  <c r="G36" i="9"/>
  <c r="G169" i="9"/>
  <c r="G212" i="9"/>
  <c r="G214" i="9"/>
  <c r="G209" i="9"/>
  <c r="H32" i="9"/>
  <c r="I32" i="9"/>
  <c r="G135" i="9"/>
  <c r="G143" i="9"/>
  <c r="G144" i="9"/>
  <c r="G29" i="9"/>
  <c r="I36" i="4"/>
  <c r="G138" i="6"/>
  <c r="H31" i="6"/>
  <c r="E97" i="4"/>
  <c r="E98" i="4"/>
  <c r="E102" i="4"/>
  <c r="E107" i="4"/>
  <c r="C227" i="9"/>
  <c r="D227" i="9"/>
  <c r="F227" i="9"/>
  <c r="G136" i="6"/>
  <c r="G30" i="6"/>
  <c r="I29" i="6"/>
  <c r="F35" i="3"/>
  <c r="F38" i="3"/>
  <c r="F85" i="4"/>
  <c r="F64" i="4"/>
  <c r="H88" i="4"/>
  <c r="H94" i="4"/>
  <c r="H164" i="6"/>
  <c r="H181" i="6"/>
  <c r="F74" i="4"/>
  <c r="F198" i="9"/>
  <c r="F198" i="6"/>
  <c r="D99" i="3"/>
  <c r="I92" i="3"/>
  <c r="I114" i="4"/>
  <c r="I49" i="4"/>
  <c r="H141" i="6"/>
  <c r="H145" i="6"/>
  <c r="H160" i="6"/>
  <c r="H154" i="6"/>
  <c r="H162" i="6"/>
  <c r="G160" i="6"/>
  <c r="G154" i="6"/>
  <c r="G162" i="6"/>
  <c r="G146" i="6"/>
  <c r="G203" i="6"/>
  <c r="I203" i="6"/>
  <c r="G198" i="6"/>
  <c r="G202" i="6"/>
  <c r="I202" i="6"/>
  <c r="I204" i="6"/>
  <c r="I199" i="6"/>
  <c r="I197" i="6"/>
  <c r="E84" i="3"/>
  <c r="D85" i="3"/>
  <c r="D90" i="3"/>
  <c r="D98" i="3"/>
  <c r="D153" i="3"/>
  <c r="F43" i="4"/>
  <c r="F75" i="4"/>
  <c r="F76" i="4"/>
  <c r="H49" i="3"/>
  <c r="H51" i="3"/>
  <c r="H54" i="3"/>
  <c r="H43" i="3"/>
  <c r="H46" i="3"/>
  <c r="H151" i="3"/>
  <c r="H39" i="3"/>
  <c r="H81" i="3"/>
  <c r="H110" i="3"/>
  <c r="G29" i="4"/>
  <c r="G31" i="4"/>
  <c r="I28" i="4"/>
  <c r="I206" i="6"/>
  <c r="G57" i="3"/>
  <c r="I57" i="3"/>
  <c r="G26" i="3"/>
  <c r="G28" i="3"/>
  <c r="I25" i="3"/>
  <c r="D74" i="4"/>
  <c r="D64" i="4"/>
  <c r="D198" i="6"/>
  <c r="D198" i="9"/>
  <c r="D200" i="9"/>
  <c r="E200" i="9"/>
  <c r="I80" i="4"/>
  <c r="E91" i="4"/>
  <c r="D92" i="4"/>
  <c r="F32" i="3"/>
  <c r="F41" i="4"/>
  <c r="F112" i="4"/>
  <c r="F119" i="4"/>
  <c r="D145" i="3"/>
  <c r="D105" i="3"/>
  <c r="E74" i="4"/>
  <c r="E76" i="4"/>
  <c r="E198" i="6"/>
  <c r="E64" i="4"/>
  <c r="G136" i="9"/>
  <c r="G226" i="9"/>
  <c r="G227" i="9"/>
  <c r="G197" i="9"/>
  <c r="H28" i="9"/>
  <c r="I24" i="9"/>
  <c r="H168" i="9"/>
  <c r="F160" i="9"/>
  <c r="F154" i="9"/>
  <c r="F162" i="9"/>
  <c r="G141" i="9"/>
  <c r="G145" i="9"/>
  <c r="G146" i="9"/>
  <c r="H25" i="9"/>
  <c r="F138" i="9"/>
  <c r="G31" i="9"/>
  <c r="H167" i="9"/>
  <c r="G164" i="9"/>
  <c r="G181" i="9"/>
  <c r="F133" i="9"/>
  <c r="F30" i="9"/>
  <c r="I205" i="6"/>
  <c r="H157" i="3"/>
  <c r="H154" i="3"/>
  <c r="H31" i="4"/>
  <c r="G43" i="4"/>
  <c r="G38" i="3"/>
  <c r="H28" i="3"/>
  <c r="G35" i="3"/>
  <c r="G36" i="3"/>
  <c r="H138" i="6"/>
  <c r="I31" i="6"/>
  <c r="J206" i="6"/>
  <c r="J206" i="9"/>
  <c r="G61" i="4"/>
  <c r="G72" i="4"/>
  <c r="G30" i="4"/>
  <c r="H26" i="4"/>
  <c r="H30" i="4"/>
  <c r="I30" i="4"/>
  <c r="G38" i="4"/>
  <c r="I29" i="4"/>
  <c r="I66" i="4"/>
  <c r="H83" i="3"/>
  <c r="H92" i="3"/>
  <c r="H99" i="3"/>
  <c r="H121" i="3"/>
  <c r="H91" i="3"/>
  <c r="H103" i="3"/>
  <c r="H105" i="3"/>
  <c r="G44" i="4"/>
  <c r="F44" i="4"/>
  <c r="F36" i="3"/>
  <c r="D69" i="4"/>
  <c r="H146" i="6"/>
  <c r="H107" i="4"/>
  <c r="H98" i="4"/>
  <c r="H102" i="4"/>
  <c r="H108" i="4"/>
  <c r="H97" i="4"/>
  <c r="F88" i="4"/>
  <c r="F91" i="4"/>
  <c r="F94" i="4"/>
  <c r="E85" i="3"/>
  <c r="E86" i="3"/>
  <c r="E90" i="3"/>
  <c r="E98" i="3"/>
  <c r="E153" i="3"/>
  <c r="H115" i="3"/>
  <c r="H135" i="3"/>
  <c r="H114" i="3"/>
  <c r="F54" i="3"/>
  <c r="F43" i="3"/>
  <c r="F72" i="3"/>
  <c r="F81" i="3"/>
  <c r="F74" i="3"/>
  <c r="F39" i="3"/>
  <c r="F70" i="3"/>
  <c r="F110" i="3"/>
  <c r="F49" i="3"/>
  <c r="F76" i="3"/>
  <c r="F151" i="3"/>
  <c r="E90" i="4"/>
  <c r="I198" i="6"/>
  <c r="D200" i="6"/>
  <c r="E200" i="6"/>
  <c r="F200" i="6"/>
  <c r="G200" i="6"/>
  <c r="G31" i="3"/>
  <c r="G27" i="3"/>
  <c r="H23" i="3"/>
  <c r="H27" i="3"/>
  <c r="I27" i="3"/>
  <c r="I26" i="3"/>
  <c r="H62" i="3"/>
  <c r="D86" i="3"/>
  <c r="G137" i="6"/>
  <c r="H26" i="6"/>
  <c r="E108" i="4"/>
  <c r="G58" i="3"/>
  <c r="H58" i="3"/>
  <c r="I58" i="3"/>
  <c r="F200" i="9"/>
  <c r="G203" i="9"/>
  <c r="G202" i="9"/>
  <c r="G198" i="9"/>
  <c r="F137" i="9"/>
  <c r="G26" i="9"/>
  <c r="G138" i="9"/>
  <c r="H141" i="9"/>
  <c r="G160" i="9"/>
  <c r="G154" i="9"/>
  <c r="G162" i="9"/>
  <c r="H135" i="9"/>
  <c r="H143" i="9"/>
  <c r="H144" i="9"/>
  <c r="H29" i="9"/>
  <c r="I28" i="9"/>
  <c r="H169" i="9"/>
  <c r="H164" i="9"/>
  <c r="H181" i="9"/>
  <c r="H212" i="9"/>
  <c r="H214" i="9"/>
  <c r="I214" i="9"/>
  <c r="H209" i="9"/>
  <c r="I209" i="9"/>
  <c r="I210" i="9"/>
  <c r="H36" i="9"/>
  <c r="I36" i="9"/>
  <c r="I25" i="9"/>
  <c r="F90" i="4"/>
  <c r="G64" i="4"/>
  <c r="I64" i="4"/>
  <c r="G85" i="4"/>
  <c r="I61" i="4"/>
  <c r="G32" i="3"/>
  <c r="I31" i="3"/>
  <c r="F154" i="3"/>
  <c r="F157" i="3"/>
  <c r="H125" i="3"/>
  <c r="H140" i="3"/>
  <c r="H145" i="3"/>
  <c r="H126" i="3"/>
  <c r="G112" i="4"/>
  <c r="G41" i="4"/>
  <c r="I41" i="4"/>
  <c r="I38" i="4"/>
  <c r="H133" i="6"/>
  <c r="H30" i="6"/>
  <c r="F92" i="4"/>
  <c r="E92" i="4"/>
  <c r="F114" i="3"/>
  <c r="F115" i="3"/>
  <c r="F83" i="3"/>
  <c r="F121" i="3"/>
  <c r="H35" i="3"/>
  <c r="H38" i="3"/>
  <c r="I28" i="3"/>
  <c r="G201" i="6"/>
  <c r="I201" i="6"/>
  <c r="H200" i="6"/>
  <c r="F46" i="3"/>
  <c r="D68" i="4"/>
  <c r="E69" i="4"/>
  <c r="F51" i="3"/>
  <c r="F62" i="3"/>
  <c r="F61" i="3"/>
  <c r="F107" i="4"/>
  <c r="F98" i="4"/>
  <c r="F97" i="4"/>
  <c r="F102" i="4"/>
  <c r="J199" i="6"/>
  <c r="J199" i="9"/>
  <c r="G76" i="4"/>
  <c r="I76" i="4"/>
  <c r="G75" i="4"/>
  <c r="I75" i="4"/>
  <c r="I77" i="4"/>
  <c r="I72" i="4"/>
  <c r="H36" i="3"/>
  <c r="H43" i="4"/>
  <c r="H44" i="4"/>
  <c r="I31" i="4"/>
  <c r="H136" i="9"/>
  <c r="I29" i="9"/>
  <c r="H226" i="9"/>
  <c r="H227" i="9"/>
  <c r="I227" i="9"/>
  <c r="H197" i="9"/>
  <c r="H31" i="9"/>
  <c r="G133" i="9"/>
  <c r="G30" i="9"/>
  <c r="H145" i="9"/>
  <c r="G200" i="9"/>
  <c r="I78" i="4"/>
  <c r="I38" i="3"/>
  <c r="F92" i="3"/>
  <c r="F99" i="3"/>
  <c r="F84" i="3"/>
  <c r="J197" i="6"/>
  <c r="J197" i="9"/>
  <c r="F126" i="3"/>
  <c r="F140" i="3"/>
  <c r="F125" i="3"/>
  <c r="I30" i="6"/>
  <c r="H137" i="6"/>
  <c r="I112" i="4"/>
  <c r="G119" i="4"/>
  <c r="I119" i="4"/>
  <c r="I120" i="4"/>
  <c r="G43" i="3"/>
  <c r="G110" i="3"/>
  <c r="G70" i="3"/>
  <c r="H70" i="3"/>
  <c r="G151" i="3"/>
  <c r="G72" i="3"/>
  <c r="H72" i="3"/>
  <c r="G39" i="3"/>
  <c r="G76" i="3"/>
  <c r="H76" i="3"/>
  <c r="G54" i="3"/>
  <c r="G74" i="3"/>
  <c r="H74" i="3"/>
  <c r="G49" i="3"/>
  <c r="G81" i="3"/>
  <c r="I67" i="3"/>
  <c r="I63" i="3"/>
  <c r="I32" i="3"/>
  <c r="J205" i="6"/>
  <c r="J205" i="9"/>
  <c r="F91" i="3"/>
  <c r="F103" i="3"/>
  <c r="I43" i="4"/>
  <c r="F108" i="4"/>
  <c r="F69" i="4"/>
  <c r="E68" i="4"/>
  <c r="I35" i="3"/>
  <c r="I37" i="3"/>
  <c r="G88" i="4"/>
  <c r="G94" i="4"/>
  <c r="I85" i="4"/>
  <c r="E70" i="4"/>
  <c r="D70" i="4"/>
  <c r="F135" i="3"/>
  <c r="J198" i="6"/>
  <c r="J198" i="9"/>
  <c r="H160" i="9"/>
  <c r="H154" i="9"/>
  <c r="H162" i="9"/>
  <c r="H146" i="9"/>
  <c r="H202" i="9"/>
  <c r="I202" i="9"/>
  <c r="I204" i="9"/>
  <c r="H203" i="9"/>
  <c r="I203" i="9"/>
  <c r="H198" i="9"/>
  <c r="I198" i="9"/>
  <c r="I197" i="9"/>
  <c r="I199" i="9"/>
  <c r="I206" i="9"/>
  <c r="G137" i="9"/>
  <c r="H26" i="9"/>
  <c r="G201" i="9"/>
  <c r="H138" i="9"/>
  <c r="I31" i="9"/>
  <c r="G62" i="3"/>
  <c r="I62" i="3"/>
  <c r="G61" i="3"/>
  <c r="H61" i="3"/>
  <c r="I61" i="3"/>
  <c r="I54" i="3"/>
  <c r="G157" i="3"/>
  <c r="I157" i="3"/>
  <c r="G154" i="3"/>
  <c r="I154" i="3"/>
  <c r="I151" i="3"/>
  <c r="G91" i="4"/>
  <c r="I88" i="4"/>
  <c r="G83" i="3"/>
  <c r="G84" i="3"/>
  <c r="G121" i="3"/>
  <c r="F145" i="3"/>
  <c r="G97" i="4"/>
  <c r="I97" i="4"/>
  <c r="I99" i="4"/>
  <c r="I100" i="4"/>
  <c r="G102" i="4"/>
  <c r="G98" i="4"/>
  <c r="I98" i="4"/>
  <c r="G107" i="4"/>
  <c r="I107" i="4"/>
  <c r="I94" i="4"/>
  <c r="F68" i="4"/>
  <c r="G69" i="4"/>
  <c r="F105" i="3"/>
  <c r="G51" i="3"/>
  <c r="I51" i="3"/>
  <c r="I49" i="3"/>
  <c r="G115" i="3"/>
  <c r="G114" i="3"/>
  <c r="I114" i="3"/>
  <c r="I116" i="3"/>
  <c r="I110" i="3"/>
  <c r="F90" i="3"/>
  <c r="F98" i="3"/>
  <c r="F153" i="3"/>
  <c r="F85" i="3"/>
  <c r="G46" i="3"/>
  <c r="I46" i="3"/>
  <c r="I43" i="3"/>
  <c r="H200" i="9"/>
  <c r="I201" i="9"/>
  <c r="I205" i="9"/>
  <c r="H133" i="9"/>
  <c r="H30" i="9"/>
  <c r="H84" i="3"/>
  <c r="G90" i="3"/>
  <c r="G98" i="3"/>
  <c r="G153" i="3"/>
  <c r="G85" i="3"/>
  <c r="G86" i="3"/>
  <c r="H69" i="4"/>
  <c r="H68" i="4"/>
  <c r="G68" i="4"/>
  <c r="G70" i="4"/>
  <c r="G108" i="4"/>
  <c r="I108" i="4"/>
  <c r="I109" i="4"/>
  <c r="I102" i="4"/>
  <c r="H91" i="4"/>
  <c r="H90" i="4"/>
  <c r="G90" i="4"/>
  <c r="F86" i="3"/>
  <c r="G135" i="3"/>
  <c r="I135" i="3"/>
  <c r="I115" i="3"/>
  <c r="G91" i="3"/>
  <c r="I91" i="3"/>
  <c r="G103" i="3"/>
  <c r="G125" i="3"/>
  <c r="I125" i="3"/>
  <c r="G126" i="3"/>
  <c r="I126" i="3"/>
  <c r="G140" i="3"/>
  <c r="I128" i="3"/>
  <c r="I129" i="3"/>
  <c r="I121" i="3"/>
  <c r="G92" i="3"/>
  <c r="G99" i="3"/>
  <c r="I99" i="3"/>
  <c r="I83" i="3"/>
  <c r="F70" i="4"/>
  <c r="H137" i="9"/>
  <c r="I30" i="9"/>
  <c r="I117" i="3"/>
  <c r="I134" i="3"/>
  <c r="I136" i="3"/>
  <c r="I127" i="3"/>
  <c r="G145" i="3"/>
  <c r="I142" i="3"/>
  <c r="I140" i="3"/>
  <c r="H85" i="3"/>
  <c r="H86" i="3"/>
  <c r="H90" i="3"/>
  <c r="G105" i="3"/>
  <c r="I105" i="3"/>
  <c r="I103" i="3"/>
  <c r="H92" i="4"/>
  <c r="G92" i="4"/>
  <c r="H70" i="4"/>
  <c r="I68" i="4"/>
  <c r="I90" i="4"/>
  <c r="J201" i="6"/>
  <c r="I85" i="3"/>
  <c r="J201" i="9"/>
  <c r="I106" i="3"/>
  <c r="I90" i="3"/>
  <c r="H98" i="3"/>
  <c r="I148" i="3"/>
  <c r="I145" i="3"/>
  <c r="I93" i="3"/>
  <c r="I94" i="3"/>
  <c r="H153" i="3"/>
  <c r="I160" i="3"/>
  <c r="I98" i="3"/>
  <c r="I100" i="3"/>
  <c r="I163" i="3"/>
  <c r="I161" i="3"/>
  <c r="E161" i="3"/>
  <c r="E162" i="3"/>
  <c r="F161" i="3"/>
  <c r="F162" i="3"/>
  <c r="H161" i="3"/>
  <c r="H162" i="3"/>
  <c r="G161" i="3"/>
  <c r="G162" i="3"/>
  <c r="D161" i="3"/>
  <c r="D162" i="3"/>
  <c r="I162" i="3"/>
</calcChain>
</file>

<file path=xl/sharedStrings.xml><?xml version="1.0" encoding="utf-8"?>
<sst xmlns="http://schemas.openxmlformats.org/spreadsheetml/2006/main" count="2081" uniqueCount="940">
  <si>
    <t>Y1</t>
  </si>
  <si>
    <t>Y2</t>
  </si>
  <si>
    <t>Y3</t>
  </si>
  <si>
    <t>Y4</t>
  </si>
  <si>
    <t>Y5</t>
  </si>
  <si>
    <t>Y0</t>
  </si>
  <si>
    <t>Fixed costs</t>
  </si>
  <si>
    <t>Total for the period</t>
  </si>
  <si>
    <t>Average price</t>
  </si>
  <si>
    <t>Average cost</t>
  </si>
  <si>
    <t>NPV</t>
  </si>
  <si>
    <t>Cumulative production of units</t>
  </si>
  <si>
    <t>http://www.calkoo.com/?lang=3&amp;page=99</t>
  </si>
  <si>
    <t>http://zarapov.ru/soft/multilingual-excel-functions/</t>
  </si>
  <si>
    <r>
      <t>Calculated as 1 + NPV / | Initial Investment (</t>
    </r>
    <r>
      <rPr>
        <b/>
        <sz val="14"/>
        <color rgb="FFFF0000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>) Non-Discounted |</t>
    </r>
  </si>
  <si>
    <t>English Term</t>
  </si>
  <si>
    <t>Текущая стоимость</t>
  </si>
  <si>
    <t>English Definition</t>
  </si>
  <si>
    <t>Total balance of all cash inflows and outflows.</t>
  </si>
  <si>
    <t>Дисконтированная/приведенная стоимость</t>
  </si>
  <si>
    <t>Сумма будущих денежных потоков от проекта, приведенная (исходя из временной стоимости денег) к настоящему моменту.</t>
  </si>
  <si>
    <t>Период/срок/точка окупаемости инвестиций/капиталовложений</t>
  </si>
  <si>
    <t>Сумма всех спрогнозированных денежных потоков от проекта в будущем.</t>
  </si>
  <si>
    <t>Чистая приведенная стоимость (ЧПС); Чистая текущая стоимость; Чистый приведенный эффект; Чистый дисконтированный доход (ЧДД)</t>
  </si>
  <si>
    <t>Recalculated total amount of future cash flows (in accordance with Time value of Money Idea).</t>
  </si>
  <si>
    <t>The sum of the present values of all regular future cash flows generated by the Project.</t>
  </si>
  <si>
    <t>Сумма текущих стоимостей всех спрогнозированных, с учетом барьерной ставки (ставки дисконтирования), будущих денежных потоков от проекта.</t>
  </si>
  <si>
    <t>Время, которое требуется, чтобы инвестиция обеспечила достаточные поступления денег для возмещения инвестиционных расходов, при этом учитывается временная стоимость денег.</t>
  </si>
  <si>
    <t>Время, которое требуется, чтобы проект обеспечил поступление денег в абсолютной сумме, равной сумме инвестиционных расходов.</t>
  </si>
  <si>
    <t>Time period for the Project's cumulative cash flow (absolute numbers) to reach the amount equal to the Initial investment.</t>
  </si>
  <si>
    <t>Time period for the Project's cumulative cash flow (discounted numbers) to reach the amount equal to the Initial investment.</t>
  </si>
  <si>
    <t>Дисконтированный срок окупаемости инвестиций/капиталовложений</t>
  </si>
  <si>
    <t>Это дисконт-фактор, при котором чистая текущая стоимость инвестиции равна нулю.</t>
  </si>
  <si>
    <t>Внутренняя норма доходности/прибыли; внутренний коэффициент окупаемости</t>
  </si>
  <si>
    <t>The Discount rate when the Project's NPV is equal to zero.</t>
  </si>
  <si>
    <t>(Дисконтированный) индекс доходности/рентабельности</t>
  </si>
  <si>
    <t>Отношение суммы всех дисконтированных денежных потоков (доходов от инвестиций), к дисконтированному инвестиционному расходу.</t>
  </si>
  <si>
    <t xml:space="preserve">The quotient of summarized discounted cash inflows to summarized discounted cash outflows. </t>
  </si>
  <si>
    <t>Чистая/маржинальная норма доходности</t>
  </si>
  <si>
    <t>Норма доходности исходя из отношения чистой текущей стоимости (NPV) денежных потоков и суммы денежных оттоков.</t>
  </si>
  <si>
    <t>Average rate of return used for the investment with variation of positive and negative cash flows.</t>
  </si>
  <si>
    <t>Средневзвешенный срок погашения</t>
  </si>
  <si>
    <t>MIRR (Modified Internal Rate of Return)</t>
  </si>
  <si>
    <t>Скорректированная с учетом барьерной ставки и нормы реинвестиции внутренняя норма доходности.</t>
  </si>
  <si>
    <t>Модифицированная внутренняя норма доходности/рентабельности, Модифицированная внутренняя норма доходности с реинвестицией по цене барьерной ставки</t>
  </si>
  <si>
    <t>Recalculated Internal Rate of Return which contains the reinvestment of positive cash inflow and discounting of negative cash outflow.</t>
  </si>
  <si>
    <r>
      <rPr>
        <b/>
        <sz val="12"/>
        <color theme="1"/>
        <rFont val="Calibri"/>
        <family val="2"/>
        <charset val="204"/>
        <scheme val="minor"/>
      </rPr>
      <t>Модифицированная:</t>
    </r>
    <r>
      <rPr>
        <sz val="11"/>
        <color theme="1"/>
        <rFont val="Calibri"/>
        <family val="2"/>
        <charset val="204"/>
        <scheme val="minor"/>
      </rPr>
      <t xml:space="preserve"> Чистая приведенная стоимость (ЧПС); Чистая текущая стоимость; Чистый приведенный эффект; Чистый дисконтированный доход (ЧДД)</t>
    </r>
  </si>
  <si>
    <t>Сумма текущих стоимостей всех спрогнозированных, с учетом барьерной ставки и уровня реинвестиций, денежных потоков.</t>
  </si>
  <si>
    <t>The sum of the present values of all regular future cash flows generated by the Project with intermediary reinvestment of positive inflows.</t>
  </si>
  <si>
    <r>
      <rPr>
        <b/>
        <sz val="14"/>
        <color theme="1"/>
        <rFont val="Calibri"/>
        <family val="2"/>
        <charset val="204"/>
        <scheme val="minor"/>
      </rPr>
      <t>NCF</t>
    </r>
    <r>
      <rPr>
        <sz val="11"/>
        <color theme="1"/>
        <rFont val="Calibri"/>
        <family val="2"/>
        <charset val="204"/>
        <scheme val="minor"/>
      </rPr>
      <t xml:space="preserve"> (Net Cash Flow), NV (Net Value), CFAT (Cash Flow After Tax)</t>
    </r>
  </si>
  <si>
    <r>
      <rPr>
        <b/>
        <sz val="14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 xml:space="preserve"> (Present Value)</t>
    </r>
  </si>
  <si>
    <r>
      <rPr>
        <b/>
        <sz val="14"/>
        <color theme="1"/>
        <rFont val="Calibri"/>
        <family val="2"/>
        <charset val="204"/>
        <scheme val="minor"/>
      </rPr>
      <t>PP</t>
    </r>
    <r>
      <rPr>
        <sz val="11"/>
        <color theme="1"/>
        <rFont val="Calibri"/>
        <family val="2"/>
        <charset val="204"/>
        <scheme val="minor"/>
      </rPr>
      <t xml:space="preserve"> (Payback period), POT (Pay-out time)</t>
    </r>
  </si>
  <si>
    <r>
      <rPr>
        <b/>
        <sz val="14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(Net Present Value), NPW (Net Present Worth)</t>
    </r>
  </si>
  <si>
    <r>
      <rPr>
        <b/>
        <sz val="14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(Discounted Payback Period), PVP (Present Value Payback)</t>
    </r>
  </si>
  <si>
    <r>
      <rPr>
        <b/>
        <sz val="14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 xml:space="preserve"> (Internal Rate of Return), ERR (Economic Rate of Return)</t>
    </r>
  </si>
  <si>
    <r>
      <rPr>
        <b/>
        <sz val="14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(Discounted Profitability Index), PVI (Present Value Index, PV-index), Benefit to Cost Ratio (BCR), Profit-Investment Ratio (PIR), NPWI (Net Present Worth Index)</t>
    </r>
  </si>
  <si>
    <r>
      <rPr>
        <b/>
        <sz val="14"/>
        <color theme="1"/>
        <rFont val="Calibri"/>
        <family val="2"/>
        <charset val="204"/>
        <scheme val="minor"/>
      </rPr>
      <t>NRR</t>
    </r>
    <r>
      <rPr>
        <sz val="11"/>
        <color theme="1"/>
        <rFont val="Calibri"/>
        <family val="2"/>
        <charset val="204"/>
        <scheme val="minor"/>
      </rPr>
      <t xml:space="preserve"> (Net Rate of Return)</t>
    </r>
  </si>
  <si>
    <r>
      <rPr>
        <b/>
        <sz val="14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(Duration)</t>
    </r>
  </si>
  <si>
    <r>
      <rPr>
        <b/>
        <sz val="14"/>
        <color theme="1"/>
        <rFont val="Calibri"/>
        <family val="2"/>
        <charset val="204"/>
        <scheme val="minor"/>
      </rPr>
      <t>ROI</t>
    </r>
    <r>
      <rPr>
        <sz val="11"/>
        <color theme="1"/>
        <rFont val="Calibri"/>
        <family val="2"/>
        <charset val="204"/>
        <scheme val="minor"/>
      </rPr>
      <t xml:space="preserve"> (Return on Investment), ROR (Rate of Return)</t>
    </r>
  </si>
  <si>
    <r>
      <rPr>
        <b/>
        <sz val="14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(Modified Internal Rate of Return), RIRR (Reinvestment-rate adjusted Internal Rate of Return)</t>
    </r>
  </si>
  <si>
    <r>
      <rPr>
        <b/>
        <sz val="14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(Modified Net Present Value), MNPW (Modified Net Present Worth)</t>
    </r>
  </si>
  <si>
    <t>Норма доходности исходя из отношения модифицированной чистой текущей стоимости (MNPV) денежных потоков и суммы денежных оттоков.</t>
  </si>
  <si>
    <r>
      <rPr>
        <b/>
        <sz val="14"/>
        <color theme="1"/>
        <rFont val="Calibri"/>
        <family val="2"/>
        <charset val="204"/>
        <scheme val="minor"/>
      </rPr>
      <t>MNRR</t>
    </r>
    <r>
      <rPr>
        <sz val="11"/>
        <color theme="1"/>
        <rFont val="Calibri"/>
        <family val="2"/>
        <charset val="204"/>
        <scheme val="minor"/>
      </rPr>
      <t xml:space="preserve"> (Modified Net Rate of Return)</t>
    </r>
  </si>
  <si>
    <r>
      <rPr>
        <b/>
        <sz val="12"/>
        <color theme="1"/>
        <rFont val="Calibri"/>
        <family val="2"/>
        <charset val="204"/>
        <scheme val="minor"/>
      </rPr>
      <t xml:space="preserve">Модифицированная: </t>
    </r>
    <r>
      <rPr>
        <sz val="11"/>
        <color theme="1"/>
        <rFont val="Calibri"/>
        <family val="2"/>
        <charset val="204"/>
        <scheme val="minor"/>
      </rPr>
      <t>Чистая/маржинальная норма доходности</t>
    </r>
  </si>
  <si>
    <t>Average rate of return used for the investment with variation of positive and negative cash flows with reinvestment of inflows.</t>
  </si>
  <si>
    <t>DPP (Discounted Payback Period)</t>
  </si>
  <si>
    <t>MNPV (Modified Net Present Value)</t>
  </si>
  <si>
    <r>
      <rPr>
        <b/>
        <sz val="14"/>
        <color theme="1"/>
        <rFont val="Calibri"/>
        <family val="2"/>
        <charset val="204"/>
        <scheme val="minor"/>
      </rPr>
      <t>NFV</t>
    </r>
    <r>
      <rPr>
        <sz val="11"/>
        <color theme="1"/>
        <rFont val="Calibri"/>
        <family val="2"/>
        <charset val="204"/>
        <scheme val="minor"/>
      </rPr>
      <t xml:space="preserve"> (Net Future Value)</t>
    </r>
  </si>
  <si>
    <t>Чистая будущая стоимость</t>
  </si>
  <si>
    <t>Эквивалентная ежегодная рента, эквивалентный аннуитет</t>
  </si>
  <si>
    <t>Пересчет чистой текущей стоимости в эквивалент аннуитета</t>
  </si>
  <si>
    <t>Recalculation of NPV to equal annual cash flows</t>
  </si>
  <si>
    <r>
      <rPr>
        <b/>
        <sz val="14"/>
        <color theme="1"/>
        <rFont val="Calibri"/>
        <family val="2"/>
        <charset val="204"/>
        <scheme val="minor"/>
      </rPr>
      <t>ANPV</t>
    </r>
    <r>
      <rPr>
        <sz val="11"/>
        <color theme="1"/>
        <rFont val="Calibri"/>
        <family val="2"/>
        <charset val="204"/>
        <scheme val="minor"/>
      </rPr>
      <t xml:space="preserve"> (Annualized Net Present Value), NUS (Net Uniform Sries), EAC (Equivalent annual cost), EAA (Equivalent Annual Annuity)</t>
    </r>
  </si>
  <si>
    <t>The sum of the future values of all cash flows generated by the Project if reinvested immediately after receiving.</t>
  </si>
  <si>
    <t>Сумма будущих стоимостей всех спрогнозированных денежных потоков при мгновенной реинвестиции под барьерную ставку.</t>
  </si>
  <si>
    <t>Hurdle rate and Compound factor</t>
  </si>
  <si>
    <t>Средневзвешенный срок жизненного цикла инвестиционного проекта, как мера чувствительности к изменению барьерной ставки.</t>
  </si>
  <si>
    <t>Average weighted term of the Project life cycle linked to changes of the hurdle rate.</t>
  </si>
  <si>
    <t>NPV (Net Present Value)</t>
  </si>
  <si>
    <t>Number of period</t>
  </si>
  <si>
    <t>Formula</t>
  </si>
  <si>
    <t>Различные коэффициенты окупаемости инвестиций, применяемые к бухгалтерской отчетности и не применяющие методы дисконтирования будущих потоков. В оценке проектов используются в качестве коэффициентов, применямых к прогнозным балансам и отчетам о прибылях и убытках.</t>
  </si>
  <si>
    <t>Various ratios of company profitability based on the analysis of accounts which don't apply discounting methods. In projecting ROI is used for valuation of future balance sheet and P&amp;L of the entity.</t>
  </si>
  <si>
    <t>ROI = (Gains from Investment – Cost of Investment) / Cost of Investment</t>
  </si>
  <si>
    <t>Коэффициент окупаемости инвестиций</t>
  </si>
  <si>
    <t>No direct function</t>
  </si>
  <si>
    <r>
      <rPr>
        <b/>
        <sz val="14"/>
        <color theme="1"/>
        <rFont val="Calibri"/>
        <family val="2"/>
        <charset val="204"/>
        <scheme val="minor"/>
      </rPr>
      <t>NTV</t>
    </r>
    <r>
      <rPr>
        <sz val="11"/>
        <color theme="1"/>
        <rFont val="Calibri"/>
        <family val="2"/>
        <charset val="204"/>
        <scheme val="minor"/>
      </rPr>
      <t xml:space="preserve"> (Net Terminal Value)</t>
    </r>
  </si>
  <si>
    <r>
      <rPr>
        <b/>
        <sz val="14"/>
        <color theme="1"/>
        <rFont val="Calibri"/>
        <family val="2"/>
        <charset val="204"/>
        <scheme val="minor"/>
      </rPr>
      <t>WACC</t>
    </r>
    <r>
      <rPr>
        <sz val="11"/>
        <color theme="1"/>
        <rFont val="Calibri"/>
        <family val="2"/>
        <charset val="204"/>
        <scheme val="minor"/>
      </rPr>
      <t xml:space="preserve"> (Weighted Average Cost of Capital)</t>
    </r>
  </si>
  <si>
    <t>Средневзвешенная стоимость капитала</t>
  </si>
  <si>
    <t>Чистая терминальная стоимость</t>
  </si>
  <si>
    <t>ASSETS</t>
  </si>
  <si>
    <t>Property, plant, equipment</t>
  </si>
  <si>
    <t>Other non-current assets</t>
  </si>
  <si>
    <t>Current assets</t>
  </si>
  <si>
    <t xml:space="preserve">   including:</t>
  </si>
  <si>
    <t>Non-current assets</t>
  </si>
  <si>
    <t>Inventories</t>
  </si>
  <si>
    <t>Goods for resale</t>
  </si>
  <si>
    <t>Accounts receivable</t>
  </si>
  <si>
    <t>Advances paid</t>
  </si>
  <si>
    <t>Cash &amp; cash equivalents</t>
  </si>
  <si>
    <t>Other current assets</t>
  </si>
  <si>
    <t>TOTAL ASSETS</t>
  </si>
  <si>
    <t xml:space="preserve"> EQUITY AND LIABILITIES</t>
  </si>
  <si>
    <t>Shareholders' equity</t>
  </si>
  <si>
    <t>Paid-up equity</t>
  </si>
  <si>
    <t>Reserves</t>
  </si>
  <si>
    <t>Reatined earnings of previous years</t>
  </si>
  <si>
    <t>Reatined earnings of current year</t>
  </si>
  <si>
    <t>Long-term loans</t>
  </si>
  <si>
    <t>Long-term leasing</t>
  </si>
  <si>
    <t>Other long-term liabilities</t>
  </si>
  <si>
    <t>Short-term liabilities</t>
  </si>
  <si>
    <t>Long-term liabilities</t>
  </si>
  <si>
    <t>Short-term loans</t>
  </si>
  <si>
    <t>Short-term leasing</t>
  </si>
  <si>
    <t>Accounts payable</t>
  </si>
  <si>
    <t>Other short-term liabilities</t>
  </si>
  <si>
    <t>TOTAL EQUITY AND LIABILITIES</t>
  </si>
  <si>
    <t>Fixed assets</t>
  </si>
  <si>
    <t>Group 1. Biuldings</t>
  </si>
  <si>
    <t>Depreciation method</t>
  </si>
  <si>
    <t>Amount (USD, thous)</t>
  </si>
  <si>
    <t>Salvage (Residual) Value, (USD, thous.)</t>
  </si>
  <si>
    <t>Group 3. Software (Intangible assets)</t>
  </si>
  <si>
    <t>Year of going into operations</t>
  </si>
  <si>
    <t>Estimated useful life (years)</t>
  </si>
  <si>
    <t>Straight-line</t>
  </si>
  <si>
    <t>Declining balance</t>
  </si>
  <si>
    <t>Group 2. Equipment 1</t>
  </si>
  <si>
    <t>Sum-of-year-digits</t>
  </si>
  <si>
    <t>Group 4. Equipment 2</t>
  </si>
  <si>
    <t>Units-of-production</t>
  </si>
  <si>
    <t>Yearly depreciation expense (USD, thous)</t>
  </si>
  <si>
    <t>Yearly depreciation rate (%)</t>
  </si>
  <si>
    <t>Year of going into operations (beginning of year)</t>
  </si>
  <si>
    <t>Nominal Yearly depreciation rate (% of FA value of previous year)</t>
  </si>
  <si>
    <t>Last year balance of depreciation expense to reach a salvage value</t>
  </si>
  <si>
    <t>Last year re-calculated annual rate</t>
  </si>
  <si>
    <t>Yearly depreciation equivalent of annual rate (%)</t>
  </si>
  <si>
    <t>Depreciable Cost (USD, thous.)</t>
  </si>
  <si>
    <t>Amortizable Cost (USD, thous.)</t>
  </si>
  <si>
    <t>Amortization method</t>
  </si>
  <si>
    <t>Amortization rate for the period</t>
  </si>
  <si>
    <t>i</t>
  </si>
  <si>
    <t>Ri</t>
  </si>
  <si>
    <t>Ri =  (n-i+1)/((n^2+n)/2))</t>
  </si>
  <si>
    <t>Yearly amortization expense (USD, thous)</t>
  </si>
  <si>
    <t>Estimated useful life  (total number of produced units)</t>
  </si>
  <si>
    <t>More aggressive method than Straight-line Depreciation/Amortization</t>
  </si>
  <si>
    <t>Less aggressive method than Declining-Balance Derpeciation/Amortization</t>
  </si>
  <si>
    <t>Actually Produced Units (units)</t>
  </si>
  <si>
    <t>Total Depreciation/Amortization</t>
  </si>
  <si>
    <t>Depreciated Value of Fixed Assets</t>
  </si>
  <si>
    <t>The agressiveness of the method lays in defining of Estimated Total Production number</t>
  </si>
  <si>
    <t>The most neutral and conservative method</t>
  </si>
  <si>
    <t>including:</t>
  </si>
  <si>
    <t>Depreciation Expense</t>
  </si>
  <si>
    <t>To re-calculate Declining-Balance Depreciation Scheme to Straight-line Depreciation:</t>
  </si>
  <si>
    <r>
      <t xml:space="preserve">Annual Declining-Balance Depreciation Expense = </t>
    </r>
    <r>
      <rPr>
        <b/>
        <i/>
        <sz val="11"/>
        <color theme="1"/>
        <rFont val="Calibri"/>
        <family val="2"/>
        <charset val="204"/>
        <scheme val="minor"/>
      </rPr>
      <t>Double Straight-line rate</t>
    </r>
    <r>
      <rPr>
        <sz val="11"/>
        <color theme="1"/>
        <rFont val="Calibri"/>
        <family val="2"/>
        <charset val="204"/>
        <scheme val="minor"/>
      </rPr>
      <t xml:space="preserve"> applied to </t>
    </r>
    <r>
      <rPr>
        <b/>
        <i/>
        <sz val="11"/>
        <color theme="1"/>
        <rFont val="Calibri"/>
        <family val="2"/>
        <charset val="204"/>
        <scheme val="minor"/>
      </rPr>
      <t>remaining value of FA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b/>
        <i/>
        <sz val="11"/>
        <color theme="1"/>
        <rFont val="Calibri"/>
        <family val="2"/>
        <charset val="204"/>
        <scheme val="minor"/>
      </rPr>
      <t xml:space="preserve">last year expense </t>
    </r>
    <r>
      <rPr>
        <sz val="11"/>
        <color theme="1"/>
        <rFont val="Calibri"/>
        <family val="2"/>
        <charset val="204"/>
        <scheme val="minor"/>
      </rPr>
      <t>as a difference between the last year depreciated value and salvage value.</t>
    </r>
  </si>
  <si>
    <t>Produced Units</t>
  </si>
  <si>
    <t>Average production cycle, days/365</t>
  </si>
  <si>
    <t>Average monthly inventories in stock, USD thous.</t>
  </si>
  <si>
    <t>Goods for Resale</t>
  </si>
  <si>
    <t>Average monthly consumption of raw materials proportionally to produced units quantity, units</t>
  </si>
  <si>
    <t>Assumptions</t>
  </si>
  <si>
    <t>Variable costs of production are fully attributed to raw materials.</t>
  </si>
  <si>
    <t>The permanent stock of raw materials is sufficient to monthly production of units.</t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</si>
  <si>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fixed + 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</si>
  <si>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</si>
  <si>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t>Salaries and wages represent 70% of total fixed costs.</t>
  </si>
  <si>
    <t>Average monthly units in stock, units</t>
  </si>
  <si>
    <t>Average monthly demand of raw materials, USD thous.</t>
  </si>
  <si>
    <t>Average prepayment of raw materials, USD thous.</t>
  </si>
  <si>
    <t>Credit (open account) sales represent 30% of sales. Delay of payment - 90 days.</t>
  </si>
  <si>
    <t>30% of sales are paid within 30 days after supply.</t>
  </si>
  <si>
    <t>Share of monthly sales on Cash-against-documents basis, USD thous.</t>
  </si>
  <si>
    <t>Share of monthly sales on regular 30-days basis, USD thous.</t>
  </si>
  <si>
    <t>20% of sales are made on Cash-against-documents basis.</t>
  </si>
  <si>
    <t>No receivables appear</t>
  </si>
  <si>
    <t>3-months turnover or 1/4 year turnover is in receivables</t>
  </si>
  <si>
    <t>1-month turnover or 1/12 year turnover is in receivables</t>
  </si>
  <si>
    <t>Total stable amount of trade receivables, USD thous.</t>
  </si>
  <si>
    <t>Total Yearly sales, USD thous.</t>
  </si>
  <si>
    <t>Accounts receivable on regular 30-days sales, USD thous.</t>
  </si>
  <si>
    <t>Intangible assets</t>
  </si>
  <si>
    <t>Share of yearly sales on 30-days prepayment basis, USD thous.</t>
  </si>
  <si>
    <t>Accounts payable (advances received), USD thous.</t>
  </si>
  <si>
    <t>30% of fixed costs are maintenance costs</t>
  </si>
  <si>
    <t>Advances paid represent 2 months demand of raw materials.</t>
  </si>
  <si>
    <t>20% of sales are prepaid by buyers for the period 30 days till supply.</t>
  </si>
  <si>
    <t>Salaries (70% of fixed costs), USD thous.</t>
  </si>
  <si>
    <t>Maintenance costs (30% of fixed costs), USD thous.</t>
  </si>
  <si>
    <t>Advances received from buyers</t>
  </si>
  <si>
    <t>The salaries are paid on 15th day of each month</t>
  </si>
  <si>
    <t>Accounts payable (salaries), USD thous.</t>
  </si>
  <si>
    <t>Maintenance costs are paid within 20 days after month's end</t>
  </si>
  <si>
    <t>Accounts payable (maintenance costs), USD thous.</t>
  </si>
  <si>
    <t>Total stable amount of payables, USD thous.</t>
  </si>
  <si>
    <t>Current Assets/Liabilities</t>
  </si>
  <si>
    <t>Working Capital</t>
  </si>
  <si>
    <t>Accounts payable, USD thous.</t>
  </si>
  <si>
    <t>Inventories, USD thous.</t>
  </si>
  <si>
    <t>Goods for resale, USD thous.</t>
  </si>
  <si>
    <t>Advances paid, USD thous.</t>
  </si>
  <si>
    <t>Accounts receivable, USD thous.</t>
  </si>
  <si>
    <t>Total Working Capital</t>
  </si>
  <si>
    <t>Changes in Working Capital, USD thous.</t>
  </si>
  <si>
    <t>Average monthly goods for resale in stock, USD thous.</t>
  </si>
  <si>
    <t>Share of monthly sales on 60-days Credit (Open account) basis, USD thous.</t>
  </si>
  <si>
    <t>Accounts receivable on 60-days Credit (Open account) sales, USD thous.</t>
  </si>
  <si>
    <t>1 month</t>
  </si>
  <si>
    <r>
      <rPr>
        <b/>
        <sz val="20"/>
        <color theme="1"/>
        <rFont val="Calibri"/>
        <family val="2"/>
        <charset val="204"/>
        <scheme val="minor"/>
      </rPr>
      <t>Balance sheet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as it was on December 31, Y5</t>
    </r>
  </si>
  <si>
    <t>USD, thous.</t>
  </si>
  <si>
    <t>IRR (Internal Rate of Return)</t>
  </si>
  <si>
    <t>Коэффициент эффективности инвестиций</t>
  </si>
  <si>
    <r>
      <rPr>
        <b/>
        <sz val="14"/>
        <color theme="1"/>
        <rFont val="Calibri"/>
        <family val="2"/>
        <charset val="204"/>
        <scheme val="minor"/>
      </rPr>
      <t>AAR</t>
    </r>
    <r>
      <rPr>
        <sz val="11"/>
        <color theme="1"/>
        <rFont val="Calibri"/>
        <family val="2"/>
        <charset val="204"/>
        <scheme val="minor"/>
      </rPr>
      <t xml:space="preserve"> (Accounting Average Rate of Return), SRR (Simple Rate of Return)</t>
    </r>
  </si>
  <si>
    <t>The ratio of average net profit to average book value of the investment</t>
  </si>
  <si>
    <t>Отношение чистой прибыли к средней бухгалтерской стоимости инвестиции (с учетом амортизации)</t>
  </si>
  <si>
    <t>ARR = Net profit for the period / Average Book value of the Investment</t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</si>
  <si>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ПЛТ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</si>
  <si>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</si>
  <si>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МВСД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</si>
  <si>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ЧПС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</si>
  <si>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2"/>
        <color theme="1"/>
        <rFont val="Calibri"/>
        <family val="2"/>
        <charset val="204"/>
        <scheme val="minor"/>
      </rPr>
      <t>"</t>
    </r>
  </si>
  <si>
    <t>The minimum level of return that a company has to earn in order to satisfy its creditors, owners, and other providers of capital, or they will invest elsewhere. </t>
  </si>
  <si>
    <t>Total Cash Accrued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</si>
  <si>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(фиксированные ставки)</t>
    </r>
  </si>
  <si>
    <t>Финансовый калькулятор</t>
  </si>
  <si>
    <t>Excel функции English/Русский</t>
  </si>
  <si>
    <t>Нулевая инфляция, Нулевой рост обменных курсов, Нет кредитов</t>
  </si>
  <si>
    <t>Ставка</t>
  </si>
  <si>
    <t>Всего за период</t>
  </si>
  <si>
    <t>Инвестиции</t>
  </si>
  <si>
    <t>Вложения в предприятие</t>
  </si>
  <si>
    <t>Произведенная продукция, единиц</t>
  </si>
  <si>
    <t>Количество периодов, лет</t>
  </si>
  <si>
    <t>Цена 1 единицы продукции</t>
  </si>
  <si>
    <t>Постоянные расходы</t>
  </si>
  <si>
    <t>Переменные расходы</t>
  </si>
  <si>
    <t>Средняя цена</t>
  </si>
  <si>
    <t>Себестоимость 1 единицы продукции, переменная</t>
  </si>
  <si>
    <t>Себестоимость 1 единицы продукции, переменная + постоянная</t>
  </si>
  <si>
    <t>Займы полученные</t>
  </si>
  <si>
    <t>Займы выплаченные</t>
  </si>
  <si>
    <t>Выручка (Revenues, Sales proceeds)</t>
  </si>
  <si>
    <t>Себестоимость (Cost of sales), включая:</t>
  </si>
  <si>
    <t>Амортизация (Depreciation)</t>
  </si>
  <si>
    <t>Уплаченные проценты</t>
  </si>
  <si>
    <t>Уплаченные налоги</t>
  </si>
  <si>
    <t>Cash, BoP (Beginning of period)                                                       Денежные средства на начало периода</t>
  </si>
  <si>
    <t>Cash outflow (Отток денежных средств)</t>
  </si>
  <si>
    <t>Cash inflow (Приток денежных средств)</t>
  </si>
  <si>
    <t>Cash flow for the period (Чистый денежный поток периода)</t>
  </si>
  <si>
    <t>Cash, EoP (End of period)                                                                   Денежные средства на конец периода</t>
  </si>
  <si>
    <t>Аккумулированный денежный поток (Cumulative cash flow)</t>
  </si>
  <si>
    <r>
      <t xml:space="preserve">NCF (Net Cash Flow) before tax                            </t>
    </r>
    <r>
      <rPr>
        <sz val="14"/>
        <color theme="1"/>
        <rFont val="Calibri"/>
        <family val="2"/>
        <charset val="204"/>
        <scheme val="minor"/>
      </rPr>
      <t>Чистый денежный поток до налога</t>
    </r>
  </si>
  <si>
    <r>
      <t xml:space="preserve">NCF (Net Cash Flow) after tax                         </t>
    </r>
    <r>
      <rPr>
        <sz val="14"/>
        <color theme="1"/>
        <rFont val="Calibri"/>
        <family val="2"/>
        <charset val="204"/>
        <scheme val="minor"/>
      </rPr>
      <t xml:space="preserve">  Чистый денежный поток после налога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</si>
  <si>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NV - Net Value; CFAT - Cash Flow After Tax</t>
    </r>
  </si>
  <si>
    <r>
      <t xml:space="preserve">PP (Payback Period). </t>
    </r>
    <r>
      <rPr>
        <sz val="14"/>
        <color theme="1"/>
        <rFont val="Calibri"/>
        <family val="2"/>
        <charset val="204"/>
        <scheme val="minor"/>
      </rPr>
      <t>Период/срок/точка окупаемости инвестиций/капиталовложений.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</t>
    </r>
    <r>
      <rPr>
        <i/>
        <sz val="11"/>
        <color theme="1"/>
        <rFont val="Calibri"/>
        <family val="2"/>
        <charset val="204"/>
        <scheme val="minor"/>
      </rPr>
      <t>Доходы внутри года поступают равномерно</t>
    </r>
  </si>
  <si>
    <t>Точное значение РР. Точка окупаемости</t>
  </si>
  <si>
    <r>
      <t>PP,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в годах</t>
    </r>
  </si>
  <si>
    <r>
      <t>PP,</t>
    </r>
    <r>
      <rPr>
        <sz val="12"/>
        <color theme="1"/>
        <rFont val="Calibri"/>
        <family val="2"/>
        <charset val="204"/>
        <scheme val="minor"/>
      </rPr>
      <t xml:space="preserve"> в произведенных единицах продукции</t>
    </r>
  </si>
  <si>
    <t>NCF/unit, текущая стоимость после налога на единицу произведенной продукции</t>
  </si>
  <si>
    <t>Объем произведенной продукции аккумулированный (нарастающим итогом)</t>
  </si>
  <si>
    <r>
      <t xml:space="preserve">Нет специальной функции в </t>
    </r>
    <r>
      <rPr>
        <b/>
        <i/>
        <sz val="14"/>
        <color theme="1"/>
        <rFont val="Calibri"/>
        <family val="2"/>
        <charset val="204"/>
        <scheme val="minor"/>
      </rPr>
      <t>Excel</t>
    </r>
  </si>
  <si>
    <r>
      <t xml:space="preserve">Период </t>
    </r>
    <r>
      <rPr>
        <b/>
        <sz val="11"/>
        <color theme="1"/>
        <rFont val="Calibri"/>
        <family val="2"/>
        <charset val="204"/>
        <scheme val="minor"/>
      </rPr>
      <t>Y0</t>
    </r>
    <r>
      <rPr>
        <sz val="11"/>
        <color theme="1"/>
        <rFont val="Calibri"/>
        <family val="2"/>
        <charset val="204"/>
        <scheme val="minor"/>
      </rPr>
      <t xml:space="preserve"> - момент, когда производится первое вложение капитала, принимается, как первый год проекта. Вычисление Периода окупаемости может начинаться с периода </t>
    </r>
    <r>
      <rPr>
        <b/>
        <sz val="11"/>
        <color theme="1"/>
        <rFont val="Calibri"/>
        <family val="2"/>
        <charset val="204"/>
        <scheme val="minor"/>
      </rPr>
      <t>Y1</t>
    </r>
    <r>
      <rPr>
        <sz val="11"/>
        <color theme="1"/>
        <rFont val="Calibri"/>
        <family val="2"/>
        <charset val="204"/>
        <scheme val="minor"/>
      </rPr>
      <t>, тогда мы вычитаем 1 (единицу) из полученного результата</t>
    </r>
  </si>
  <si>
    <t>Ставка дисконтирования</t>
  </si>
  <si>
    <r>
      <t xml:space="preserve">PV (Present Value)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Приведенная стоимость после налога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</si>
  <si>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"ПС".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</si>
  <si>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"БС".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</si>
  <si>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ПС"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>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</si>
  <si>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БС"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FV</t>
    </r>
    <r>
      <rPr>
        <sz val="11"/>
        <color theme="1"/>
        <rFont val="Calibri"/>
        <family val="2"/>
        <charset val="204"/>
        <scheme val="minor"/>
      </rPr>
      <t>"</t>
    </r>
  </si>
  <si>
    <t>Ставка реинвестирования (Compound factor)</t>
  </si>
  <si>
    <r>
      <t xml:space="preserve">FV (Future Value) Будущая стоимость денежного потока после налога, </t>
    </r>
    <r>
      <rPr>
        <sz val="11"/>
        <color theme="1"/>
        <rFont val="Calibri"/>
        <family val="2"/>
        <charset val="204"/>
        <scheme val="minor"/>
      </rPr>
      <t>начиная с периода Y1 полученные денежные средства реинвестируются под Ставку реинвестирования</t>
    </r>
  </si>
  <si>
    <t>Дисконтированный отток денежных средств (discounted cash outflow) за период</t>
  </si>
  <si>
    <t>Дисконтированный приток денежных средств (discounted cash inflow) за период</t>
  </si>
  <si>
    <t>Кумулятивный Дисконтированный отток денежных средств</t>
  </si>
  <si>
    <t>Кумулятивный Дисконтированный приток денежных средств</t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</si>
  <si>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дисконтирования: притоков и оттоков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</si>
  <si>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 агрегированного денежного потока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</si>
  <si>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с помощью специальной функции Excel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</si>
  <si>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ЧПС"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>"</t>
    </r>
  </si>
  <si>
    <r>
      <t>Термины на русском: "</t>
    </r>
    <r>
      <rPr>
        <b/>
        <i/>
        <sz val="14"/>
        <color theme="1"/>
        <rFont val="Calibri"/>
        <family val="2"/>
        <charset val="204"/>
        <scheme val="minor"/>
      </rPr>
      <t>Чистая приведенная стоимость (ЧПС); Чистая текущая стоимость; Чистый приведенный эффект; Чистый дисконтированный доход (ЧДД)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</si>
  <si>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"ЧПС".</t>
    </r>
  </si>
  <si>
    <r>
      <t xml:space="preserve">Если начальная инвестиция сделана внутри периода </t>
    </r>
    <r>
      <rPr>
        <b/>
        <sz val="14"/>
        <color theme="1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 xml:space="preserve">, </t>
    </r>
    <r>
      <rPr>
        <sz val="12"/>
        <color theme="1"/>
        <rFont val="Calibri"/>
        <family val="2"/>
        <charset val="204"/>
        <scheme val="minor"/>
      </rPr>
      <t xml:space="preserve">мы вводим в формулу значения 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>-</t>
    </r>
    <r>
      <rPr>
        <b/>
        <sz val="14"/>
        <color theme="1"/>
        <rFont val="Calibri"/>
        <family val="2"/>
        <charset val="204"/>
        <scheme val="minor"/>
      </rPr>
      <t>Y5</t>
    </r>
    <r>
      <rPr>
        <sz val="12"/>
        <color theme="1"/>
        <rFont val="Calibri"/>
        <family val="2"/>
        <charset val="204"/>
        <scheme val="minor"/>
      </rPr>
      <t>, а затем вычитаем сумму первоначальной инвестиции со знаком "минус"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</si>
  <si>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>"</t>
    </r>
  </si>
  <si>
    <r>
      <t>IRR (Internal Rate of Return),</t>
    </r>
    <r>
      <rPr>
        <i/>
        <sz val="12"/>
        <color theme="1"/>
        <rFont val="Calibri"/>
        <family val="2"/>
        <charset val="204"/>
        <scheme val="minor"/>
      </rPr>
      <t xml:space="preserve"> вычислено с помощью специальной функции Excel</t>
    </r>
  </si>
  <si>
    <t>Discount factor (Дисконт-фактор, Фактор дисконтирования)</t>
  </si>
  <si>
    <t>Итерации:</t>
  </si>
  <si>
    <t>Фактор дисконтирования</t>
  </si>
  <si>
    <t>ИЛИ:</t>
  </si>
  <si>
    <r>
      <t>Русские термины: "</t>
    </r>
    <r>
      <rPr>
        <b/>
        <i/>
        <sz val="14"/>
        <color theme="1"/>
        <rFont val="Calibri"/>
        <family val="2"/>
        <charset val="204"/>
        <scheme val="minor"/>
      </rPr>
      <t>Внутренняя норма доходности/прибыли; внутренний коэффициент окупаемости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</si>
  <si>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"ВСД".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</si>
  <si>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ERR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Economic Rate of Return</t>
    </r>
  </si>
  <si>
    <r>
      <t>DCF (Discounted Cash Flow),</t>
    </r>
    <r>
      <rPr>
        <sz val="14"/>
        <color theme="1"/>
        <rFont val="Calibri"/>
        <family val="2"/>
        <charset val="204"/>
        <scheme val="minor"/>
      </rPr>
      <t xml:space="preserve"> дисконтированный денежный поток</t>
    </r>
  </si>
  <si>
    <r>
      <rPr>
        <sz val="14"/>
        <color theme="1"/>
        <rFont val="Calibri"/>
        <family val="2"/>
        <charset val="204"/>
        <scheme val="minor"/>
      </rPr>
      <t>Cumulative DCF</t>
    </r>
    <r>
      <rPr>
        <b/>
        <sz val="14"/>
        <color theme="1"/>
        <rFont val="Calibri"/>
        <family val="2"/>
        <charset val="204"/>
        <scheme val="minor"/>
      </rPr>
      <t xml:space="preserve"> = NPV, </t>
    </r>
    <r>
      <rPr>
        <sz val="14"/>
        <color theme="1"/>
        <rFont val="Calibri"/>
        <family val="2"/>
        <charset val="204"/>
        <scheme val="minor"/>
      </rPr>
      <t>Аккумулированный дисконтированный денежный поток</t>
    </r>
  </si>
  <si>
    <t>Точное значение DРР. Дисконтированная точка окупаемости</t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</si>
  <si>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PVP - Present Value Payback</t>
    </r>
  </si>
  <si>
    <r>
      <t xml:space="preserve">Дисконтированный денежный поток для периодов, начиная с </t>
    </r>
    <r>
      <rPr>
        <b/>
        <sz val="12"/>
        <color theme="1"/>
        <rFont val="Calibri"/>
        <family val="2"/>
        <charset val="204"/>
        <scheme val="minor"/>
      </rPr>
      <t>Y1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</si>
  <si>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PVI (Present Value Index, PV-index), Benefit to Cost Ratio (BCR), Profit-Investment Ratio (PIR)</t>
    </r>
  </si>
  <si>
    <r>
      <t xml:space="preserve">DPI (Discounted Profitability Index) </t>
    </r>
    <r>
      <rPr>
        <sz val="14"/>
        <color theme="1"/>
        <rFont val="Calibri"/>
        <family val="2"/>
        <charset val="204"/>
        <scheme val="minor"/>
      </rPr>
      <t>Дисконтированный индекс доходности/рентабельности</t>
    </r>
  </si>
  <si>
    <t>Вычисляется, как: 1 + NPV / | Дисконтированные первоначальные инвестиции (по модулю) | = 1 + NPV / Дисконтированные денежные оттоки</t>
  </si>
  <si>
    <t>Традиционный расчет: будто инвестиции производятся в периоде Y0. В данном случае - не так!</t>
  </si>
  <si>
    <t>Поскольку инвестиции осуществляются в несколько периодов, то в знаменателе - денежные оттоки во все периоды, когда cash flow  - отрицателен.</t>
  </si>
  <si>
    <r>
      <t>NRR (Net Rate of Return),</t>
    </r>
    <r>
      <rPr>
        <sz val="14"/>
        <color theme="1"/>
        <rFont val="Calibri"/>
        <family val="2"/>
        <charset val="204"/>
        <scheme val="minor"/>
      </rPr>
      <t xml:space="preserve"> Чистая/маржинальная норма доходности</t>
    </r>
  </si>
  <si>
    <r>
      <t>DCF (Дисконтированный денежный поток),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</si>
  <si>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t>Номер периода</t>
  </si>
  <si>
    <r>
      <t>DCF (Дисконтированный денежный поток),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= период № 1)</t>
    </r>
  </si>
  <si>
    <r>
      <t xml:space="preserve">D (Duration),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Дюрация</t>
    </r>
  </si>
  <si>
    <r>
      <t>Синоним: "</t>
    </r>
    <r>
      <rPr>
        <b/>
        <sz val="14"/>
        <color theme="1"/>
        <rFont val="Calibri"/>
        <family val="2"/>
        <charset val="204"/>
        <scheme val="minor"/>
      </rPr>
      <t>Средневзвешенный срок погашения</t>
    </r>
    <r>
      <rPr>
        <sz val="14"/>
        <color theme="1"/>
        <rFont val="Calibri"/>
        <family val="2"/>
        <charset val="204"/>
        <scheme val="minor"/>
      </rPr>
      <t>"</t>
    </r>
  </si>
  <si>
    <t>Не рекомендуется вычислять, когда денежные потоки в разных периодах (кроме периода Y0) имеют разный знак</t>
  </si>
  <si>
    <r>
      <t xml:space="preserve">Реинвестированные денежные потоки, в те периоды, когда денежный поток - </t>
    </r>
    <r>
      <rPr>
        <b/>
        <sz val="14"/>
        <color theme="1"/>
        <rFont val="Calibri"/>
        <family val="2"/>
        <charset val="204"/>
        <scheme val="minor"/>
      </rPr>
      <t>ПОЗИТИВНЫЙ</t>
    </r>
  </si>
  <si>
    <r>
      <t xml:space="preserve">Initial Investment (Outlay) Discounted - дисконтированные </t>
    </r>
    <r>
      <rPr>
        <b/>
        <sz val="14"/>
        <color theme="1"/>
        <rFont val="Calibri"/>
        <family val="2"/>
        <charset val="204"/>
        <scheme val="minor"/>
      </rPr>
      <t>НЕГАТИВНЫЕ</t>
    </r>
    <r>
      <rPr>
        <sz val="12"/>
        <color theme="1"/>
        <rFont val="Calibri"/>
        <family val="2"/>
        <charset val="204"/>
        <scheme val="minor"/>
      </rPr>
      <t xml:space="preserve"> денежные потоки среди всех периодов, начиная с</t>
    </r>
    <r>
      <rPr>
        <sz val="10"/>
        <color theme="1"/>
        <rFont val="Calibri"/>
        <family val="2"/>
        <charset val="204"/>
        <scheme val="minor"/>
      </rPr>
      <t xml:space="preserve"> Y0 (включительно)</t>
    </r>
  </si>
  <si>
    <t>Здесь применяется фактор: (1+Ставка дисконтирования)^(Общее количество периодов)</t>
  </si>
  <si>
    <r>
      <t xml:space="preserve">MIRR (Modified Internal Rate of Return),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Модифицированная Внутренняя норма доходности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</si>
  <si>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МВСД"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>"</t>
    </r>
  </si>
  <si>
    <t xml:space="preserve"> =(Реинвестированные ПОЗИТИВНЫЕ денежные потоки/Дисконтированные НЕГАТИВНЫЕ денежные потоки)^(1/Количество периодов)-1</t>
  </si>
  <si>
    <r>
      <t xml:space="preserve">MIRR </t>
    </r>
    <r>
      <rPr>
        <b/>
        <sz val="11"/>
        <color rgb="FF00B050"/>
        <rFont val="Calibri"/>
        <family val="2"/>
        <charset val="204"/>
        <scheme val="minor"/>
      </rPr>
      <t>Ставка дисконтирования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(Модифицированная Внутренняя норма доходности с реинвестицией под Ставку дисконтирования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</si>
  <si>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"МВСД".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</si>
  <si>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внутренняя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</si>
  <si>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MNPV (Modified Net Present Value),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Модифицированная Чистая текущая стоимость</t>
    </r>
  </si>
  <si>
    <r>
      <t>Синонимы: "</t>
    </r>
    <r>
      <rPr>
        <b/>
        <sz val="14"/>
        <color theme="1"/>
        <rFont val="Calibri"/>
        <family val="2"/>
        <charset val="204"/>
        <scheme val="minor"/>
      </rPr>
      <t>Модифицированная чистая приведенная стоимость, модифицированный чистый дисконтированный доход/приведенный эффект</t>
    </r>
    <r>
      <rPr>
        <sz val="14"/>
        <color theme="1"/>
        <rFont val="Calibri"/>
        <family val="2"/>
        <charset val="204"/>
        <scheme val="minor"/>
      </rPr>
      <t>"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</si>
  <si>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RIRR (Reinvestment-rate adjusted Internal Rate of Return) </t>
    </r>
    <r>
      <rPr>
        <sz val="14"/>
        <color theme="1"/>
        <rFont val="Calibri"/>
        <family val="2"/>
        <charset val="204"/>
        <scheme val="minor"/>
      </rPr>
      <t>- Внутренняя норма доходности с реинвестированием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</si>
  <si>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чистая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</si>
  <si>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t>Даты транзакций</t>
  </si>
  <si>
    <r>
      <t xml:space="preserve"> XIRR,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</si>
  <si>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"ЧИСТВНДОХ".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</si>
  <si>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ЧИСТВНДОХ"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XIRR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</si>
  <si>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XNPV,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</si>
  <si>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"ЧИСТНЗ".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</si>
  <si>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ЧИСТНЗ"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XNPV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</si>
  <si>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NFV (Net Future Value),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Чистая будущая стоимость</t>
    </r>
  </si>
  <si>
    <t>Не корректно из-за разного знака потоков</t>
  </si>
  <si>
    <t>Ставка дисконтирования и Ставка реинвестирования</t>
  </si>
  <si>
    <r>
      <t xml:space="preserve">ANPV (Annualized Net Present Value),           </t>
    </r>
    <r>
      <rPr>
        <sz val="14"/>
        <color theme="1"/>
        <rFont val="Calibri"/>
        <family val="2"/>
        <charset val="204"/>
        <scheme val="minor"/>
      </rPr>
      <t xml:space="preserve">   Эквивалентная ежегодная рента</t>
    </r>
  </si>
  <si>
    <t>Суммируются только ячейки, помеченные серым цветом</t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</si>
  <si>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"БС". </t>
    </r>
    <r>
      <rPr>
        <sz val="14"/>
        <color theme="1"/>
        <rFont val="Calibri"/>
        <family val="2"/>
        <charset val="204"/>
        <scheme val="minor"/>
      </rPr>
      <t>Специальные условия ввода данных!!!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</si>
  <si>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NUS (Net Uniform Sеries) </t>
    </r>
    <r>
      <rPr>
        <sz val="14"/>
        <color theme="1"/>
        <rFont val="Calibri"/>
        <family val="2"/>
        <charset val="204"/>
        <scheme val="minor"/>
      </rPr>
      <t>- Чистые повторяющиеся потоки</t>
    </r>
    <r>
      <rPr>
        <b/>
        <sz val="14"/>
        <color theme="1"/>
        <rFont val="Calibri"/>
        <family val="2"/>
        <charset val="204"/>
        <scheme val="minor"/>
      </rPr>
      <t xml:space="preserve">, EAC (Equivalent annual cost) </t>
    </r>
    <r>
      <rPr>
        <sz val="14"/>
        <color theme="1"/>
        <rFont val="Calibri"/>
        <family val="2"/>
        <charset val="204"/>
        <scheme val="minor"/>
      </rPr>
      <t>- Ежегодная эквивалентная стоимость</t>
    </r>
    <r>
      <rPr>
        <b/>
        <sz val="14"/>
        <color theme="1"/>
        <rFont val="Calibri"/>
        <family val="2"/>
        <charset val="204"/>
        <scheme val="minor"/>
      </rPr>
      <t xml:space="preserve">, EAA (Equivalent Annual Annuity) </t>
    </r>
    <r>
      <rPr>
        <sz val="14"/>
        <color theme="1"/>
        <rFont val="Calibri"/>
        <family val="2"/>
        <charset val="204"/>
        <scheme val="minor"/>
      </rPr>
      <t>- Ежегодный эквивалентный аннуитет</t>
    </r>
  </si>
  <si>
    <t>Калькулирование NFV (Чистой будущей стоимости) и D (Дюрации), когда потоки - только ПОЗИТИВНЫЕ</t>
  </si>
  <si>
    <r>
      <t xml:space="preserve">NPV </t>
    </r>
    <r>
      <rPr>
        <b/>
        <sz val="12"/>
        <color theme="1"/>
        <rFont val="Calibri"/>
        <family val="2"/>
        <charset val="204"/>
        <scheme val="minor"/>
      </rPr>
      <t>(только для ПОЗИТИВНЫХ денежных потоков)</t>
    </r>
  </si>
  <si>
    <r>
      <t>DCF,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- считается периодом № 1)</t>
    </r>
  </si>
  <si>
    <r>
      <t>DCF,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</si>
  <si>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r>
      <t xml:space="preserve">D (Duration),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Дюрация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</si>
  <si>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</si>
  <si>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стоимость, как функция от NPV</t>
    </r>
  </si>
  <si>
    <t xml:space="preserve"> =NPV*(1+Ставка дисконтирования)^Число периодов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</si>
  <si>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(варьирующиеся ставки)</t>
    </r>
  </si>
  <si>
    <t>Рост продажной цены производимых изделий, % p.a.</t>
  </si>
  <si>
    <t>Цена 1 изделия</t>
  </si>
  <si>
    <t>Выручка от продаж</t>
  </si>
  <si>
    <t>Инфляция всех затрат на производство продукции, % p.a.</t>
  </si>
  <si>
    <r>
      <t>Полученные займы (</t>
    </r>
    <r>
      <rPr>
        <b/>
        <sz val="11"/>
        <color theme="1"/>
        <rFont val="Calibri"/>
        <family val="2"/>
        <charset val="204"/>
        <scheme val="minor"/>
      </rPr>
      <t>внутригодовые, полностью выплачиваются к 31/12 каждого года, срок использования - 360 дней</t>
    </r>
    <r>
      <rPr>
        <sz val="11"/>
        <color theme="1"/>
        <rFont val="Calibri"/>
        <family val="2"/>
        <charset val="204"/>
        <scheme val="minor"/>
      </rPr>
      <t>)</t>
    </r>
  </si>
  <si>
    <t>Выплаченные займы</t>
  </si>
  <si>
    <t>Процентная ставка по займам, % p.a.</t>
  </si>
  <si>
    <t>Дивиденды начисленные, но не выплаченные (25% чистой прибыли)</t>
  </si>
  <si>
    <t>Ожидаемый рост (вся экономика)</t>
  </si>
  <si>
    <t>EBITDA рост y-o-y</t>
  </si>
  <si>
    <t>EBIT рост y-o-y</t>
  </si>
  <si>
    <t>Чистая прибыль рост y-o-y</t>
  </si>
  <si>
    <r>
      <t xml:space="preserve">NPV (Net Present Value),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</si>
  <si>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NPV (Net Present Value),                                      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</si>
  <si>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PP (Payback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 течение года</t>
    </r>
  </si>
  <si>
    <t>Точная дата Точки окупаемости</t>
  </si>
  <si>
    <r>
      <t xml:space="preserve">CF (Cash Flow) </t>
    </r>
    <r>
      <rPr>
        <sz val="14"/>
        <color theme="1"/>
        <rFont val="Calibri"/>
        <family val="2"/>
        <charset val="204"/>
        <scheme val="minor"/>
      </rPr>
      <t>в последний год прогнозирования/последний год реализации проекта</t>
    </r>
  </si>
  <si>
    <t>Темп роста компании/проекта</t>
  </si>
  <si>
    <r>
      <t xml:space="preserve">Net Terminal Value (NTV), </t>
    </r>
    <r>
      <rPr>
        <sz val="14"/>
        <color theme="1"/>
        <rFont val="Calibri"/>
        <family val="2"/>
        <charset val="204"/>
        <scheme val="minor"/>
      </rPr>
      <t>Чистая терминальная стоимость</t>
    </r>
  </si>
  <si>
    <r>
      <t xml:space="preserve">WACC </t>
    </r>
    <r>
      <rPr>
        <b/>
        <sz val="20"/>
        <color theme="0"/>
        <rFont val="Calibri"/>
        <family val="2"/>
        <charset val="204"/>
        <scheme val="minor"/>
      </rPr>
      <t xml:space="preserve">(Weighted Average Cost of Capital), </t>
    </r>
    <r>
      <rPr>
        <sz val="18"/>
        <color theme="0"/>
        <rFont val="Calibri"/>
        <family val="2"/>
        <charset val="204"/>
        <scheme val="minor"/>
      </rPr>
      <t>Средневзвешенная стоимость капитала</t>
    </r>
  </si>
  <si>
    <r>
      <t xml:space="preserve">NTV </t>
    </r>
    <r>
      <rPr>
        <b/>
        <sz val="20"/>
        <color theme="0"/>
        <rFont val="Calibri"/>
        <family val="2"/>
        <charset val="204"/>
        <scheme val="minor"/>
      </rPr>
      <t>(Net Terminal Value),</t>
    </r>
    <r>
      <rPr>
        <b/>
        <sz val="24"/>
        <color theme="0"/>
        <rFont val="Calibri"/>
        <family val="2"/>
        <charset val="204"/>
        <scheme val="minor"/>
      </rPr>
      <t xml:space="preserve"> </t>
    </r>
    <r>
      <rPr>
        <sz val="18"/>
        <color theme="0"/>
        <rFont val="Calibri"/>
        <family val="2"/>
        <charset val="204"/>
        <scheme val="minor"/>
      </rPr>
      <t>Чистая терминальная стоимость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</si>
  <si>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</si>
  <si>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>NPV</t>
    </r>
    <r>
      <rPr>
        <b/>
        <sz val="20"/>
        <color theme="0"/>
        <rFont val="Calibri"/>
        <family val="2"/>
        <charset val="204"/>
        <scheme val="minor"/>
      </rPr>
      <t xml:space="preserve"> (Net Present Value)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 приведенная (дисконтированная) стоимость</t>
    </r>
  </si>
  <si>
    <t>Присутствует инфляция, меняющиеся валютные курсы, есть займы, выплачиваются дивиденды</t>
  </si>
  <si>
    <r>
      <t xml:space="preserve">NCF </t>
    </r>
    <r>
      <rPr>
        <b/>
        <sz val="20"/>
        <color theme="0"/>
        <rFont val="Calibri"/>
        <family val="2"/>
        <charset val="204"/>
        <scheme val="minor"/>
      </rPr>
      <t>(Net Cash Flow)</t>
    </r>
    <r>
      <rPr>
        <b/>
        <sz val="24"/>
        <color theme="0"/>
        <rFont val="Calibri"/>
        <family val="2"/>
        <charset val="204"/>
        <scheme val="minor"/>
      </rPr>
      <t xml:space="preserve">             </t>
    </r>
    <r>
      <rPr>
        <sz val="24"/>
        <color theme="0"/>
        <rFont val="Calibri"/>
        <family val="2"/>
        <charset val="204"/>
        <scheme val="minor"/>
      </rPr>
      <t xml:space="preserve">                       </t>
    </r>
    <r>
      <rPr>
        <sz val="18"/>
        <color theme="0"/>
        <rFont val="Calibri"/>
        <family val="2"/>
        <charset val="204"/>
        <scheme val="minor"/>
      </rPr>
      <t>(Текущая стоимость)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</si>
  <si>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</si>
  <si>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 xml:space="preserve">PV </t>
    </r>
    <r>
      <rPr>
        <b/>
        <sz val="20"/>
        <color theme="0"/>
        <rFont val="Calibri"/>
        <family val="2"/>
        <charset val="204"/>
        <scheme val="minor"/>
      </rPr>
      <t>(Present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Дисконтированная/приведенная стоимость</t>
    </r>
  </si>
  <si>
    <r>
      <t>FV</t>
    </r>
    <r>
      <rPr>
        <b/>
        <sz val="20"/>
        <color theme="0"/>
        <rFont val="Calibri"/>
        <family val="2"/>
        <charset val="204"/>
        <scheme val="minor"/>
      </rPr>
      <t xml:space="preserve"> (Future Value)</t>
    </r>
    <r>
      <rPr>
        <b/>
        <sz val="24"/>
        <color theme="0"/>
        <rFont val="Calibri"/>
        <family val="2"/>
        <charset val="204"/>
        <scheme val="minor"/>
      </rPr>
      <t>,</t>
    </r>
    <r>
      <rPr>
        <b/>
        <sz val="18"/>
        <color theme="0"/>
        <rFont val="Calibri"/>
        <family val="2"/>
        <charset val="204"/>
        <scheme val="minor"/>
      </rPr>
      <t xml:space="preserve">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                          Будущая стоимость</t>
    </r>
  </si>
  <si>
    <r>
      <t xml:space="preserve">IRR </t>
    </r>
    <r>
      <rPr>
        <b/>
        <sz val="20"/>
        <color theme="0"/>
        <rFont val="Calibri"/>
        <family val="2"/>
        <charset val="204"/>
        <scheme val="minor"/>
      </rPr>
      <t>(Internal Rate of Return)</t>
    </r>
    <r>
      <rPr>
        <b/>
        <sz val="24"/>
        <color theme="0"/>
        <rFont val="Calibri"/>
        <family val="2"/>
        <charset val="204"/>
        <scheme val="minor"/>
      </rPr>
      <t xml:space="preserve">,               </t>
    </r>
    <r>
      <rPr>
        <sz val="24"/>
        <color theme="0"/>
        <rFont val="Calibri"/>
        <family val="2"/>
        <charset val="204"/>
        <scheme val="minor"/>
      </rPr>
      <t xml:space="preserve">             </t>
    </r>
    <r>
      <rPr>
        <sz val="18"/>
        <color theme="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</si>
  <si>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theme="0"/>
        <rFont val="Calibri"/>
        <family val="2"/>
        <charset val="204"/>
        <scheme val="minor"/>
      </rPr>
      <t xml:space="preserve">(Discounted Payback Period)                </t>
    </r>
    <r>
      <rPr>
        <sz val="20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Дисконтированный период окупаемости</t>
    </r>
  </si>
  <si>
    <r>
      <t xml:space="preserve">DPI </t>
    </r>
    <r>
      <rPr>
        <b/>
        <sz val="20"/>
        <color theme="0"/>
        <rFont val="Calibri"/>
        <family val="2"/>
        <charset val="204"/>
        <scheme val="minor"/>
      </rPr>
      <t xml:space="preserve">(Discounted Profitability Index)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 </t>
    </r>
    <r>
      <rPr>
        <sz val="18"/>
        <color theme="0"/>
        <rFont val="Calibri"/>
        <family val="2"/>
        <charset val="204"/>
        <scheme val="minor"/>
      </rPr>
      <t>Дисконтированный индекс доходности/рентабельности</t>
    </r>
  </si>
  <si>
    <r>
      <t xml:space="preserve">NRR </t>
    </r>
    <r>
      <rPr>
        <b/>
        <sz val="20"/>
        <color theme="0"/>
        <rFont val="Calibri"/>
        <family val="2"/>
        <charset val="204"/>
        <scheme val="minor"/>
      </rPr>
      <t>(Net Rate of Return)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Чистая/маржинальная норма доходности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</si>
  <si>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 xml:space="preserve">(Duration),              </t>
    </r>
    <r>
      <rPr>
        <sz val="20"/>
        <color theme="0"/>
        <rFont val="Calibri"/>
        <family val="2"/>
        <charset val="204"/>
        <scheme val="minor"/>
      </rPr>
      <t xml:space="preserve">      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</si>
  <si>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r>
      <t>MNPV</t>
    </r>
    <r>
      <rPr>
        <b/>
        <sz val="20"/>
        <color theme="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</si>
  <si>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theme="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Внутренняя норма доходности</t>
    </r>
  </si>
  <si>
    <r>
      <t xml:space="preserve"> XIRR,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</si>
  <si>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XNPV,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</si>
  <si>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>NFV</t>
    </r>
    <r>
      <rPr>
        <b/>
        <sz val="20"/>
        <color theme="0"/>
        <rFont val="Calibri"/>
        <family val="2"/>
        <charset val="204"/>
        <scheme val="minor"/>
      </rPr>
      <t xml:space="preserve"> (Net Future Value),       </t>
    </r>
    <r>
      <rPr>
        <sz val="20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>Чистая будущая стоимость</t>
    </r>
  </si>
  <si>
    <r>
      <t>ANPV</t>
    </r>
    <r>
      <rPr>
        <b/>
        <sz val="20"/>
        <color theme="0"/>
        <rFont val="Calibri"/>
        <family val="2"/>
        <charset val="204"/>
        <scheme val="minor"/>
      </rPr>
      <t xml:space="preserve"> (Annualized Net 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</t>
    </r>
    <r>
      <rPr>
        <sz val="24"/>
        <color theme="0"/>
        <rFont val="Calibri"/>
        <family val="2"/>
        <charset val="204"/>
        <scheme val="minor"/>
      </rPr>
      <t xml:space="preserve">    </t>
    </r>
    <r>
      <rPr>
        <sz val="18"/>
        <color theme="0"/>
        <rFont val="Calibri"/>
        <family val="2"/>
        <charset val="204"/>
        <scheme val="minor"/>
      </rPr>
      <t>Эквивалентная ежегодная рента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</si>
  <si>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>(Duration)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</si>
  <si>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t>Собственный капитал (Equity)</t>
  </si>
  <si>
    <r>
      <t xml:space="preserve">Прямой платный долг </t>
    </r>
    <r>
      <rPr>
        <b/>
        <sz val="11"/>
        <color theme="1"/>
        <rFont val="Calibri"/>
        <family val="2"/>
        <charset val="204"/>
        <scheme val="minor"/>
      </rPr>
      <t xml:space="preserve">(среднегодовой) </t>
    </r>
    <r>
      <rPr>
        <b/>
        <sz val="14"/>
        <color theme="1"/>
        <rFont val="Calibri"/>
        <family val="2"/>
        <charset val="204"/>
        <scheme val="minor"/>
      </rPr>
      <t>(Debt)</t>
    </r>
  </si>
  <si>
    <r>
      <t>Капитал всего</t>
    </r>
    <r>
      <rPr>
        <sz val="14"/>
        <color theme="1"/>
        <rFont val="Calibri"/>
        <family val="2"/>
        <charset val="204"/>
        <scheme val="minor"/>
      </rPr>
      <t xml:space="preserve"> (Долг + Собственный капитал) </t>
    </r>
    <r>
      <rPr>
        <b/>
        <sz val="16"/>
        <color theme="1"/>
        <rFont val="Calibri"/>
        <family val="2"/>
        <charset val="204"/>
        <scheme val="minor"/>
      </rPr>
      <t>(Cap)</t>
    </r>
  </si>
  <si>
    <t>Доля Чистой прибыли, выплачиваемая в виде дивидендов</t>
  </si>
  <si>
    <t>Налог на прибыль</t>
  </si>
  <si>
    <r>
      <t xml:space="preserve">WACC (Weighted Average Cost of Capital), </t>
    </r>
    <r>
      <rPr>
        <sz val="14"/>
        <color theme="1"/>
        <rFont val="Calibri"/>
        <family val="2"/>
        <charset val="204"/>
        <scheme val="minor"/>
      </rPr>
      <t>Средневзвешенная стоимость капитала</t>
    </r>
  </si>
  <si>
    <t>Средняя за период</t>
  </si>
  <si>
    <r>
      <t>NPV</t>
    </r>
    <r>
      <rPr>
        <b/>
        <sz val="20"/>
        <color rgb="FFFFFF00"/>
        <rFont val="Calibri"/>
        <family val="2"/>
        <charset val="204"/>
        <scheme val="minor"/>
      </rPr>
      <t xml:space="preserve"> (Net Present Value)</t>
    </r>
    <r>
      <rPr>
        <b/>
        <sz val="24"/>
        <color rgb="FFFFFF00"/>
        <rFont val="Calibri"/>
        <family val="2"/>
        <charset val="204"/>
        <scheme val="minor"/>
      </rPr>
      <t xml:space="preserve">, </t>
    </r>
    <r>
      <rPr>
        <sz val="18"/>
        <color rgb="FFFFFF00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</si>
  <si>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IRR </t>
    </r>
    <r>
      <rPr>
        <b/>
        <sz val="20"/>
        <color rgb="FFFFFF00"/>
        <rFont val="Calibri"/>
        <family val="2"/>
        <charset val="204"/>
        <scheme val="minor"/>
      </rPr>
      <t>(Internal Rate of Return)</t>
    </r>
    <r>
      <rPr>
        <b/>
        <sz val="24"/>
        <color rgb="FFFFFF00"/>
        <rFont val="Calibri"/>
        <family val="2"/>
        <charset val="204"/>
        <scheme val="minor"/>
      </rPr>
      <t xml:space="preserve">,               </t>
    </r>
    <r>
      <rPr>
        <sz val="24"/>
        <color rgb="FFFFFF00"/>
        <rFont val="Calibri"/>
        <family val="2"/>
        <charset val="204"/>
        <scheme val="minor"/>
      </rPr>
      <t xml:space="preserve">             </t>
    </r>
    <r>
      <rPr>
        <sz val="18"/>
        <color rgb="FFFFFF0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</si>
  <si>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rgb="FFFFFF00"/>
        <rFont val="Calibri"/>
        <family val="2"/>
        <charset val="204"/>
        <scheme val="minor"/>
      </rPr>
      <t xml:space="preserve">(Discounted Payback Period)                </t>
    </r>
    <r>
      <rPr>
        <sz val="20"/>
        <color rgb="FFFFFF00"/>
        <rFont val="Calibri"/>
        <family val="2"/>
        <charset val="204"/>
        <scheme val="minor"/>
      </rPr>
      <t xml:space="preserve">              </t>
    </r>
    <r>
      <rPr>
        <sz val="18"/>
        <color rgb="FFFFFF00"/>
        <rFont val="Calibri"/>
        <family val="2"/>
        <charset val="204"/>
        <scheme val="minor"/>
      </rPr>
      <t>Дисконтированный период окупаемости</t>
    </r>
  </si>
  <si>
    <r>
      <t>MNPV</t>
    </r>
    <r>
      <rPr>
        <b/>
        <sz val="20"/>
        <color rgb="FFFFFF0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</si>
  <si>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rgb="FFFFFF0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Внутренняя норма доходности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</si>
  <si>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варьирующемся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</si>
  <si>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постоянном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</si>
  <si>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t>Дисконт-фактор</t>
  </si>
  <si>
    <r>
      <t xml:space="preserve">IRR (Internal Rate of Return),                                </t>
    </r>
    <r>
      <rPr>
        <sz val="14"/>
        <color theme="1"/>
        <rFont val="Calibri"/>
        <family val="2"/>
        <charset val="204"/>
        <scheme val="minor"/>
      </rPr>
      <t>Внутренняя норма доходности</t>
    </r>
    <r>
      <rPr>
        <b/>
        <sz val="14"/>
        <color theme="1"/>
        <rFont val="Calibri"/>
        <family val="2"/>
        <charset val="204"/>
        <scheme val="minor"/>
      </rPr>
      <t>,</t>
    </r>
    <r>
      <rPr>
        <i/>
        <sz val="12"/>
        <color theme="1"/>
        <rFont val="Calibri"/>
        <family val="2"/>
        <charset val="204"/>
        <scheme val="minor"/>
      </rPr>
      <t xml:space="preserve"> вычисленная с помощью формулы Excel</t>
    </r>
  </si>
  <si>
    <r>
      <t xml:space="preserve">DPP (Discounted 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</si>
  <si>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t>Ставка реинвестирования</t>
  </si>
  <si>
    <t>Дисконтированная сумма ПОЗИТИВНЫХ денежных потоков</t>
  </si>
  <si>
    <t>Ставка дисконтирования = Ставка реинвестирования</t>
  </si>
  <si>
    <t>Фактор реинвестирования</t>
  </si>
  <si>
    <r>
      <t>CF (Cash Flow),</t>
    </r>
    <r>
      <rPr>
        <sz val="14"/>
        <color theme="1"/>
        <rFont val="Calibri"/>
        <family val="2"/>
        <charset val="204"/>
        <scheme val="minor"/>
      </rPr>
      <t xml:space="preserve"> прямой недисконтированный денежный поток</t>
    </r>
  </si>
  <si>
    <r>
      <t xml:space="preserve">Оценка компании, </t>
    </r>
    <r>
      <rPr>
        <sz val="18"/>
        <color theme="0"/>
        <rFont val="Calibri"/>
        <family val="2"/>
        <charset val="204"/>
        <scheme val="minor"/>
      </rPr>
      <t>основанная на WACC в качестве ставки дисконтирования</t>
    </r>
  </si>
  <si>
    <t>Дисконт-фактор (специальная ставка)</t>
  </si>
  <si>
    <r>
      <t>Дисконтированный Cash Flow</t>
    </r>
    <r>
      <rPr>
        <b/>
        <sz val="11"/>
        <color theme="1"/>
        <rFont val="Calibri"/>
        <family val="2"/>
        <charset val="204"/>
        <scheme val="minor"/>
      </rPr>
      <t xml:space="preserve"> (специальная ставка)</t>
    </r>
  </si>
  <si>
    <t>Стоимость компании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</si>
  <si>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 (Adjusted cash flow))</t>
    </r>
  </si>
  <si>
    <t>Предшествующие вычисления</t>
  </si>
  <si>
    <r>
      <t xml:space="preserve">Fixed assets,                           </t>
    </r>
    <r>
      <rPr>
        <sz val="18"/>
        <color theme="0"/>
        <rFont val="Calibri"/>
        <family val="2"/>
        <charset val="204"/>
        <scheme val="minor"/>
      </rPr>
      <t>Основные средства</t>
    </r>
  </si>
  <si>
    <t>Группа 1. Здания и сооружения</t>
  </si>
  <si>
    <t>Группа 3. Нематериальные активы (Intangible assets)</t>
  </si>
  <si>
    <t>Группа 4. Оборудование 2 класс</t>
  </si>
  <si>
    <t>Группа 2. Оборудование 1 класс</t>
  </si>
  <si>
    <t>Принцип начисления амортизации</t>
  </si>
  <si>
    <t>Линейный (Straight-line)</t>
  </si>
  <si>
    <t>Наиболее нетральный и консервативный метод</t>
  </si>
  <si>
    <r>
      <t xml:space="preserve">Амортизированная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</si>
  <si>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Ожидаемый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годах)</t>
    </r>
  </si>
  <si>
    <r>
      <t xml:space="preserve">Остаточная стоимость (Salvage (Residual) Value), </t>
    </r>
    <r>
      <rPr>
        <sz val="8"/>
        <color theme="1"/>
        <rFont val="Calibri"/>
        <family val="2"/>
        <charset val="204"/>
        <scheme val="minor"/>
      </rPr>
      <t>(USD, thous.)</t>
    </r>
  </si>
  <si>
    <r>
      <t xml:space="preserve">Год ввода в эксплуатацию </t>
    </r>
    <r>
      <rPr>
        <sz val="8"/>
        <color theme="1"/>
        <rFont val="Calibri"/>
        <family val="2"/>
        <charset val="204"/>
        <scheme val="minor"/>
      </rPr>
      <t>(Здесь: всегда - в начале года)</t>
    </r>
  </si>
  <si>
    <r>
      <t xml:space="preserve">Амортизируемая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</si>
  <si>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Норма амортизации ежегодная </t>
    </r>
    <r>
      <rPr>
        <sz val="8"/>
        <color theme="1"/>
        <rFont val="Calibri"/>
        <family val="2"/>
        <charset val="204"/>
        <scheme val="minor"/>
      </rPr>
      <t>(%)</t>
    </r>
  </si>
  <si>
    <r>
      <t>Ежегодные амортизационные отчисления</t>
    </r>
    <r>
      <rPr>
        <sz val="8"/>
        <color theme="1"/>
        <rFont val="Calibri"/>
        <family val="2"/>
        <charset val="204"/>
        <scheme val="minor"/>
      </rPr>
      <t xml:space="preserve"> (USD, thous)</t>
    </r>
  </si>
  <si>
    <t>Ставка амортизации для конкретного периода</t>
  </si>
  <si>
    <t>Менее агрессивный метод, чем Метод уменьшающегося баланса (Declining-Balance)</t>
  </si>
  <si>
    <t>Более агрессивный метод, чем Линейный метод (Straight-line)</t>
  </si>
  <si>
    <t>Уменьшающегося баланса (Declining balance)</t>
  </si>
  <si>
    <t>Суммы лет (Sum-of-year-digits)</t>
  </si>
  <si>
    <t>Произведенной продукции (Units-of-production)</t>
  </si>
  <si>
    <t>Агрессивность данного метода основана на определении ожидаемого объема выпуска: чем меньше данный объем, тем выше амортизационные отчисления</t>
  </si>
  <si>
    <r>
      <t xml:space="preserve">Ожидемый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единицах производимой продукции)</t>
    </r>
  </si>
  <si>
    <r>
      <t>Реально произведенный объем продукции</t>
    </r>
    <r>
      <rPr>
        <sz val="8"/>
        <color theme="1"/>
        <rFont val="Calibri"/>
        <family val="2"/>
        <charset val="204"/>
        <scheme val="minor"/>
      </rPr>
      <t xml:space="preserve"> (единиц производимой продукции)</t>
    </r>
  </si>
  <si>
    <t>Кумулятивный объем произведенной продукции</t>
  </si>
  <si>
    <t>Итоговая амортизация</t>
  </si>
  <si>
    <t>Итоговая амортизированная стоимость всех основных средств</t>
  </si>
  <si>
    <t>включая:</t>
  </si>
  <si>
    <t>Группа 3. Нематериальные активы</t>
  </si>
  <si>
    <t>Амортизационные отчисления</t>
  </si>
  <si>
    <t>Оборотные активы/Текущие обязательства</t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</si>
  <si>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</si>
  <si>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Усредненный производственный цикл, </t>
    </r>
    <r>
      <rPr>
        <sz val="8"/>
        <color theme="1"/>
        <rFont val="Calibri"/>
        <family val="2"/>
        <charset val="204"/>
        <scheme val="minor"/>
      </rPr>
      <t>(дней/365)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</si>
  <si>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</si>
  <si>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Earnings before interest, tax and depreciation (EBITDA)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Чистый доход до уплаты процентов, налогов и амортизации</t>
    </r>
  </si>
  <si>
    <r>
      <t xml:space="preserve">Earnings before interest &amp; tax (EBIT)                      </t>
    </r>
    <r>
      <rPr>
        <sz val="12"/>
        <color theme="1"/>
        <rFont val="Calibri"/>
        <family val="2"/>
        <charset val="204"/>
        <scheme val="minor"/>
      </rPr>
      <t xml:space="preserve">      Чистый доход до уплаты процентов и налогов</t>
    </r>
  </si>
  <si>
    <r>
      <t xml:space="preserve">Себестоимость 1 единицы продукции, переменная + постоянная </t>
    </r>
    <r>
      <rPr>
        <sz val="8"/>
        <color theme="1"/>
        <rFont val="Calibri"/>
        <family val="2"/>
        <charset val="204"/>
        <scheme val="minor"/>
      </rPr>
      <t>(USD/единица продукции)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</si>
  <si>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(USD)</t>
    </r>
  </si>
  <si>
    <r>
      <t xml:space="preserve">Net profit (Earnings) for the period                   </t>
    </r>
    <r>
      <rPr>
        <sz val="12"/>
        <color theme="1"/>
        <rFont val="Calibri"/>
        <family val="2"/>
        <charset val="204"/>
        <scheme val="minor"/>
      </rPr>
      <t xml:space="preserve">           Чистая прибыль периода</t>
    </r>
  </si>
  <si>
    <t>Запасы (Inventories)</t>
  </si>
  <si>
    <t>Авансы уплаченные (Advances paid)</t>
  </si>
  <si>
    <r>
      <t xml:space="preserve">Ежемесячная потребность в закупаемых материалах,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</si>
  <si>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Ежемесячно уплачиваемые авансы на закупку используемых материалов, </t>
    </r>
    <r>
      <rPr>
        <sz val="8"/>
        <color theme="1"/>
        <rFont val="Calibri"/>
        <family val="2"/>
        <charset val="204"/>
        <scheme val="minor"/>
      </rPr>
      <t>(USD thous.)</t>
    </r>
  </si>
  <si>
    <t>1 месяц</t>
  </si>
  <si>
    <t>Дебиторская задолженность (Accounts receivable)</t>
  </si>
  <si>
    <t>Кредиторская задолженность (Accounts payable)</t>
  </si>
  <si>
    <r>
      <t xml:space="preserve">Выручка по годам,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</si>
  <si>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Деньги-против документов (Cash-against-documents basis),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</si>
  <si>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60-дневной отсрочки платежа (Open account),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</si>
  <si>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последующей оплаты в течение 30 дней,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</si>
  <si>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60-дневной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</si>
  <si>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30-дневной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</si>
  <si>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дебиторской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</si>
  <si>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t>1-месячный оборот или 1/12 ежегодного оборота дебиторской задолженности</t>
  </si>
  <si>
    <t>3-месячный оборот или 1/4 ежегодного оборота дебиторской задолженности</t>
  </si>
  <si>
    <t>Дебиторская задолженность не появляется в балансе</t>
  </si>
  <si>
    <t>Авансы, полученные от покупателей</t>
  </si>
  <si>
    <r>
      <t xml:space="preserve">Доля продаж на условиях 30-дневной предоплаты,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</si>
  <si>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(авансы полученные),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</si>
  <si>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Заработная плата работников (70%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</si>
  <si>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Эксплуатационные расходы (30%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</si>
  <si>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заработной плате,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</si>
  <si>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эксплуатационным расходам,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</si>
  <si>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кредиторской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</si>
  <si>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 xml:space="preserve">Рабочий (оборотный) капитал </t>
    </r>
    <r>
      <rPr>
        <sz val="18"/>
        <color theme="0"/>
        <rFont val="Calibri"/>
        <family val="2"/>
        <charset val="204"/>
        <scheme val="minor"/>
      </rPr>
      <t>(Working capital)</t>
    </r>
  </si>
  <si>
    <r>
      <t xml:space="preserve">Запасы, </t>
    </r>
    <r>
      <rPr>
        <sz val="8"/>
        <color theme="1"/>
        <rFont val="Calibri"/>
        <family val="2"/>
        <charset val="204"/>
        <scheme val="minor"/>
      </rPr>
      <t>(USD thous.)</t>
    </r>
  </si>
  <si>
    <t>Готовая продукция (Goods for Resale)</t>
  </si>
  <si>
    <r>
      <t xml:space="preserve">Готовая продукция,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</si>
  <si>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Авансы уплаченные,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</si>
  <si>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</si>
  <si>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</si>
  <si>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>Чистый рабочий капитал всего</t>
    </r>
    <r>
      <rPr>
        <sz val="14"/>
        <color theme="0"/>
        <rFont val="Calibri"/>
        <family val="2"/>
        <charset val="204"/>
        <scheme val="minor"/>
      </rPr>
      <t xml:space="preserve"> (Net Working Capital)</t>
    </r>
  </si>
  <si>
    <r>
      <t xml:space="preserve">Изменения в Чистом рабочем капитале,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</si>
  <si>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>Движение денежных средств</t>
    </r>
    <r>
      <rPr>
        <sz val="18"/>
        <color theme="0"/>
        <rFont val="Calibri"/>
        <family val="2"/>
        <charset val="204"/>
        <scheme val="minor"/>
      </rPr>
      <t xml:space="preserve"> (Cash Flow)</t>
    </r>
  </si>
  <si>
    <t>Изначально исчисленный денежный поток</t>
  </si>
  <si>
    <t>Уточненный денежный поток</t>
  </si>
  <si>
    <r>
      <rPr>
        <b/>
        <sz val="20"/>
        <color theme="1"/>
        <rFont val="Calibri"/>
        <family val="2"/>
        <charset val="204"/>
        <scheme val="minor"/>
      </rPr>
      <t>Баланс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на 31 декабря, Y5</t>
    </r>
  </si>
  <si>
    <t>АКТИВЫ</t>
  </si>
  <si>
    <t>Внеоборотные активы</t>
  </si>
  <si>
    <t xml:space="preserve">    включая:</t>
  </si>
  <si>
    <t>Здания, сооружения и оборудование</t>
  </si>
  <si>
    <t>Нематериальные активы</t>
  </si>
  <si>
    <t>Прочие внеоборотные активы</t>
  </si>
  <si>
    <t>Оборотные активы</t>
  </si>
  <si>
    <t>Запасы</t>
  </si>
  <si>
    <t>Готовая продукция</t>
  </si>
  <si>
    <t>Дебиторская задолженность</t>
  </si>
  <si>
    <t>Авансы уплаченные</t>
  </si>
  <si>
    <t>Денежные средства и их эквиваленты</t>
  </si>
  <si>
    <t>Прочие оборотные активы</t>
  </si>
  <si>
    <t>АКТИВЫ ВСЕГО</t>
  </si>
  <si>
    <t>ПАССИВЫ</t>
  </si>
  <si>
    <t>Капитал компании</t>
  </si>
  <si>
    <t>Краткосрочные обязательства</t>
  </si>
  <si>
    <t>Долгосрочные обязательства</t>
  </si>
  <si>
    <t>Краткосрочные займы</t>
  </si>
  <si>
    <t>Краткосрочный лизинг</t>
  </si>
  <si>
    <t>Кредиторская задолженность</t>
  </si>
  <si>
    <t>Прочие краткосрочные обязательства</t>
  </si>
  <si>
    <t>Прочие долгосрочные обязательства</t>
  </si>
  <si>
    <t>Долгосрочные займы</t>
  </si>
  <si>
    <t>Долгосрочный лизинг</t>
  </si>
  <si>
    <t>Уставный капитал</t>
  </si>
  <si>
    <t>Созданные резервы</t>
  </si>
  <si>
    <t>Нераспределенная прибыль прошлых лет</t>
  </si>
  <si>
    <t>Нераспределенная прибыль текущего года</t>
  </si>
  <si>
    <t>ПАССИВЫ ВСЕГО</t>
  </si>
  <si>
    <t>Предположения к балансу</t>
  </si>
  <si>
    <t>Переменные расходы полностью относятся к закупаемым материалам</t>
  </si>
  <si>
    <t>Неснижаемый запас материалов достаточен для производства 1-месячного объема продукции</t>
  </si>
  <si>
    <t>Уплаченные авансы покрывают 2-месячную потребность производства в материалах</t>
  </si>
  <si>
    <t>Продажи готовой продукции в рассрочку осуществляются в 30% случаев. Фактическая отсрочка платежа покупателя - 90 дней.</t>
  </si>
  <si>
    <t>20% продаж осуществляются на базисе "Деньги против документов"</t>
  </si>
  <si>
    <t>30% продаж фактически оплачиваются в течение 30 дней с момента отгрузки</t>
  </si>
  <si>
    <t>20% продаж предоплачиваются авансами покупателей на срок до 30 дней до момента отгрузки</t>
  </si>
  <si>
    <t>Заработная плата составляет 70% от общего объема постоянных расходов</t>
  </si>
  <si>
    <t>Эксплуатационные расходы составляют 30% от общего объема постоянных расходов</t>
  </si>
  <si>
    <t>Заработная плата выплачивается 15 числа каждого месяца</t>
  </si>
  <si>
    <t>Эксплуатационные расходы оплачиваются в течение 20 дней по окончании каждого месяца</t>
  </si>
  <si>
    <r>
      <t>Критерии экономической эффективности</t>
    </r>
    <r>
      <rPr>
        <sz val="18"/>
        <color theme="0"/>
        <rFont val="Calibri"/>
        <family val="2"/>
        <charset val="204"/>
        <scheme val="minor"/>
      </rPr>
      <t xml:space="preserve"> (уточненный денежный поток)</t>
    </r>
  </si>
  <si>
    <t>рассчитан с применением WACC в качестве ставки дисконтирования</t>
  </si>
  <si>
    <t>Уточненный Cash Flow</t>
  </si>
  <si>
    <t>Кумулятивный DCF (нарастающим итогом)</t>
  </si>
  <si>
    <t xml:space="preserve">Реинвестированные позитивные денежные потоки </t>
  </si>
  <si>
    <t>Дисконтированная инвестиция (все негативные денежные потоки)</t>
  </si>
  <si>
    <t xml:space="preserve">Дисконтированные Реинвестированные позитивные денежные потоки </t>
  </si>
  <si>
    <r>
      <t>AAR</t>
    </r>
    <r>
      <rPr>
        <b/>
        <sz val="20"/>
        <color theme="0"/>
        <rFont val="Calibri"/>
        <family val="2"/>
        <charset val="204"/>
        <scheme val="minor"/>
      </rPr>
      <t xml:space="preserve"> (Average Accounting Rate of Return)</t>
    </r>
    <r>
      <rPr>
        <b/>
        <sz val="22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Учетная/Бухгалтерская норма доходности</t>
    </r>
  </si>
  <si>
    <t>Среднее за период</t>
  </si>
  <si>
    <t>Общая стоимость приобретенных основных средств (Амортизированная)</t>
  </si>
  <si>
    <t>Средняя чистая прибыль за период</t>
  </si>
  <si>
    <r>
      <t xml:space="preserve">AAR (Average Accounting Rate of Return), </t>
    </r>
    <r>
      <rPr>
        <sz val="16"/>
        <color theme="1"/>
        <rFont val="Calibri"/>
        <family val="2"/>
        <charset val="204"/>
        <scheme val="minor"/>
      </rPr>
      <t>Учетная/Бухгалтерская норма доходности</t>
    </r>
  </si>
  <si>
    <r>
      <t xml:space="preserve">Коэффициент покрытия долга, </t>
    </r>
    <r>
      <rPr>
        <sz val="18"/>
        <color theme="0"/>
        <rFont val="Calibri"/>
        <family val="2"/>
        <charset val="204"/>
        <scheme val="minor"/>
      </rPr>
      <t>Debt Service Coverage Ratio (DSCR)</t>
    </r>
  </si>
  <si>
    <t>Суммарные обязательства по погашению долга (проценты + погашения основного долга в данном периоде)</t>
  </si>
  <si>
    <r>
      <t xml:space="preserve">Коэффициент покрытия долга, </t>
    </r>
    <r>
      <rPr>
        <sz val="16"/>
        <color theme="1"/>
        <rFont val="Calibri"/>
        <family val="2"/>
        <charset val="204"/>
        <scheme val="minor"/>
      </rPr>
      <t>Debt Service Coverage Ratio (DSCR)</t>
    </r>
  </si>
  <si>
    <t>Средняя себестоимость</t>
  </si>
  <si>
    <t>Ежегодные амортизационные отчисления по методу Уменьшающегося баланса = Удвоенная норма амортизации, применяемая при Линейном методе, примененная к амортизированной стоимости основных средств на начало периода. Амортизационные отчисления последнего года полезного использования = разница между амортизированной стоимостью на конец предпоследнего года полезного использования и остаточной стоимостью.</t>
  </si>
  <si>
    <t>Вычисленная сумма амортизации последнего года для достижения Остаточной стоимости</t>
  </si>
  <si>
    <t xml:space="preserve">Для пересчета Нормы амортизации по Методу Уменьшающегося баланса в Норму амортизации по Линейному методу: </t>
  </si>
  <si>
    <t>Пересчитанный на Линейный метод размер ежегодной амортизации</t>
  </si>
  <si>
    <t>Специальные формулы</t>
  </si>
  <si>
    <t>Критерии эффективности в денежном выражении</t>
  </si>
  <si>
    <t>Критерии эффективности в процентном выражении</t>
  </si>
  <si>
    <t>Критерии эффективности во временном выражении</t>
  </si>
  <si>
    <r>
      <rPr>
        <b/>
        <sz val="12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</si>
  <si>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Duration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</si>
  <si>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 val="double"/>
        <sz val="11"/>
        <color theme="1"/>
        <rFont val="Calibri"/>
        <family val="2"/>
        <charset val="204"/>
        <scheme val="minor"/>
      </rPr>
      <t>Ставка дисконта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</si>
  <si>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</si>
  <si>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</si>
  <si>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</si>
  <si>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t>Нет функции</t>
  </si>
  <si>
    <t>Дюрация используется для сравнения проектов с одним и тем же NPV, но с разными денежными потоками в каждом периоде. Чем меньше Дюрация, тем более выгоден проект.</t>
  </si>
  <si>
    <t>Дает то же понимание эффективности, что и NPV. Если NPV &gt; 0, DPI &gt; 1.</t>
  </si>
  <si>
    <t>Необходим для ситуации, когда существует более чем одно значение IRR. К тому же, IRR дает чрезмерно оптимистическое ожидание эффективности проекта.</t>
  </si>
  <si>
    <t>1. Игнорируется принцип Стоимости денег во времени
2. Принимается во внимание только "герметичный" проект: начинающийся и заканчивающийся в строгое время и с полностью фиксированным объемом инвестиций                                                                        3. Одинаковый вес присваивается всем доходам во все периоды, что влечет неточность прогнозирования</t>
  </si>
  <si>
    <t>Наиболее вероятное значение NPV</t>
  </si>
  <si>
    <t>Вероятность 68,27%</t>
  </si>
  <si>
    <t>Наи-меньшее</t>
  </si>
  <si>
    <t>Медиан-ное</t>
  </si>
  <si>
    <t>Среднее</t>
  </si>
  <si>
    <t>Наиболь-шее</t>
  </si>
  <si>
    <t>Среднее значение/ Всего за период</t>
  </si>
  <si>
    <t xml:space="preserve"> Дисперсия со случайными значениями ключевых параметров</t>
  </si>
  <si>
    <t>Диспер-сия</t>
  </si>
  <si>
    <t>Стандарт-ное откло-нение</t>
  </si>
  <si>
    <r>
      <t xml:space="preserve">Медиана </t>
    </r>
    <r>
      <rPr>
        <b/>
        <sz val="9"/>
        <color theme="1"/>
        <rFont val="Calibri"/>
        <family val="2"/>
        <charset val="204"/>
        <scheme val="minor"/>
      </rPr>
      <t>(делит массив пополам)</t>
    </r>
  </si>
  <si>
    <t>Анализ чувствительности (Статистические вероятности)</t>
  </si>
  <si>
    <t>Анализ чувствительности (Сценарии)</t>
  </si>
  <si>
    <t>БАЗОВЫЙ (Наиболее вероятный) сценарий</t>
  </si>
  <si>
    <t>Среднее значение</t>
  </si>
  <si>
    <t>Предварительные результаты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</si>
  <si>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поток)</t>
    </r>
  </si>
  <si>
    <t>Анализ чувствительности по отдельным параметрам</t>
  </si>
  <si>
    <t>Изменения дебиторской задолженности</t>
  </si>
  <si>
    <t>Изменения кредиторской задолженности</t>
  </si>
  <si>
    <t>БАЗОВЫЙ сценарий</t>
  </si>
  <si>
    <t>Ключевые параметры, критические для проекта:</t>
  </si>
  <si>
    <r>
      <t xml:space="preserve">Общая сумма средней дебиторской задолженности внутри периода,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</si>
  <si>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единиц</t>
    </r>
  </si>
  <si>
    <r>
      <t xml:space="preserve">Рост продажной цены производимых изделий,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</si>
  <si>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Процентная ставка по займам,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</si>
  <si>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Инфляция всех затрат на производство продукции,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</si>
  <si>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>Общая сумма средней кредиторской задолженности внутри периода,</t>
    </r>
    <r>
      <rPr>
        <sz val="8"/>
        <color theme="1"/>
        <rFont val="Calibri"/>
        <family val="2"/>
        <charset val="204"/>
        <scheme val="minor"/>
      </rPr>
      <t xml:space="preserve"> (USD thous.)</t>
    </r>
  </si>
  <si>
    <t>Уточненный денежный поток за период</t>
  </si>
  <si>
    <t>Наиме-ньший уровень</t>
  </si>
  <si>
    <t>Базо-вый уровень</t>
  </si>
  <si>
    <t>Наибо-льший уровень</t>
  </si>
  <si>
    <t>Ожида-емое значение критерия</t>
  </si>
  <si>
    <r>
      <t xml:space="preserve">Объем производства ВОЗМОЖНЫЕ КОЛЕБАНИЯ, </t>
    </r>
    <r>
      <rPr>
        <b/>
        <sz val="10"/>
        <color theme="0"/>
        <rFont val="Calibri"/>
        <family val="2"/>
        <charset val="204"/>
        <scheme val="minor"/>
      </rPr>
      <t>единиц</t>
    </r>
  </si>
  <si>
    <r>
      <t xml:space="preserve">Инфляция цены реализации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</si>
  <si>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Инфляция расходов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</si>
  <si>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Проценты по займам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</si>
  <si>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Общий объем Дебиторской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</si>
  <si>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r>
      <t xml:space="preserve">Общий объем Кредиторской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</si>
  <si>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t>ПЕССИМИСТИЧЕСКИЙ (Низкий) сценарий</t>
  </si>
  <si>
    <t>ОПТИМИСТИЧЕСКИЙ (Высокий) сценарий</t>
  </si>
  <si>
    <r>
      <t>Вычислено с помощью функции "</t>
    </r>
    <r>
      <rPr>
        <b/>
        <sz val="12"/>
        <color theme="1"/>
        <rFont val="Calibri"/>
        <family val="2"/>
        <charset val="204"/>
        <scheme val="minor"/>
      </rPr>
      <t>ПЛТ"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1"/>
        <color theme="1"/>
        <rFont val="Calibri"/>
        <family val="2"/>
        <charset val="204"/>
        <scheme val="minor"/>
      </rPr>
      <t>"</t>
    </r>
  </si>
  <si>
    <t>Дисконтированная величина полученного аннуитета</t>
  </si>
  <si>
    <t>Произведенные изделия</t>
  </si>
  <si>
    <t>Средний производственный цикл, days/365</t>
  </si>
  <si>
    <t>Среднемесячное потребление расходных материалов, пропорционально произведенной продукции, единиц</t>
  </si>
  <si>
    <t>Средняя себестоимость продукции (переменная), USD thous./единица</t>
  </si>
  <si>
    <t>Среднемесячный остаток запасов на складе, USD thous.</t>
  </si>
  <si>
    <t>Чистый доход от продаж (EBITDA за период)</t>
  </si>
  <si>
    <r>
      <t xml:space="preserve">Коэффициент Текущей ликвидности, </t>
    </r>
    <r>
      <rPr>
        <sz val="16"/>
        <color theme="1"/>
        <rFont val="Calibri"/>
        <family val="2"/>
        <charset val="204"/>
        <scheme val="minor"/>
      </rPr>
      <t>Current Ratio</t>
    </r>
  </si>
  <si>
    <r>
      <t xml:space="preserve">Коэффициент Мгновенной ликвидности, </t>
    </r>
    <r>
      <rPr>
        <sz val="16"/>
        <color theme="1"/>
        <rFont val="Calibri"/>
        <family val="2"/>
        <charset val="204"/>
        <scheme val="minor"/>
      </rPr>
      <t>Cash to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  <scheme val="minor"/>
      </rPr>
      <t>Current Assets</t>
    </r>
  </si>
  <si>
    <r>
      <t xml:space="preserve">Коэффициент Срочной ликвидности, </t>
    </r>
    <r>
      <rPr>
        <sz val="16"/>
        <color theme="1"/>
        <rFont val="Calibri"/>
        <family val="2"/>
        <charset val="204"/>
        <scheme val="minor"/>
      </rPr>
      <t>Acid Test/Quick Ratio</t>
    </r>
  </si>
  <si>
    <t>Специальные формулы для случаев множественных ставок:</t>
  </si>
  <si>
    <r>
      <rPr>
        <b/>
        <sz val="12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</si>
  <si>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</si>
  <si>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Duration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</si>
  <si>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по фиксированной ставке дисконта (с реинвестированием под фиксированную ставку дисконтирования)</t>
    </r>
  </si>
  <si>
    <r>
      <rPr>
        <b/>
        <sz val="12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</si>
  <si>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</si>
  <si>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t>Взвешенная стоимость капитала (WACC)</t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</si>
  <si>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по плавающей ставке дисконта (с реинвестированием под плавающую ставку дисконтирования)</t>
    </r>
  </si>
  <si>
    <r>
      <t xml:space="preserve">MNRR (Modified Net Rate of Return)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Модифицированная Чистая норма доходности
</t>
    </r>
  </si>
  <si>
    <r>
      <t>MNRR</t>
    </r>
    <r>
      <rPr>
        <b/>
        <sz val="20"/>
        <color theme="0"/>
        <rFont val="Calibri"/>
        <family val="2"/>
        <charset val="204"/>
        <scheme val="minor"/>
      </rPr>
      <t xml:space="preserve"> (Modified Net Rate of Return)       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Модифицированная Чистая норма доходности</t>
    </r>
  </si>
  <si>
    <r>
      <t>DPP (Discounted Payback Period).</t>
    </r>
    <r>
      <rPr>
        <sz val="14"/>
        <color theme="1"/>
        <rFont val="Calibri"/>
        <family val="2"/>
        <charset val="204"/>
        <scheme val="minor"/>
      </rPr>
      <t xml:space="preserve"> Дисконтированный период окупаемости.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</si>
  <si>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r>
      <t>PP (Payback Period).</t>
    </r>
    <r>
      <rPr>
        <sz val="14"/>
        <color theme="1"/>
        <rFont val="Calibri"/>
        <family val="2"/>
        <charset val="204"/>
        <scheme val="minor"/>
      </rPr>
      <t xml:space="preserve"> Период окупаемости.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</si>
  <si>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t>Кумулятивный дисконтированный cash flow</t>
  </si>
  <si>
    <t>Кумулятивный ash flow</t>
  </si>
  <si>
    <t>Сравнение Дюраций 2 займов для займодавца</t>
  </si>
  <si>
    <t>Займ №1 с регулярным погашением процентов</t>
  </si>
  <si>
    <t>DCF</t>
  </si>
  <si>
    <t>Займ №1 с погашением процентов в конце срока</t>
  </si>
  <si>
    <r>
      <rPr>
        <b/>
        <sz val="14"/>
        <color theme="1"/>
        <rFont val="Calibri"/>
        <family val="2"/>
        <charset val="204"/>
        <scheme val="minor"/>
      </rPr>
      <t>Дюрация</t>
    </r>
    <r>
      <rPr>
        <sz val="11"/>
        <color theme="1"/>
        <rFont val="Calibri"/>
        <family val="2"/>
        <charset val="204"/>
        <scheme val="minor"/>
      </rPr>
      <t xml:space="preserve"> Займа № 1</t>
    </r>
  </si>
  <si>
    <r>
      <rPr>
        <b/>
        <sz val="14"/>
        <color theme="1"/>
        <rFont val="Calibri"/>
        <family val="2"/>
        <charset val="204"/>
        <scheme val="minor"/>
      </rPr>
      <t>Дюрация</t>
    </r>
    <r>
      <rPr>
        <sz val="11"/>
        <color theme="1"/>
        <rFont val="Calibri"/>
        <family val="2"/>
        <charset val="204"/>
        <scheme val="minor"/>
      </rPr>
      <t xml:space="preserve"> Займа № 2</t>
    </r>
  </si>
  <si>
    <t>http://www.readyratios.com/reference/; http://www.corality.com/tutorials/; http://www.financeformulas.net/</t>
  </si>
  <si>
    <t>Ratio</t>
  </si>
  <si>
    <t>Short</t>
  </si>
  <si>
    <t>Accounts Receivable (Credit) Turnover</t>
  </si>
  <si>
    <r>
      <t xml:space="preserve"> = Net (Credit) Sales / Accounts Receivable : </t>
    </r>
    <r>
      <rPr>
        <b/>
        <i/>
        <sz val="11"/>
        <color theme="1"/>
        <rFont val="Calibri"/>
        <family val="2"/>
        <charset val="204"/>
        <scheme val="minor"/>
      </rPr>
      <t>how quickly credit sales are turned into cash</t>
    </r>
  </si>
  <si>
    <t>Annual Inventory Turnover</t>
  </si>
  <si>
    <t xml:space="preserve"> = COGS for the period / Average Inventory</t>
  </si>
  <si>
    <t>Cash Flow Coverage Ratio</t>
  </si>
  <si>
    <t>CF coverage</t>
  </si>
  <si>
    <t xml:space="preserve"> = Operating Cash Flows / Total Debt</t>
  </si>
  <si>
    <t>Cash Flow Available for Debt Service</t>
  </si>
  <si>
    <t>CFADS</t>
  </si>
  <si>
    <t xml:space="preserve"> = Net Cash Flow - Net Operatnig Cash - Net Investing Cash</t>
  </si>
  <si>
    <t>Cash to Total Assets</t>
  </si>
  <si>
    <t xml:space="preserve"> = Cash / Total Assets</t>
  </si>
  <si>
    <t>Cash Turnover</t>
  </si>
  <si>
    <t xml:space="preserve"> = Net Sales / Net Working Capital</t>
  </si>
  <si>
    <t>Cash Flow Return on Investment</t>
  </si>
  <si>
    <t>CFROI</t>
  </si>
  <si>
    <t xml:space="preserve"> = Cash Flow / Market Value of Capital Employed</t>
  </si>
  <si>
    <t>Capital Employed</t>
  </si>
  <si>
    <t xml:space="preserve"> = Total Assets - Current Liabilities = Equity + Non-current Liabilities</t>
  </si>
  <si>
    <t>Collection Period</t>
  </si>
  <si>
    <r>
      <t xml:space="preserve"> = 365 / Accounts Receivable Turnover : </t>
    </r>
    <r>
      <rPr>
        <b/>
        <i/>
        <sz val="11"/>
        <color theme="1"/>
        <rFont val="Calibri"/>
        <family val="2"/>
        <charset val="204"/>
        <scheme val="minor"/>
      </rPr>
      <t>how many days it takes to get cash from credit sales</t>
    </r>
  </si>
  <si>
    <t>Cost of Sales to Payables</t>
  </si>
  <si>
    <t xml:space="preserve"> = Cost of Sales / Trade Payables</t>
  </si>
  <si>
    <t>CROCI (Cash Return on Capital Invested)</t>
  </si>
  <si>
    <t>CROCI</t>
  </si>
  <si>
    <t xml:space="preserve"> = EBITDA/Capital invested</t>
  </si>
  <si>
    <t>Current Ratio = Working capital Ratio</t>
  </si>
  <si>
    <t>Current Ratio</t>
  </si>
  <si>
    <t xml:space="preserve"> = Current Assets / Current Liabilities</t>
  </si>
  <si>
    <t>Days payables Ratio</t>
  </si>
  <si>
    <t xml:space="preserve"> = 365 / Cost of Sales to Payables Ratio</t>
  </si>
  <si>
    <t>Days receivables Ratio</t>
  </si>
  <si>
    <t xml:space="preserve"> = 365 / Sales to Receivables Ratio</t>
  </si>
  <si>
    <t>Debt Ratio</t>
  </si>
  <si>
    <t xml:space="preserve"> = Debt / Total Assets</t>
  </si>
  <si>
    <t>Debt to Equity Ratio</t>
  </si>
  <si>
    <t xml:space="preserve"> = Debt / Owner's Equity</t>
  </si>
  <si>
    <t>Dividend Yield</t>
  </si>
  <si>
    <t xml:space="preserve"> = Dividend paid per share / Share price</t>
  </si>
  <si>
    <t>Dividend Payout Ratio</t>
  </si>
  <si>
    <t>Payout Ratio</t>
  </si>
  <si>
    <t xml:space="preserve"> = Total Dividends / Total Net Earnings</t>
  </si>
  <si>
    <t>Earnings Before Interest and After Taxes (EBIAT)</t>
  </si>
  <si>
    <t>EBIAT</t>
  </si>
  <si>
    <t xml:space="preserve"> = EBIT * (1 - Tax rate) = Revenue - Operating Expenses + Non-Operating Expenses</t>
  </si>
  <si>
    <t>Earnings Before Interest and Taxes (EBIT)</t>
  </si>
  <si>
    <t>EBIT</t>
  </si>
  <si>
    <t xml:space="preserve"> = Profit (loss)* + Finance costs + Income tax expense* (*from continuing operations)</t>
  </si>
  <si>
    <t>Earnings Before Interest, Taxes, Depreciation and Amortization (EBITDA)</t>
  </si>
  <si>
    <t>EBITDA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</si>
  <si>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amortization)</t>
    </r>
  </si>
  <si>
    <t>Earnings Before Interest, Taxes, Depreciation, Amortization, Rent (EBITDAR)</t>
  </si>
  <si>
    <t>EBITDAR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</si>
  <si>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amortization, rent)</t>
    </r>
  </si>
  <si>
    <t>Earnings Before Interest, Taxes, Depreciation, Amortization, Rent and Management Fees (EBITDARM)</t>
  </si>
  <si>
    <t>EBITDARM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</si>
  <si>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amortization, rent &amp; management fees)</t>
    </r>
  </si>
  <si>
    <t>Earnings Before Taxes (EBT)</t>
  </si>
  <si>
    <t>EBT</t>
  </si>
  <si>
    <r>
      <t xml:space="preserve"> = Revenue - Expenses (excluding tax) = EBIT - Interest cost: </t>
    </r>
    <r>
      <rPr>
        <b/>
        <i/>
        <sz val="11"/>
        <color theme="1"/>
        <rFont val="Calibri"/>
        <family val="2"/>
        <charset val="204"/>
        <scheme val="minor"/>
      </rPr>
      <t>in order to exclude all specific entries sourced in various taxation systems</t>
    </r>
  </si>
  <si>
    <t>Earnings Retention Ratio (Plowback Ratio)</t>
  </si>
  <si>
    <t>Earning Retention</t>
  </si>
  <si>
    <t xml:space="preserve"> = Plowed back gross profits / total gross profits = Total Gross Profits – Payout ratio = (Total Net Profit / Number of Total share) - (Dividend / Share)</t>
  </si>
  <si>
    <t>EPS (earnings per share)</t>
  </si>
  <si>
    <t>EPS</t>
  </si>
  <si>
    <t>EVA (Economic Value Added)</t>
  </si>
  <si>
    <t>EVA</t>
  </si>
  <si>
    <r>
      <t xml:space="preserve"> = Net Operating Profit After Taxes (NOPAT) - (Capital * Cost of Capital)  = (Rate of Return - Cost of Capital) x Capital: </t>
    </r>
    <r>
      <rPr>
        <b/>
        <i/>
        <sz val="11"/>
        <color theme="1"/>
        <rFont val="Calibri"/>
        <family val="2"/>
        <charset val="204"/>
        <scheme val="minor"/>
      </rPr>
      <t>EVA includes into calculation of total capital invested also the leasing liabilities.</t>
    </r>
  </si>
  <si>
    <t>EVA Margin (Economic Value Added on Sales)</t>
  </si>
  <si>
    <t>EVA Margin</t>
  </si>
  <si>
    <t xml:space="preserve"> = EVA / Sales</t>
  </si>
  <si>
    <t>EVA Momentum growth rate</t>
  </si>
  <si>
    <t>EVA Momentum</t>
  </si>
  <si>
    <t xml:space="preserve"> = ∆EVA/ Trailing (Last Year) Sales</t>
  </si>
  <si>
    <t>Free Cash Flow to the Firm</t>
  </si>
  <si>
    <t>FCFF</t>
  </si>
  <si>
    <t xml:space="preserve"> = EBIT * (1-Tax Rate) + Depreciation &amp; Amortization - Change in Net Working Capital - Capital Expenditure = Operating Cash - Cap Expenditures</t>
  </si>
  <si>
    <t>Free Cash Flow to Equity</t>
  </si>
  <si>
    <t>FCFE</t>
  </si>
  <si>
    <t xml:space="preserve"> = Net income + Depreciation &amp; Amortization - Change in Net Working Capital - Capital Expenditure + Net Borrowing (no interest included) = FCFF - Interest paid *(1 - Tax) + Increase in Debt</t>
  </si>
  <si>
    <t>Free Cash Flow to Operating Cash</t>
  </si>
  <si>
    <t xml:space="preserve"> = Free Cash Flow / Operating Cash Flow</t>
  </si>
  <si>
    <t>Fixed to Worth Ratio</t>
  </si>
  <si>
    <t xml:space="preserve"> = Net Fixed Assets / Tangible Net Worth</t>
  </si>
  <si>
    <t>Gross profit margin (Gross Margin)</t>
  </si>
  <si>
    <t>Gross Margin</t>
  </si>
  <si>
    <t xml:space="preserve"> = Gross profit / Revenue </t>
  </si>
  <si>
    <t>Interest Coverage</t>
  </si>
  <si>
    <t xml:space="preserve"> = EBIT / Interest Expense</t>
  </si>
  <si>
    <t>Interest Tax Shield</t>
  </si>
  <si>
    <t>Tax Shield</t>
  </si>
  <si>
    <t xml:space="preserve"> = Interest Paid * Effective Tax Rate: Gives an amount of tax reduction due to interest subtract from taxable income</t>
  </si>
  <si>
    <t>Inventory Holding Period</t>
  </si>
  <si>
    <t xml:space="preserve"> = 365 / Annual Inventory Turnover</t>
  </si>
  <si>
    <t>Inventory to Assets Ratio</t>
  </si>
  <si>
    <t xml:space="preserve"> = Inventory / Total Assets</t>
  </si>
  <si>
    <t>Investments Turnover</t>
  </si>
  <si>
    <t xml:space="preserve"> = Net Sales / Total Assets</t>
  </si>
  <si>
    <t>MIM (Market-Implied Momentum)</t>
  </si>
  <si>
    <t>MIM</t>
  </si>
  <si>
    <t xml:space="preserve"> = EVA Momentum growth rate backed to Company's share price</t>
  </si>
  <si>
    <t>MVA (Market-Value Added) for all investors</t>
  </si>
  <si>
    <t>MVA</t>
  </si>
  <si>
    <t xml:space="preserve"> = Market Capitalization - Shareholders' Equity Book Value + Market Value of Debt - Book Value of Debt</t>
  </si>
  <si>
    <t>MVA (Market-Value Added) for Shareholders</t>
  </si>
  <si>
    <t xml:space="preserve"> = Market Capitalization - Shareholders' Equity Book Value. MVA = PV(EVAs) [present value of future flow of EVAs]</t>
  </si>
  <si>
    <t>Net Interest Margin</t>
  </si>
  <si>
    <r>
      <t xml:space="preserve"> = (Investment Returns – Interest Expenses) / Average Earning Assets: </t>
    </r>
    <r>
      <rPr>
        <b/>
        <i/>
        <sz val="11"/>
        <color theme="1"/>
        <rFont val="Calibri"/>
        <family val="2"/>
        <charset val="204"/>
        <scheme val="minor"/>
      </rPr>
      <t>the measure of the quality of company's investment decisions compare to its debt situation</t>
    </r>
  </si>
  <si>
    <t>Net profit margin</t>
  </si>
  <si>
    <t>Net Profit margin</t>
  </si>
  <si>
    <t xml:space="preserve"> = Profit (after tax) / Revenue </t>
  </si>
  <si>
    <t>Non-current assets to Net Worth</t>
  </si>
  <si>
    <t xml:space="preserve"> = Non-current assets / Net Worth</t>
  </si>
  <si>
    <t>NOPLAT (NOPAT) - Net Operating Profit Less Adjusted Taxes, Net Operating Profit After Tax</t>
  </si>
  <si>
    <t>NOPLAT</t>
  </si>
  <si>
    <t xml:space="preserve"> = After-tax operating profit + Interest paid * (1 - tax rate) = Operating Income x (1 – tax rate)</t>
  </si>
  <si>
    <t>NOPAT</t>
  </si>
  <si>
    <t>OIBDA (Operating Income Before Depreciation and EBITDA)</t>
  </si>
  <si>
    <t>OIBDA</t>
  </si>
  <si>
    <r>
      <t xml:space="preserve"> = Operating income + Depreciation + Amortization:</t>
    </r>
    <r>
      <rPr>
        <b/>
        <i/>
        <sz val="11"/>
        <color theme="1"/>
        <rFont val="Calibri"/>
        <family val="2"/>
        <charset val="204"/>
        <scheme val="minor"/>
      </rPr>
      <t xml:space="preserve"> the picture of company's core business operations results</t>
    </r>
  </si>
  <si>
    <t>Operating Expense Ratio (OER)</t>
  </si>
  <si>
    <t>OER</t>
  </si>
  <si>
    <r>
      <t xml:space="preserve"> = Operating Expenses / Effective Gross Income: </t>
    </r>
    <r>
      <rPr>
        <b/>
        <i/>
        <sz val="11"/>
        <color theme="1"/>
        <rFont val="Calibri"/>
        <family val="2"/>
        <charset val="204"/>
        <scheme val="minor"/>
      </rPr>
      <t>Linked to Real Estate</t>
    </r>
  </si>
  <si>
    <t>Overhead ratio</t>
  </si>
  <si>
    <t xml:space="preserve"> = Operating Expenses / (Taxable net interest income + Operating income)</t>
  </si>
  <si>
    <t>Profit Volume Ratio</t>
  </si>
  <si>
    <t>Profit Volume</t>
  </si>
  <si>
    <t xml:space="preserve"> = (Shareholders contribution / Sales) * 100 : the measure of the investment efficiency</t>
  </si>
  <si>
    <t>Quick Ratio (Acid Test)</t>
  </si>
  <si>
    <t>Acid Test</t>
  </si>
  <si>
    <t xml:space="preserve"> = Quick Assets (cash, marketable securities, and receivables) / Current Liabilities</t>
  </si>
  <si>
    <t>Relative return</t>
  </si>
  <si>
    <t>Relative Return</t>
  </si>
  <si>
    <t xml:space="preserve"> - Comparison of all Return Ratios with the benchmark entities</t>
  </si>
  <si>
    <t>Revenue per Employee</t>
  </si>
  <si>
    <t xml:space="preserve"> = Sales Revenue / Number of Employees</t>
  </si>
  <si>
    <t>ROA (Return on Assets)</t>
  </si>
  <si>
    <t>ROA</t>
  </si>
  <si>
    <t xml:space="preserve"> = Net Income after tax / Total assets (or Average Total assets)</t>
  </si>
  <si>
    <t>ROAA (Return on Average Assets)</t>
  </si>
  <si>
    <t>ROAA</t>
  </si>
  <si>
    <t xml:space="preserve"> = Net Income / Total Average assets</t>
  </si>
  <si>
    <t>ROACE (Return on Average Capital Employed)</t>
  </si>
  <si>
    <t>ROACE</t>
  </si>
  <si>
    <r>
      <t xml:space="preserve"> = EBIT / (Average Total Assets - Average Current Liabilities). </t>
    </r>
    <r>
      <rPr>
        <b/>
        <i/>
        <sz val="11"/>
        <color theme="1"/>
        <rFont val="Calibri"/>
        <family val="2"/>
        <charset val="204"/>
        <scheme val="minor"/>
      </rPr>
      <t>Capital Employed = Total Assets – Current Liabilities = Equity + Non-current Liabilities</t>
    </r>
  </si>
  <si>
    <t>ROAE (Return on Average Equity)</t>
  </si>
  <si>
    <t>ROAE</t>
  </si>
  <si>
    <t xml:space="preserve"> = Net Income / Avg Stockholders' Equity</t>
  </si>
  <si>
    <t>ROC (Return on Capital)</t>
  </si>
  <si>
    <t>ROC</t>
  </si>
  <si>
    <r>
      <t xml:space="preserve"> = NOPLAT / Book-value of invested capital = (Operating Income - Adjusted Taxes) / (BookVal Debt + BookVal Equity - Cash) : </t>
    </r>
    <r>
      <rPr>
        <b/>
        <i/>
        <sz val="11"/>
        <color theme="1"/>
        <rFont val="Calibri"/>
        <family val="2"/>
        <charset val="204"/>
        <scheme val="minor"/>
      </rPr>
      <t>Differs from ROIC = NOPLAT / Invested Capital</t>
    </r>
  </si>
  <si>
    <t>ROCE (Return on Capital Employed)</t>
  </si>
  <si>
    <t>ROCE</t>
  </si>
  <si>
    <t xml:space="preserve"> = EBIT / Capital Employed = EBIT / (Equity + Non-current Liabilities) = EBIT / (Total Assets - Current Liabilities)</t>
  </si>
  <si>
    <t>ROD (Return on Debt)</t>
  </si>
  <si>
    <t>ROD</t>
  </si>
  <si>
    <t xml:space="preserve"> = Net Profit / Long-term liabilities</t>
  </si>
  <si>
    <t>ROE (Return on Equity)</t>
  </si>
  <si>
    <t>ROE</t>
  </si>
  <si>
    <t xml:space="preserve"> = Net income after tax / Shareholder's equity = Net income after tax / Average shareholder's equity</t>
  </si>
  <si>
    <t>ROE (Return on Equity) Du Pont formula</t>
  </si>
  <si>
    <t>ROE Du Pont</t>
  </si>
  <si>
    <t xml:space="preserve"> = (Net profit / Revenue) * (Revenue / Total assets) * (Total assets / Equity) = Net profit margin * Asset Turnover * Financial leverage</t>
  </si>
  <si>
    <t>ROI (Return on Investment)</t>
  </si>
  <si>
    <t>ROI</t>
  </si>
  <si>
    <t xml:space="preserve"> = (Gains from Investment – Cost of Investment) / Cost of Investment = Net profit after interest and tax / Total Assets</t>
  </si>
  <si>
    <t>ROIC (Return on Invested Capital)</t>
  </si>
  <si>
    <t>ROIC</t>
  </si>
  <si>
    <t xml:space="preserve"> = Net operating profit after tax (NOPAT) / Capital Investment = (Net Income - Dividends) / Capital Investment</t>
  </si>
  <si>
    <t>ROMI (Return on Marketing Investments)</t>
  </si>
  <si>
    <t>ROMI</t>
  </si>
  <si>
    <t xml:space="preserve"> = (NPV of projected cash flow - NPV of marketing investments) / NPV of marketing investments</t>
  </si>
  <si>
    <t>RONA (Return on Net Assets)</t>
  </si>
  <si>
    <t>RONA</t>
  </si>
  <si>
    <t xml:space="preserve"> = Net Income / (Fixed Assets + Net Working Capital)</t>
  </si>
  <si>
    <t>ROR (Return on Revenue)</t>
  </si>
  <si>
    <t>ROR</t>
  </si>
  <si>
    <t xml:space="preserve"> = Net Income / Revenue</t>
  </si>
  <si>
    <t>RORC (Return on Research Capital)</t>
  </si>
  <si>
    <t>RORC</t>
  </si>
  <si>
    <t xml:space="preserve"> = Current Year Gross Profit / Previous Year R&amp;D Expenditures</t>
  </si>
  <si>
    <t>RORE (Return on Retained Earnings)</t>
  </si>
  <si>
    <t>RORE</t>
  </si>
  <si>
    <r>
      <t xml:space="preserve"> = Retained Earnings / Net Profit :</t>
    </r>
    <r>
      <rPr>
        <b/>
        <i/>
        <sz val="11"/>
        <color theme="1"/>
        <rFont val="Calibri"/>
        <family val="2"/>
        <charset val="204"/>
        <scheme val="minor"/>
      </rPr>
      <t xml:space="preserve"> the measure of company's equilibrium between profitability and liquidity</t>
    </r>
  </si>
  <si>
    <t>ROS (Return on sales, Operating margin)</t>
  </si>
  <si>
    <t>ROS</t>
  </si>
  <si>
    <t xml:space="preserve"> = EBIT / Revenue</t>
  </si>
  <si>
    <t>Sales to Receivables (Receivables Turnover Ratio)</t>
  </si>
  <si>
    <t>Receivables Turnover Ratio</t>
  </si>
  <si>
    <t xml:space="preserve"> = Net Sales / Accounts Receivable</t>
  </si>
  <si>
    <t>Accounting Profitability Ratios</t>
  </si>
  <si>
    <t>Profitability or Return on Investment Ratios</t>
  </si>
  <si>
    <t>EVA-based Ratios</t>
  </si>
  <si>
    <t>Liquidity Ratios</t>
  </si>
  <si>
    <t>Leverage Ratios</t>
  </si>
  <si>
    <t>Efficiency Ratios</t>
  </si>
  <si>
    <t>Критерии эффективности, основанные на бухгалтерском подходе</t>
  </si>
  <si>
    <t>Определение по-русски</t>
  </si>
  <si>
    <t>Русский термин</t>
  </si>
  <si>
    <t>Excel Формула</t>
  </si>
  <si>
    <t>Показатели эффективности, основанные на экономическом подходе</t>
  </si>
  <si>
    <t>Комментарии</t>
  </si>
  <si>
    <t>Формула</t>
  </si>
  <si>
    <r>
      <t>Entity Profitability Ratios</t>
    </r>
    <r>
      <rPr>
        <b/>
        <sz val="18"/>
        <color theme="1"/>
        <rFont val="Calibri"/>
        <family val="2"/>
        <charset val="204"/>
        <scheme val="minor"/>
      </rPr>
      <t xml:space="preserve"> (adjusted cash flow)</t>
    </r>
  </si>
  <si>
    <r>
      <t xml:space="preserve">Same data as it was before with new breakdowns </t>
    </r>
    <r>
      <rPr>
        <b/>
        <sz val="12"/>
        <color theme="1"/>
        <rFont val="Calibri"/>
        <family val="2"/>
        <charset val="204"/>
        <scheme val="minor"/>
      </rPr>
      <t>(marked grey)</t>
    </r>
  </si>
  <si>
    <t>Rate</t>
  </si>
  <si>
    <t>Number of periods reffered to project</t>
  </si>
  <si>
    <t>Investment</t>
  </si>
  <si>
    <t>Enterprise development</t>
  </si>
  <si>
    <t>Units produced within the period</t>
  </si>
  <si>
    <t>Inflation on selling price of produced units, % p.a.</t>
  </si>
  <si>
    <t>Price of 1 unit</t>
  </si>
  <si>
    <t>Revenues = Sales = Sales Proceeds</t>
  </si>
  <si>
    <t>Inflation on all expenses of produced units, % p.a.</t>
  </si>
  <si>
    <t>TOTAL Variable costs (COGS = Cost of good sold)</t>
  </si>
  <si>
    <t>Cost of 1 unit, variable</t>
  </si>
  <si>
    <t>Cost of 1 unit, variable + fixed</t>
  </si>
  <si>
    <t>Number of employees, pers.</t>
  </si>
  <si>
    <t>Gross Profit</t>
  </si>
  <si>
    <r>
      <t>Loans obtained (</t>
    </r>
    <r>
      <rPr>
        <b/>
        <sz val="11"/>
        <color theme="1"/>
        <rFont val="Calibri"/>
        <family val="2"/>
        <charset val="204"/>
        <scheme val="minor"/>
      </rPr>
      <t>intra-year, totally repaid at 31/12, term of using 360 days</t>
    </r>
    <r>
      <rPr>
        <sz val="11"/>
        <color theme="1"/>
        <rFont val="Calibri"/>
        <family val="2"/>
        <charset val="204"/>
        <scheme val="minor"/>
      </rPr>
      <t>)</t>
    </r>
  </si>
  <si>
    <t>Are included here to calculate some ratios</t>
  </si>
  <si>
    <t>Loans repaid</t>
  </si>
  <si>
    <t>Interest rate on loans, % p.a.</t>
  </si>
  <si>
    <t>TOTAL Fixed costs (SG&amp;A = Selling, General &amp; Administrative Expenses), incl.:</t>
  </si>
  <si>
    <t>Rental costs</t>
  </si>
  <si>
    <t>Salaries</t>
  </si>
  <si>
    <t>Management fees</t>
  </si>
  <si>
    <t>Maintenance costs + Property taxes, incl:</t>
  </si>
  <si>
    <t>Property taxes</t>
  </si>
  <si>
    <t>Total operating costs</t>
  </si>
  <si>
    <t>Earnings before interest, tax and depreciation (OIBDA)</t>
  </si>
  <si>
    <t>Non-operating income/expense related to production</t>
  </si>
  <si>
    <t>Earnings before interest, tax, depreciation &amp; amortization (EBITDA)</t>
  </si>
  <si>
    <t>Depreciation &amp; Amortization</t>
  </si>
  <si>
    <t>Operating income</t>
  </si>
  <si>
    <t>Non-operating income/expense not related to production</t>
  </si>
  <si>
    <t>Earnings before interest &amp; tax (EBIT)</t>
  </si>
  <si>
    <t>Financial income</t>
  </si>
  <si>
    <t>Financial expense = Interest paid</t>
  </si>
  <si>
    <t>Earnings before tax (EBT)</t>
  </si>
  <si>
    <t>Tax paid</t>
  </si>
  <si>
    <t>Net profit for the period = Net Income</t>
  </si>
  <si>
    <t>Dividends accrued but not repaid (25% of net profit)</t>
  </si>
  <si>
    <t>Estimated growth rate (entire economy)</t>
  </si>
  <si>
    <t>EBITDA growth y-o-y</t>
  </si>
  <si>
    <t>EBIT growth y-o-y</t>
  </si>
  <si>
    <t>Net profit growth y-o-y</t>
  </si>
  <si>
    <t>Adjusted Cash Flow</t>
  </si>
  <si>
    <t>Cash, BoP (Beginning of period)</t>
  </si>
  <si>
    <t>Cash inflow</t>
  </si>
  <si>
    <t>Cash outflow</t>
  </si>
  <si>
    <t>Cash flow for the period</t>
  </si>
  <si>
    <t>Cash, EoP (End of period)</t>
  </si>
  <si>
    <t>Cumulative cash flow</t>
  </si>
  <si>
    <t>Operating Cash Flow (Net Operating Cash)</t>
  </si>
  <si>
    <t>Operating InFlow</t>
  </si>
  <si>
    <t>Operating OutFlow</t>
  </si>
  <si>
    <t>Financing Cash Flow (Net Financing Cash)</t>
  </si>
  <si>
    <t>Financial InFlow</t>
  </si>
  <si>
    <t>Financial OutFlow</t>
  </si>
  <si>
    <t>Investing Cash Flow (Net Investing Cash)</t>
  </si>
  <si>
    <t>Investing InFlow</t>
  </si>
  <si>
    <t>Investing OutFlow</t>
  </si>
  <si>
    <t>Property, plant, equipment (PP&amp;E)</t>
  </si>
  <si>
    <t>Shareholders' equity (Net worth)</t>
  </si>
  <si>
    <t>Operating Income</t>
  </si>
  <si>
    <t>OI</t>
  </si>
  <si>
    <t>Net profit = Net income after tax</t>
  </si>
  <si>
    <t>Net income</t>
  </si>
  <si>
    <t>Dividend Yield (Non-Market)</t>
  </si>
  <si>
    <t>Yield</t>
  </si>
  <si>
    <t>Economic Profitability Ratios</t>
  </si>
  <si>
    <t>Average for the period</t>
  </si>
  <si>
    <t>WACC (Weighted Average Cost of Capital)</t>
  </si>
  <si>
    <t>WACC</t>
  </si>
  <si>
    <t>Shore-term loans are assumed as long-term</t>
  </si>
  <si>
    <t>Equal to ROAE due to constant equity within the period</t>
  </si>
  <si>
    <t>Second formula for ROE calculation</t>
  </si>
  <si>
    <t>Related to only invested, NOT earned, equity</t>
  </si>
  <si>
    <t>No entries in the Case</t>
  </si>
  <si>
    <t>Gross Margin (GM)</t>
  </si>
  <si>
    <t>Related to income generated by building and its maintenance + property taxes</t>
  </si>
  <si>
    <t>Cash Flow Return on Investment (Non-market)</t>
  </si>
  <si>
    <t>EROE (Economic Return on Equity)</t>
  </si>
  <si>
    <t>EROE</t>
  </si>
  <si>
    <t>EROA (Economic Return on Assets)</t>
  </si>
  <si>
    <t>EROA</t>
  </si>
  <si>
    <t>MVA (Market Value Added)</t>
  </si>
  <si>
    <t>Sales to Receivables</t>
  </si>
  <si>
    <t>Earnings Retention Ratio (Non-Market, if paid)</t>
  </si>
  <si>
    <t>Earnings Retention Ratio</t>
  </si>
  <si>
    <t>FCF to Operating Cash</t>
  </si>
  <si>
    <t>Debt Ratios</t>
  </si>
  <si>
    <t>Accounts Receivable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</si>
</sst>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_ ;[Red]\-#,##0.00\ "/>
    <numFmt numFmtId="165" formatCode="#,##0.0000"/>
    <numFmt numFmtId="166" formatCode="0.0000%"/>
    <numFmt numFmtId="167" formatCode="#,##0_ ;[Red]\-#,##0\ "/>
    <numFmt numFmtId="168" formatCode="#,##0.0000_р_.;[Red]\-#,##0.0000_р_."/>
    <numFmt numFmtId="169" formatCode="#,##0.000"/>
    <numFmt numFmtId="170" formatCode="#,##0.000_р_.;[Red]\-#,##0.000_р_."/>
    <numFmt numFmtId="171" formatCode="0.000%"/>
    <numFmt numFmtId="172" formatCode="#,##0.00000"/>
    <numFmt numFmtId="173" formatCode="#,##0.000000"/>
    <numFmt numFmtId="174" formatCode="_-* #,##0.00_р_._-;\-* #,##0.00_р_._-;_-* &quot;-&quot;??_р_._-;_-@_-"/>
  </numFmts>
  <fonts count="5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i/>
      <u/>
      <sz val="14"/>
      <color rgb="FF00B05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24"/>
      <color rgb="FFFFFF00"/>
      <name val="Calibri"/>
      <family val="2"/>
      <charset val="204"/>
      <scheme val="minor"/>
    </font>
    <font>
      <b/>
      <sz val="20"/>
      <color rgb="FFFFFF0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24"/>
      <color rgb="FFFFFF00"/>
      <name val="Calibri"/>
      <family val="2"/>
      <charset val="204"/>
      <scheme val="minor"/>
    </font>
    <font>
      <sz val="14"/>
      <color rgb="FFFFFF00"/>
      <name val="Calibri"/>
      <family val="2"/>
      <charset val="204"/>
      <scheme val="minor"/>
    </font>
    <font>
      <sz val="20"/>
      <color rgb="FFFFFF00"/>
      <name val="Calibri"/>
      <family val="2"/>
      <charset val="204"/>
      <scheme val="minor"/>
    </font>
    <font>
      <sz val="18"/>
      <color rgb="FFFFFF00"/>
      <name val="Calibri"/>
      <family val="2"/>
      <charset val="204"/>
      <scheme val="minor"/>
    </font>
    <font>
      <b/>
      <sz val="18"/>
      <color rgb="FFFFFF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u val="double"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75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8F4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" fillId="0" borderId="0" applyFont="0" applyFill="0" applyBorder="0" applyAlignment="0" applyProtection="0"/>
  </cellStyleXfs>
  <cellXfs count="382">
    <xf numFmtId="0" fontId="0" fillId="0" borderId="0" xfId="0"/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38" fontId="7" fillId="0" borderId="1" xfId="0" applyNumberFormat="1" applyFont="1" applyBorder="1" applyAlignment="1">
      <alignment vertical="center"/>
    </xf>
    <xf numFmtId="9" fontId="4" fillId="0" borderId="0" xfId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0" fontId="7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0" fontId="7" fillId="0" borderId="0" xfId="0" applyNumberFormat="1" applyFont="1" applyBorder="1" applyAlignment="1">
      <alignment vertical="center"/>
    </xf>
    <xf numFmtId="10" fontId="12" fillId="0" borderId="0" xfId="1" applyNumberFormat="1" applyFont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0" fontId="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166" fontId="7" fillId="0" borderId="0" xfId="1" applyNumberFormat="1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vertical="center"/>
    </xf>
    <xf numFmtId="3" fontId="10" fillId="0" borderId="0" xfId="0" applyNumberFormat="1" applyFont="1" applyAlignment="1">
      <alignment horizontal="left" vertical="center"/>
    </xf>
    <xf numFmtId="3" fontId="0" fillId="5" borderId="0" xfId="0" applyNumberFormat="1" applyFill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horizontal="center" vertical="center" wrapText="1"/>
    </xf>
    <xf numFmtId="3" fontId="14" fillId="7" borderId="0" xfId="0" applyNumberFormat="1" applyFont="1" applyFill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3" fontId="20" fillId="0" borderId="0" xfId="2" applyNumberFormat="1" applyAlignment="1">
      <alignment vertical="center"/>
    </xf>
    <xf numFmtId="3" fontId="3" fillId="5" borderId="0" xfId="0" applyNumberFormat="1" applyFont="1" applyFill="1" applyAlignment="1">
      <alignment vertical="center" wrapText="1"/>
    </xf>
    <xf numFmtId="38" fontId="0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8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4" fontId="10" fillId="0" borderId="0" xfId="0" applyNumberFormat="1" applyFont="1" applyAlignment="1">
      <alignment horizontal="center" vertical="center" wrapText="1"/>
    </xf>
    <xf numFmtId="170" fontId="7" fillId="0" borderId="1" xfId="0" applyNumberFormat="1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38" fontId="7" fillId="0" borderId="6" xfId="0" applyNumberFormat="1" applyFont="1" applyBorder="1" applyAlignment="1">
      <alignment vertical="center"/>
    </xf>
    <xf numFmtId="40" fontId="7" fillId="0" borderId="6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23" fillId="0" borderId="0" xfId="0" applyFont="1" applyAlignment="1">
      <alignment horizontal="left" vertical="center" indent="10"/>
    </xf>
    <xf numFmtId="0" fontId="23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2" applyAlignment="1">
      <alignment vertical="center" wrapText="1"/>
    </xf>
    <xf numFmtId="167" fontId="1" fillId="0" borderId="0" xfId="0" applyNumberFormat="1" applyFont="1" applyAlignment="1">
      <alignment vertical="center"/>
    </xf>
    <xf numFmtId="171" fontId="7" fillId="0" borderId="1" xfId="1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9" fontId="0" fillId="0" borderId="0" xfId="0" applyNumberFormat="1" applyFill="1" applyAlignment="1">
      <alignment vertical="center"/>
    </xf>
    <xf numFmtId="38" fontId="7" fillId="4" borderId="1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40" fontId="7" fillId="4" borderId="1" xfId="0" applyNumberFormat="1" applyFont="1" applyFill="1" applyBorder="1" applyAlignment="1">
      <alignment vertical="center"/>
    </xf>
    <xf numFmtId="166" fontId="7" fillId="4" borderId="6" xfId="1" applyNumberFormat="1" applyFont="1" applyFill="1" applyBorder="1" applyAlignment="1">
      <alignment vertical="center"/>
    </xf>
    <xf numFmtId="170" fontId="7" fillId="4" borderId="1" xfId="0" applyNumberFormat="1" applyFont="1" applyFill="1" applyBorder="1" applyAlignment="1">
      <alignment vertical="center"/>
    </xf>
    <xf numFmtId="168" fontId="7" fillId="4" borderId="1" xfId="0" applyNumberFormat="1" applyFont="1" applyFill="1" applyBorder="1" applyAlignment="1">
      <alignment vertical="center"/>
    </xf>
    <xf numFmtId="10" fontId="7" fillId="4" borderId="1" xfId="1" applyNumberFormat="1" applyFont="1" applyFill="1" applyBorder="1" applyAlignment="1">
      <alignment vertical="center"/>
    </xf>
    <xf numFmtId="171" fontId="7" fillId="4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0" fontId="7" fillId="4" borderId="6" xfId="1" applyNumberFormat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3" fontId="14" fillId="7" borderId="0" xfId="0" applyNumberFormat="1" applyFont="1" applyFill="1" applyAlignment="1">
      <alignment horizontal="center" vertical="center" wrapText="1"/>
    </xf>
    <xf numFmtId="170" fontId="7" fillId="0" borderId="0" xfId="0" applyNumberFormat="1" applyFont="1" applyBorder="1" applyAlignment="1">
      <alignment vertical="center"/>
    </xf>
    <xf numFmtId="40" fontId="7" fillId="0" borderId="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3" fontId="5" fillId="5" borderId="0" xfId="0" applyNumberFormat="1" applyFont="1" applyFill="1" applyAlignment="1">
      <alignment vertical="center"/>
    </xf>
    <xf numFmtId="38" fontId="5" fillId="5" borderId="0" xfId="0" applyNumberFormat="1" applyFont="1" applyFill="1" applyAlignment="1">
      <alignment vertical="center"/>
    </xf>
    <xf numFmtId="10" fontId="5" fillId="5" borderId="0" xfId="0" applyNumberFormat="1" applyFont="1" applyFill="1" applyAlignment="1">
      <alignment vertical="center"/>
    </xf>
    <xf numFmtId="38" fontId="6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38" fontId="0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 wrapText="1"/>
    </xf>
    <xf numFmtId="9" fontId="4" fillId="5" borderId="0" xfId="1" applyFont="1" applyFill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38" fontId="0" fillId="5" borderId="0" xfId="0" applyNumberFormat="1" applyFill="1" applyAlignment="1">
      <alignment vertical="center"/>
    </xf>
    <xf numFmtId="38" fontId="4" fillId="5" borderId="1" xfId="0" applyNumberFormat="1" applyFont="1" applyFill="1" applyBorder="1" applyAlignment="1">
      <alignment vertical="center"/>
    </xf>
    <xf numFmtId="9" fontId="4" fillId="0" borderId="0" xfId="1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0" fontId="0" fillId="5" borderId="0" xfId="0" applyNumberFormat="1" applyFill="1" applyAlignment="1">
      <alignment vertical="center"/>
    </xf>
    <xf numFmtId="3" fontId="1" fillId="12" borderId="0" xfId="0" applyNumberFormat="1" applyFont="1" applyFill="1" applyAlignment="1">
      <alignment vertical="center"/>
    </xf>
    <xf numFmtId="9" fontId="4" fillId="12" borderId="0" xfId="1" applyFont="1" applyFill="1" applyAlignment="1">
      <alignment horizontal="center" vertical="center"/>
    </xf>
    <xf numFmtId="165" fontId="0" fillId="12" borderId="0" xfId="0" applyNumberFormat="1" applyFill="1" applyAlignment="1">
      <alignment vertical="center"/>
    </xf>
    <xf numFmtId="3" fontId="0" fillId="12" borderId="0" xfId="0" applyNumberFormat="1" applyFill="1" applyAlignment="1">
      <alignment vertical="center"/>
    </xf>
    <xf numFmtId="38" fontId="4" fillId="12" borderId="0" xfId="0" applyNumberFormat="1" applyFont="1" applyFill="1" applyBorder="1" applyAlignment="1">
      <alignment vertical="center"/>
    </xf>
    <xf numFmtId="3" fontId="0" fillId="12" borderId="0" xfId="0" applyNumberFormat="1" applyFont="1" applyFill="1" applyAlignment="1">
      <alignment vertical="center"/>
    </xf>
    <xf numFmtId="38" fontId="0" fillId="12" borderId="0" xfId="0" applyNumberFormat="1" applyFont="1" applyFill="1" applyAlignment="1">
      <alignment vertical="center"/>
    </xf>
    <xf numFmtId="38" fontId="1" fillId="12" borderId="0" xfId="0" applyNumberFormat="1" applyFont="1" applyFill="1" applyAlignment="1">
      <alignment vertical="center"/>
    </xf>
    <xf numFmtId="10" fontId="0" fillId="12" borderId="0" xfId="0" applyNumberFormat="1" applyFill="1" applyAlignment="1">
      <alignment vertical="center"/>
    </xf>
    <xf numFmtId="10" fontId="4" fillId="5" borderId="1" xfId="0" applyNumberFormat="1" applyFont="1" applyFill="1" applyBorder="1" applyAlignment="1">
      <alignment vertical="center"/>
    </xf>
    <xf numFmtId="10" fontId="4" fillId="12" borderId="1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0" fontId="4" fillId="0" borderId="0" xfId="1" applyNumberFormat="1" applyFont="1" applyAlignment="1">
      <alignment horizontal="center" vertical="center"/>
    </xf>
    <xf numFmtId="3" fontId="29" fillId="2" borderId="3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172" fontId="0" fillId="0" borderId="0" xfId="0" applyNumberFormat="1" applyFill="1" applyAlignment="1">
      <alignment vertical="center"/>
    </xf>
    <xf numFmtId="165" fontId="0" fillId="0" borderId="0" xfId="0" applyNumberFormat="1" applyFont="1" applyAlignment="1">
      <alignment vertical="center"/>
    </xf>
    <xf numFmtId="171" fontId="7" fillId="0" borderId="0" xfId="1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" fontId="0" fillId="11" borderId="0" xfId="0" applyNumberFormat="1" applyFill="1" applyAlignment="1">
      <alignment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3" fontId="35" fillId="13" borderId="1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0" fontId="1" fillId="4" borderId="1" xfId="1" applyNumberFormat="1" applyFont="1" applyFill="1" applyBorder="1" applyAlignment="1">
      <alignment horizontal="center" vertical="center"/>
    </xf>
    <xf numFmtId="10" fontId="0" fillId="11" borderId="0" xfId="0" applyNumberForma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7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left" vertical="center"/>
    </xf>
    <xf numFmtId="3" fontId="0" fillId="4" borderId="5" xfId="0" applyNumberFormat="1" applyFill="1" applyBorder="1" applyAlignment="1">
      <alignment vertical="center"/>
    </xf>
    <xf numFmtId="40" fontId="16" fillId="4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10" fontId="10" fillId="0" borderId="0" xfId="1" applyNumberFormat="1" applyFont="1" applyFill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11" borderId="0" xfId="0" applyNumberFormat="1" applyFont="1" applyFill="1" applyAlignment="1">
      <alignment vertical="center"/>
    </xf>
    <xf numFmtId="10" fontId="10" fillId="0" borderId="0" xfId="0" applyNumberFormat="1" applyFont="1" applyFill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3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vertical="center" wrapText="1"/>
    </xf>
    <xf numFmtId="3" fontId="6" fillId="4" borderId="9" xfId="0" applyNumberFormat="1" applyFont="1" applyFill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 indent="10"/>
    </xf>
    <xf numFmtId="38" fontId="7" fillId="4" borderId="9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10" fontId="0" fillId="0" borderId="12" xfId="0" applyNumberFormat="1" applyFill="1" applyBorder="1" applyAlignment="1">
      <alignment vertical="center"/>
    </xf>
    <xf numFmtId="165" fontId="19" fillId="0" borderId="8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5" fontId="24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Alignment="1">
      <alignment vertical="center"/>
    </xf>
    <xf numFmtId="165" fontId="16" fillId="0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7" fillId="4" borderId="1" xfId="0" applyNumberFormat="1" applyFont="1" applyFill="1" applyBorder="1" applyAlignment="1">
      <alignment vertical="center"/>
    </xf>
    <xf numFmtId="10" fontId="7" fillId="0" borderId="1" xfId="1" applyNumberFormat="1" applyFont="1" applyBorder="1" applyAlignment="1">
      <alignment vertical="center"/>
    </xf>
    <xf numFmtId="3" fontId="35" fillId="13" borderId="1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0" fontId="2" fillId="0" borderId="0" xfId="1" applyNumberFormat="1" applyFont="1" applyAlignment="1">
      <alignment vertical="center"/>
    </xf>
    <xf numFmtId="166" fontId="7" fillId="4" borderId="1" xfId="0" applyNumberFormat="1" applyFont="1" applyFill="1" applyBorder="1" applyAlignment="1">
      <alignment vertical="center"/>
    </xf>
    <xf numFmtId="3" fontId="34" fillId="11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35" fillId="3" borderId="1" xfId="0" applyNumberFormat="1" applyFont="1" applyFill="1" applyBorder="1" applyAlignment="1">
      <alignment horizontal="left" vertical="center" wrapText="1"/>
    </xf>
    <xf numFmtId="10" fontId="5" fillId="11" borderId="1" xfId="0" applyNumberFormat="1" applyFont="1" applyFill="1" applyBorder="1" applyAlignment="1">
      <alignment vertical="center"/>
    </xf>
    <xf numFmtId="38" fontId="0" fillId="11" borderId="1" xfId="0" applyNumberFormat="1" applyFill="1" applyBorder="1" applyAlignment="1">
      <alignment vertical="center"/>
    </xf>
    <xf numFmtId="9" fontId="5" fillId="0" borderId="0" xfId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10" fontId="1" fillId="0" borderId="0" xfId="1" applyNumberFormat="1" applyFont="1" applyAlignment="1">
      <alignment vertical="center"/>
    </xf>
    <xf numFmtId="3" fontId="1" fillId="11" borderId="15" xfId="0" applyNumberFormat="1" applyFont="1" applyFill="1" applyBorder="1" applyAlignment="1">
      <alignment vertical="center"/>
    </xf>
    <xf numFmtId="10" fontId="1" fillId="11" borderId="16" xfId="1" applyNumberFormat="1" applyFont="1" applyFill="1" applyBorder="1" applyAlignment="1">
      <alignment vertical="center"/>
    </xf>
    <xf numFmtId="3" fontId="1" fillId="11" borderId="16" xfId="0" applyNumberFormat="1" applyFont="1" applyFill="1" applyBorder="1" applyAlignment="1">
      <alignment vertical="center"/>
    </xf>
    <xf numFmtId="3" fontId="1" fillId="11" borderId="6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8" fontId="7" fillId="4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left" vertical="center" wrapText="1"/>
    </xf>
    <xf numFmtId="3" fontId="1" fillId="5" borderId="0" xfId="0" applyNumberFormat="1" applyFont="1" applyFill="1" applyAlignment="1">
      <alignment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41" fillId="2" borderId="5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3" fontId="15" fillId="2" borderId="5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vertical="center" wrapText="1"/>
    </xf>
    <xf numFmtId="3" fontId="46" fillId="3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8" fontId="1" fillId="4" borderId="1" xfId="0" applyNumberFormat="1" applyFont="1" applyFill="1" applyBorder="1" applyAlignment="1">
      <alignment vertical="center"/>
    </xf>
    <xf numFmtId="3" fontId="5" fillId="5" borderId="0" xfId="0" applyNumberFormat="1" applyFont="1" applyFill="1" applyAlignment="1">
      <alignment vertical="center" wrapText="1"/>
    </xf>
    <xf numFmtId="3" fontId="40" fillId="2" borderId="3" xfId="0" applyNumberFormat="1" applyFont="1" applyFill="1" applyBorder="1" applyAlignment="1">
      <alignment horizontal="center" vertical="center" wrapText="1"/>
    </xf>
    <xf numFmtId="40" fontId="7" fillId="4" borderId="5" xfId="0" applyNumberFormat="1" applyFont="1" applyFill="1" applyBorder="1" applyAlignment="1">
      <alignment vertical="center"/>
    </xf>
    <xf numFmtId="9" fontId="0" fillId="0" borderId="0" xfId="1" applyFont="1" applyAlignment="1">
      <alignment vertical="center"/>
    </xf>
    <xf numFmtId="9" fontId="19" fillId="0" borderId="0" xfId="1" applyFont="1" applyAlignment="1">
      <alignment horizontal="center" vertical="center"/>
    </xf>
    <xf numFmtId="0" fontId="20" fillId="0" borderId="0" xfId="2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0" fontId="11" fillId="0" borderId="0" xfId="0" applyFont="1"/>
    <xf numFmtId="3" fontId="0" fillId="4" borderId="0" xfId="0" applyNumberFormat="1" applyFill="1" applyAlignment="1">
      <alignment vertical="center"/>
    </xf>
    <xf numFmtId="3" fontId="0" fillId="0" borderId="0" xfId="0" applyNumberFormat="1" applyAlignment="1">
      <alignment vertical="center" wrapText="1"/>
    </xf>
    <xf numFmtId="3" fontId="0" fillId="14" borderId="0" xfId="0" applyNumberFormat="1" applyFill="1" applyAlignment="1">
      <alignment vertical="center"/>
    </xf>
    <xf numFmtId="3" fontId="0" fillId="10" borderId="0" xfId="0" applyNumberFormat="1" applyFill="1" applyAlignment="1">
      <alignment vertical="center" wrapText="1"/>
    </xf>
    <xf numFmtId="3" fontId="0" fillId="15" borderId="0" xfId="0" applyNumberFormat="1" applyFill="1" applyAlignment="1">
      <alignment vertical="center" wrapText="1"/>
    </xf>
    <xf numFmtId="3" fontId="0" fillId="14" borderId="0" xfId="0" applyNumberFormat="1" applyFill="1" applyAlignment="1">
      <alignment vertical="center" wrapText="1"/>
    </xf>
    <xf numFmtId="3" fontId="0" fillId="1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3" fontId="0" fillId="16" borderId="0" xfId="0" applyNumberFormat="1" applyFill="1" applyAlignment="1">
      <alignment vertical="center" wrapText="1"/>
    </xf>
    <xf numFmtId="3" fontId="0" fillId="17" borderId="0" xfId="0" applyNumberFormat="1" applyFill="1" applyAlignment="1">
      <alignment vertical="center"/>
    </xf>
    <xf numFmtId="3" fontId="0" fillId="10" borderId="0" xfId="0" applyNumberFormat="1" applyFill="1" applyAlignment="1">
      <alignment vertical="center"/>
    </xf>
    <xf numFmtId="3" fontId="0" fillId="11" borderId="0" xfId="0" applyNumberFormat="1" applyFill="1" applyAlignment="1">
      <alignment vertical="center" wrapText="1"/>
    </xf>
    <xf numFmtId="3" fontId="0" fillId="17" borderId="0" xfId="0" applyNumberFormat="1" applyFill="1" applyAlignment="1">
      <alignment vertical="center" wrapText="1"/>
    </xf>
    <xf numFmtId="3" fontId="0" fillId="4" borderId="0" xfId="0" applyNumberFormat="1" applyFill="1" applyAlignment="1">
      <alignment vertical="center" wrapText="1"/>
    </xf>
    <xf numFmtId="0" fontId="0" fillId="0" borderId="0" xfId="0" applyAlignment="1">
      <alignment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1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vertical="center"/>
    </xf>
    <xf numFmtId="3" fontId="0" fillId="18" borderId="0" xfId="0" applyNumberFormat="1" applyFont="1" applyFill="1" applyAlignment="1">
      <alignment vertical="center" wrapText="1"/>
    </xf>
    <xf numFmtId="3" fontId="0" fillId="18" borderId="0" xfId="0" applyNumberFormat="1" applyFont="1" applyFill="1" applyAlignment="1">
      <alignment vertical="center"/>
    </xf>
    <xf numFmtId="38" fontId="0" fillId="18" borderId="0" xfId="0" applyNumberFormat="1" applyFont="1" applyFill="1" applyAlignment="1">
      <alignment vertical="center"/>
    </xf>
    <xf numFmtId="38" fontId="1" fillId="18" borderId="0" xfId="0" applyNumberFormat="1" applyFont="1" applyFill="1" applyAlignment="1">
      <alignment vertical="center"/>
    </xf>
    <xf numFmtId="3" fontId="5" fillId="19" borderId="0" xfId="0" applyNumberFormat="1" applyFont="1" applyFill="1" applyAlignment="1">
      <alignment vertical="center"/>
    </xf>
    <xf numFmtId="9" fontId="4" fillId="19" borderId="0" xfId="1" applyFont="1" applyFill="1" applyAlignment="1">
      <alignment horizontal="center" vertical="center"/>
    </xf>
    <xf numFmtId="38" fontId="5" fillId="19" borderId="0" xfId="0" applyNumberFormat="1" applyFont="1" applyFill="1" applyAlignment="1">
      <alignment vertical="center"/>
    </xf>
    <xf numFmtId="38" fontId="3" fillId="19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3" fillId="5" borderId="0" xfId="0" applyNumberFormat="1" applyFont="1" applyFill="1" applyAlignment="1">
      <alignment vertical="center"/>
    </xf>
    <xf numFmtId="38" fontId="19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57" fillId="15" borderId="1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13" xfId="0" applyNumberForma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10" fontId="0" fillId="0" borderId="14" xfId="1" applyNumberFormat="1" applyFont="1" applyBorder="1" applyAlignment="1">
      <alignment vertical="center"/>
    </xf>
    <xf numFmtId="10" fontId="1" fillId="4" borderId="1" xfId="1" applyNumberFormat="1" applyFont="1" applyFill="1" applyBorder="1" applyAlignment="1">
      <alignment vertical="center"/>
    </xf>
    <xf numFmtId="0" fontId="32" fillId="1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0" fillId="0" borderId="0" xfId="0" applyFill="1"/>
    <xf numFmtId="10" fontId="0" fillId="0" borderId="0" xfId="1" applyNumberFormat="1" applyFont="1" applyFill="1" applyAlignment="1">
      <alignment vertical="center"/>
    </xf>
    <xf numFmtId="4" fontId="0" fillId="0" borderId="0" xfId="1" applyNumberFormat="1" applyFont="1" applyFill="1" applyAlignment="1">
      <alignment vertical="center"/>
    </xf>
    <xf numFmtId="3" fontId="1" fillId="4" borderId="1" xfId="1" applyNumberFormat="1" applyFont="1" applyFill="1" applyBorder="1" applyAlignment="1">
      <alignment vertical="center"/>
    </xf>
    <xf numFmtId="0" fontId="32" fillId="16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3" fontId="0" fillId="0" borderId="0" xfId="3" applyNumberFormat="1" applyFont="1" applyAlignment="1">
      <alignment horizontal="right" vertical="center"/>
    </xf>
    <xf numFmtId="2" fontId="0" fillId="0" borderId="0" xfId="3" applyNumberFormat="1" applyFont="1" applyAlignment="1">
      <alignment horizontal="right" vertical="center"/>
    </xf>
    <xf numFmtId="2" fontId="1" fillId="4" borderId="1" xfId="1" applyNumberFormat="1" applyFont="1" applyFill="1" applyBorder="1" applyAlignment="1">
      <alignment vertical="center"/>
    </xf>
    <xf numFmtId="0" fontId="32" fillId="11" borderId="1" xfId="0" applyFont="1" applyFill="1" applyBorder="1" applyAlignment="1">
      <alignment horizontal="center" vertical="center" wrapText="1"/>
    </xf>
    <xf numFmtId="3" fontId="0" fillId="20" borderId="0" xfId="1" applyNumberFormat="1" applyFont="1" applyFill="1" applyAlignment="1">
      <alignment vertical="center"/>
    </xf>
    <xf numFmtId="4" fontId="1" fillId="4" borderId="1" xfId="1" applyNumberFormat="1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/>
    </xf>
    <xf numFmtId="164" fontId="1" fillId="11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" fillId="11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1" fillId="8" borderId="0" xfId="0" applyNumberFormat="1" applyFont="1" applyFill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10" fillId="11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10" fontId="56" fillId="0" borderId="0" xfId="1" applyNumberFormat="1" applyFont="1" applyAlignment="1">
      <alignment horizontal="center" vertical="center"/>
    </xf>
    <xf numFmtId="10" fontId="56" fillId="0" borderId="2" xfId="1" applyNumberFormat="1" applyFont="1" applyBorder="1" applyAlignment="1">
      <alignment horizontal="center" vertical="center"/>
    </xf>
    <xf numFmtId="10" fontId="56" fillId="0" borderId="0" xfId="1" applyNumberFormat="1" applyFont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 2" xfId="3" xr:uid="{C5ABA066-A3D7-40A1-B65F-F5138A7AF964}"/>
  </cellStyles>
  <dxfs count="0"/>
  <tableStyles count="0" defaultTableStyle="TableStyleMedium2" defaultPivotStyle="PivotStyleLight16"/>
  <colors>
    <mruColors>
      <color rgb="FFFF75DB"/>
      <color rgb="FF99FF33"/>
      <color rgb="FF00FFFF"/>
      <color rgb="FF6DD9FF"/>
      <color rgb="FFFFCC00"/>
      <color rgb="FFFF33CC"/>
      <color rgb="FFFF0066"/>
      <color rgb="FF33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5" Type="http://schemas.openxmlformats.org/officeDocument/2006/relationships/image" Target="../media/image28.png"/><Relationship Id="rId4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3" Type="http://schemas.openxmlformats.org/officeDocument/2006/relationships/image" Target="../media/image31.png"/><Relationship Id="rId7" Type="http://schemas.openxmlformats.org/officeDocument/2006/relationships/image" Target="../media/image35.png"/><Relationship Id="rId12" Type="http://schemas.openxmlformats.org/officeDocument/2006/relationships/image" Target="../media/image40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6" Type="http://schemas.openxmlformats.org/officeDocument/2006/relationships/image" Target="../media/image34.png"/><Relationship Id="rId11" Type="http://schemas.openxmlformats.org/officeDocument/2006/relationships/image" Target="../media/image39.png"/><Relationship Id="rId5" Type="http://schemas.openxmlformats.org/officeDocument/2006/relationships/image" Target="../media/image33.png"/><Relationship Id="rId10" Type="http://schemas.openxmlformats.org/officeDocument/2006/relationships/image" Target="../media/image38.png"/><Relationship Id="rId4" Type="http://schemas.openxmlformats.org/officeDocument/2006/relationships/image" Target="../media/image32.png"/><Relationship Id="rId9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8" Type="http://schemas.openxmlformats.org/officeDocument/2006/relationships/image" Target="../media/image8.png"/><Relationship Id="rId26" Type="http://schemas.openxmlformats.org/officeDocument/2006/relationships/image" Target="../media/image44.png"/><Relationship Id="rId3" Type="http://schemas.openxmlformats.org/officeDocument/2006/relationships/image" Target="../media/image11.png"/><Relationship Id="rId21" Type="http://schemas.openxmlformats.org/officeDocument/2006/relationships/image" Target="../media/image25.png"/><Relationship Id="rId34" Type="http://schemas.openxmlformats.org/officeDocument/2006/relationships/image" Target="../media/image52.png"/><Relationship Id="rId7" Type="http://schemas.openxmlformats.org/officeDocument/2006/relationships/image" Target="../media/image6.png"/><Relationship Id="rId12" Type="http://schemas.openxmlformats.org/officeDocument/2006/relationships/image" Target="../media/image1.png"/><Relationship Id="rId17" Type="http://schemas.openxmlformats.org/officeDocument/2006/relationships/image" Target="../media/image7.png"/><Relationship Id="rId25" Type="http://schemas.openxmlformats.org/officeDocument/2006/relationships/image" Target="../media/image43.png"/><Relationship Id="rId33" Type="http://schemas.openxmlformats.org/officeDocument/2006/relationships/image" Target="../media/image51.png"/><Relationship Id="rId2" Type="http://schemas.openxmlformats.org/officeDocument/2006/relationships/image" Target="../media/image22.png"/><Relationship Id="rId16" Type="http://schemas.openxmlformats.org/officeDocument/2006/relationships/image" Target="../media/image20.png"/><Relationship Id="rId20" Type="http://schemas.openxmlformats.org/officeDocument/2006/relationships/image" Target="../media/image9.png"/><Relationship Id="rId29" Type="http://schemas.openxmlformats.org/officeDocument/2006/relationships/image" Target="../media/image47.png"/><Relationship Id="rId1" Type="http://schemas.openxmlformats.org/officeDocument/2006/relationships/image" Target="../media/image41.png"/><Relationship Id="rId6" Type="http://schemas.openxmlformats.org/officeDocument/2006/relationships/image" Target="../media/image3.png"/><Relationship Id="rId11" Type="http://schemas.openxmlformats.org/officeDocument/2006/relationships/image" Target="../media/image17.png"/><Relationship Id="rId24" Type="http://schemas.openxmlformats.org/officeDocument/2006/relationships/image" Target="../media/image42.png"/><Relationship Id="rId32" Type="http://schemas.openxmlformats.org/officeDocument/2006/relationships/image" Target="../media/image50.png"/><Relationship Id="rId5" Type="http://schemas.openxmlformats.org/officeDocument/2006/relationships/image" Target="../media/image4.png"/><Relationship Id="rId15" Type="http://schemas.openxmlformats.org/officeDocument/2006/relationships/image" Target="../media/image19.png"/><Relationship Id="rId23" Type="http://schemas.openxmlformats.org/officeDocument/2006/relationships/image" Target="../media/image28.png"/><Relationship Id="rId28" Type="http://schemas.openxmlformats.org/officeDocument/2006/relationships/image" Target="../media/image46.png"/><Relationship Id="rId36" Type="http://schemas.openxmlformats.org/officeDocument/2006/relationships/image" Target="../media/image54.png"/><Relationship Id="rId10" Type="http://schemas.openxmlformats.org/officeDocument/2006/relationships/image" Target="../media/image21.png"/><Relationship Id="rId19" Type="http://schemas.openxmlformats.org/officeDocument/2006/relationships/image" Target="../media/image2.png"/><Relationship Id="rId31" Type="http://schemas.openxmlformats.org/officeDocument/2006/relationships/image" Target="../media/image49.png"/><Relationship Id="rId4" Type="http://schemas.openxmlformats.org/officeDocument/2006/relationships/image" Target="../media/image12.png"/><Relationship Id="rId9" Type="http://schemas.openxmlformats.org/officeDocument/2006/relationships/image" Target="../media/image15.png"/><Relationship Id="rId14" Type="http://schemas.openxmlformats.org/officeDocument/2006/relationships/image" Target="../media/image10.png"/><Relationship Id="rId22" Type="http://schemas.openxmlformats.org/officeDocument/2006/relationships/image" Target="../media/image26.png"/><Relationship Id="rId27" Type="http://schemas.openxmlformats.org/officeDocument/2006/relationships/image" Target="../media/image45.png"/><Relationship Id="rId30" Type="http://schemas.openxmlformats.org/officeDocument/2006/relationships/image" Target="../media/image48.png"/><Relationship Id="rId35" Type="http://schemas.openxmlformats.org/officeDocument/2006/relationships/image" Target="../media/image53.png"/><Relationship Id="rId8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4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29</xdr:row>
      <xdr:rowOff>701040</xdr:rowOff>
    </xdr:from>
    <xdr:to>
      <xdr:col>12</xdr:col>
      <xdr:colOff>371475</xdr:colOff>
      <xdr:row>30</xdr:row>
      <xdr:rowOff>457200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8440" y="9454515"/>
          <a:ext cx="1908810" cy="4610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321945</xdr:colOff>
      <xdr:row>34</xdr:row>
      <xdr:rowOff>352424</xdr:rowOff>
    </xdr:from>
    <xdr:to>
      <xdr:col>12</xdr:col>
      <xdr:colOff>276225</xdr:colOff>
      <xdr:row>34</xdr:row>
      <xdr:rowOff>914399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070" y="12563474"/>
          <a:ext cx="172593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69</xdr:row>
      <xdr:rowOff>60960</xdr:rowOff>
    </xdr:from>
    <xdr:to>
      <xdr:col>13</xdr:col>
      <xdr:colOff>251460</xdr:colOff>
      <xdr:row>71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18684240"/>
          <a:ext cx="2522220" cy="48768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82</xdr:row>
      <xdr:rowOff>0</xdr:rowOff>
    </xdr:from>
    <xdr:to>
      <xdr:col>13</xdr:col>
      <xdr:colOff>289560</xdr:colOff>
      <xdr:row>83</xdr:row>
      <xdr:rowOff>76200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5213925"/>
          <a:ext cx="246126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220980</xdr:colOff>
      <xdr:row>31</xdr:row>
      <xdr:rowOff>144780</xdr:rowOff>
    </xdr:from>
    <xdr:to>
      <xdr:col>13</xdr:col>
      <xdr:colOff>373380</xdr:colOff>
      <xdr:row>32</xdr:row>
      <xdr:rowOff>133350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105" y="10088880"/>
          <a:ext cx="2514600" cy="47434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13</xdr:col>
      <xdr:colOff>381000</xdr:colOff>
      <xdr:row>75</xdr:row>
      <xdr:rowOff>38100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9580" y="19423380"/>
          <a:ext cx="2819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163830</xdr:colOff>
      <xdr:row>97</xdr:row>
      <xdr:rowOff>219075</xdr:rowOff>
    </xdr:from>
    <xdr:to>
      <xdr:col>13</xdr:col>
      <xdr:colOff>323850</xdr:colOff>
      <xdr:row>98</xdr:row>
      <xdr:rowOff>476250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955" y="44977050"/>
          <a:ext cx="2522220" cy="74295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99</xdr:row>
      <xdr:rowOff>0</xdr:rowOff>
    </xdr:from>
    <xdr:to>
      <xdr:col>11</xdr:col>
      <xdr:colOff>563880</xdr:colOff>
      <xdr:row>99</xdr:row>
      <xdr:rowOff>175260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27942540"/>
          <a:ext cx="16154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259080</xdr:colOff>
      <xdr:row>43</xdr:row>
      <xdr:rowOff>15240</xdr:rowOff>
    </xdr:from>
    <xdr:to>
      <xdr:col>10</xdr:col>
      <xdr:colOff>525780</xdr:colOff>
      <xdr:row>44</xdr:row>
      <xdr:rowOff>175260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660" y="11605260"/>
          <a:ext cx="87630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144780</xdr:colOff>
      <xdr:row>53</xdr:row>
      <xdr:rowOff>403861</xdr:rowOff>
    </xdr:from>
    <xdr:to>
      <xdr:col>12</xdr:col>
      <xdr:colOff>388620</xdr:colOff>
      <xdr:row>55</xdr:row>
      <xdr:rowOff>228601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8905" y="22625686"/>
          <a:ext cx="201549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198120</xdr:colOff>
      <xdr:row>89</xdr:row>
      <xdr:rowOff>295275</xdr:rowOff>
    </xdr:from>
    <xdr:to>
      <xdr:col>13</xdr:col>
      <xdr:colOff>472440</xdr:colOff>
      <xdr:row>91</xdr:row>
      <xdr:rowOff>85725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245" y="39119175"/>
          <a:ext cx="2636520" cy="6858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213360</xdr:colOff>
      <xdr:row>93</xdr:row>
      <xdr:rowOff>133351</xdr:rowOff>
    </xdr:from>
    <xdr:to>
      <xdr:col>11</xdr:col>
      <xdr:colOff>510540</xdr:colOff>
      <xdr:row>93</xdr:row>
      <xdr:rowOff>657225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485" y="40500301"/>
          <a:ext cx="1478280" cy="52387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297180</xdr:colOff>
      <xdr:row>49</xdr:row>
      <xdr:rowOff>15240</xdr:rowOff>
    </xdr:from>
    <xdr:to>
      <xdr:col>11</xdr:col>
      <xdr:colOff>350520</xdr:colOff>
      <xdr:row>49</xdr:row>
      <xdr:rowOff>190500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780" y="13594080"/>
          <a:ext cx="12725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122</xdr:row>
      <xdr:rowOff>85725</xdr:rowOff>
    </xdr:from>
    <xdr:to>
      <xdr:col>13</xdr:col>
      <xdr:colOff>304800</xdr:colOff>
      <xdr:row>124</xdr:row>
      <xdr:rowOff>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59035950"/>
          <a:ext cx="2583180" cy="5238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125</xdr:row>
      <xdr:rowOff>133350</xdr:rowOff>
    </xdr:from>
    <xdr:to>
      <xdr:col>15</xdr:col>
      <xdr:colOff>53340</xdr:colOff>
      <xdr:row>126</xdr:row>
      <xdr:rowOff>182879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60417075"/>
          <a:ext cx="3512820" cy="85915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169545</xdr:colOff>
      <xdr:row>139</xdr:row>
      <xdr:rowOff>72390</xdr:rowOff>
    </xdr:from>
    <xdr:to>
      <xdr:col>12</xdr:col>
      <xdr:colOff>222885</xdr:colOff>
      <xdr:row>141</xdr:row>
      <xdr:rowOff>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3670" y="71119365"/>
          <a:ext cx="1824990" cy="6134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133</xdr:row>
      <xdr:rowOff>83820</xdr:rowOff>
    </xdr:from>
    <xdr:to>
      <xdr:col>12</xdr:col>
      <xdr:colOff>251460</xdr:colOff>
      <xdr:row>134</xdr:row>
      <xdr:rowOff>66675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145" y="67149345"/>
          <a:ext cx="1863090" cy="70675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203835</xdr:colOff>
      <xdr:row>143</xdr:row>
      <xdr:rowOff>876300</xdr:rowOff>
    </xdr:from>
    <xdr:to>
      <xdr:col>11</xdr:col>
      <xdr:colOff>508635</xdr:colOff>
      <xdr:row>145</xdr:row>
      <xdr:rowOff>45720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7960" y="73818750"/>
          <a:ext cx="148590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150</xdr:row>
      <xdr:rowOff>15240</xdr:rowOff>
    </xdr:from>
    <xdr:to>
      <xdr:col>12</xdr:col>
      <xdr:colOff>45720</xdr:colOff>
      <xdr:row>151</xdr:row>
      <xdr:rowOff>95250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76586715"/>
          <a:ext cx="1626870" cy="56578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153</xdr:row>
      <xdr:rowOff>15240</xdr:rowOff>
    </xdr:from>
    <xdr:to>
      <xdr:col>11</xdr:col>
      <xdr:colOff>358140</xdr:colOff>
      <xdr:row>153</xdr:row>
      <xdr:rowOff>190500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240" y="54033420"/>
          <a:ext cx="140970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110</xdr:row>
      <xdr:rowOff>160020</xdr:rowOff>
    </xdr:from>
    <xdr:to>
      <xdr:col>13</xdr:col>
      <xdr:colOff>533400</xdr:colOff>
      <xdr:row>113</xdr:row>
      <xdr:rowOff>30480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9620" y="36286440"/>
          <a:ext cx="281178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104</xdr:row>
      <xdr:rowOff>57150</xdr:rowOff>
    </xdr:from>
    <xdr:to>
      <xdr:col>12</xdr:col>
      <xdr:colOff>533400</xdr:colOff>
      <xdr:row>105</xdr:row>
      <xdr:rowOff>236220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48082200"/>
          <a:ext cx="2152650" cy="82677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320040</xdr:colOff>
      <xdr:row>159</xdr:row>
      <xdr:rowOff>175260</xdr:rowOff>
    </xdr:from>
    <xdr:to>
      <xdr:col>12</xdr:col>
      <xdr:colOff>1905</xdr:colOff>
      <xdr:row>160</xdr:row>
      <xdr:rowOff>342900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165" y="81956910"/>
          <a:ext cx="1453515" cy="65341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114</xdr:row>
      <xdr:rowOff>15240</xdr:rowOff>
    </xdr:from>
    <xdr:to>
      <xdr:col>12</xdr:col>
      <xdr:colOff>381000</xdr:colOff>
      <xdr:row>116</xdr:row>
      <xdr:rowOff>91440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2826960"/>
          <a:ext cx="2057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236220</xdr:colOff>
      <xdr:row>45</xdr:row>
      <xdr:rowOff>228600</xdr:rowOff>
    </xdr:from>
    <xdr:to>
      <xdr:col>11</xdr:col>
      <xdr:colOff>289560</xdr:colOff>
      <xdr:row>46</xdr:row>
      <xdr:rowOff>104775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5595" y="16392525"/>
          <a:ext cx="1234440" cy="6000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129540</xdr:colOff>
      <xdr:row>50</xdr:row>
      <xdr:rowOff>220980</xdr:rowOff>
    </xdr:from>
    <xdr:to>
      <xdr:col>16</xdr:col>
      <xdr:colOff>594360</xdr:colOff>
      <xdr:row>52</xdr:row>
      <xdr:rowOff>121920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140" y="12938760"/>
          <a:ext cx="473202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182880</xdr:colOff>
      <xdr:row>102</xdr:row>
      <xdr:rowOff>53340</xdr:rowOff>
    </xdr:from>
    <xdr:to>
      <xdr:col>12</xdr:col>
      <xdr:colOff>457200</xdr:colOff>
      <xdr:row>103</xdr:row>
      <xdr:rowOff>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480" y="29154120"/>
          <a:ext cx="210312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137160</xdr:colOff>
      <xdr:row>103</xdr:row>
      <xdr:rowOff>68581</xdr:rowOff>
    </xdr:from>
    <xdr:to>
      <xdr:col>13</xdr:col>
      <xdr:colOff>579120</xdr:colOff>
      <xdr:row>104</xdr:row>
      <xdr:rowOff>209551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535" y="50608231"/>
          <a:ext cx="2804160" cy="5410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7175480"/>
          <a:ext cx="42976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3810</xdr:colOff>
      <xdr:row>50</xdr:row>
      <xdr:rowOff>245745</xdr:rowOff>
    </xdr:from>
    <xdr:to>
      <xdr:col>17</xdr:col>
      <xdr:colOff>194310</xdr:colOff>
      <xdr:row>52</xdr:row>
      <xdr:rowOff>169545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360" y="16314420"/>
          <a:ext cx="4324350" cy="6477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58</xdr:row>
      <xdr:rowOff>514350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3230" y="18087975"/>
          <a:ext cx="6206490" cy="6381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184785</xdr:colOff>
      <xdr:row>67</xdr:row>
      <xdr:rowOff>184786</xdr:rowOff>
    </xdr:from>
    <xdr:to>
      <xdr:col>19</xdr:col>
      <xdr:colOff>228600</xdr:colOff>
      <xdr:row>68</xdr:row>
      <xdr:rowOff>685801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2610" y="22482811"/>
          <a:ext cx="6206490" cy="7010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206</xdr:row>
      <xdr:rowOff>384810</xdr:rowOff>
    </xdr:from>
    <xdr:to>
      <xdr:col>15</xdr:col>
      <xdr:colOff>396240</xdr:colOff>
      <xdr:row>206</xdr:row>
      <xdr:rowOff>763905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7574160"/>
          <a:ext cx="3930015" cy="37909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41</xdr:row>
      <xdr:rowOff>66675</xdr:rowOff>
    </xdr:from>
    <xdr:to>
      <xdr:col>17</xdr:col>
      <xdr:colOff>533400</xdr:colOff>
      <xdr:row>42</xdr:row>
      <xdr:rowOff>257175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3159FD9-D40E-40B3-9AFB-82C03C1F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2553950"/>
          <a:ext cx="6153150" cy="5334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9</xdr:col>
      <xdr:colOff>600074</xdr:colOff>
      <xdr:row>45</xdr:row>
      <xdr:rowOff>9526</xdr:rowOff>
    </xdr:from>
    <xdr:to>
      <xdr:col>19</xdr:col>
      <xdr:colOff>171450</xdr:colOff>
      <xdr:row>47</xdr:row>
      <xdr:rowOff>171451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97BA207-BE8C-464D-A093-F4EE8EE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899" y="13592176"/>
          <a:ext cx="5734051" cy="8953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</xdr:colOff>
      <xdr:row>53</xdr:row>
      <xdr:rowOff>123825</xdr:rowOff>
    </xdr:from>
    <xdr:to>
      <xdr:col>22</xdr:col>
      <xdr:colOff>295275</xdr:colOff>
      <xdr:row>53</xdr:row>
      <xdr:rowOff>809625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C4E52B4-DED8-48ED-96AB-E5489830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17125950"/>
          <a:ext cx="6153150" cy="6858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21</xdr:col>
      <xdr:colOff>247650</xdr:colOff>
      <xdr:row>62</xdr:row>
      <xdr:rowOff>114300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117B617-66C6-4918-BB1E-58F91E51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20440650"/>
          <a:ext cx="6153150" cy="6572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247650</xdr:colOff>
      <xdr:row>69</xdr:row>
      <xdr:rowOff>19050</xdr:rowOff>
    </xdr:from>
    <xdr:to>
      <xdr:col>19</xdr:col>
      <xdr:colOff>238125</xdr:colOff>
      <xdr:row>72</xdr:row>
      <xdr:rowOff>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57C7FDAC-6C92-43F3-89F6-3B3A25A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3326725"/>
          <a:ext cx="6153150" cy="8667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206</xdr:row>
      <xdr:rowOff>1209675</xdr:rowOff>
    </xdr:from>
    <xdr:to>
      <xdr:col>16</xdr:col>
      <xdr:colOff>419100</xdr:colOff>
      <xdr:row>207</xdr:row>
      <xdr:rowOff>247650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8FD4E67-1FAF-4C35-AB3D-989B7E30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68399025"/>
          <a:ext cx="4600575" cy="3619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207</xdr:row>
      <xdr:rowOff>447675</xdr:rowOff>
    </xdr:from>
    <xdr:to>
      <xdr:col>19</xdr:col>
      <xdr:colOff>180975</xdr:colOff>
      <xdr:row>209</xdr:row>
      <xdr:rowOff>352425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80A959D-87AE-4E46-9483-9BE9B2AC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68961000"/>
          <a:ext cx="6153150" cy="6381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3</xdr:row>
      <xdr:rowOff>22860</xdr:rowOff>
    </xdr:from>
    <xdr:to>
      <xdr:col>6</xdr:col>
      <xdr:colOff>1607820</xdr:colOff>
      <xdr:row>3</xdr:row>
      <xdr:rowOff>586740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944880"/>
          <a:ext cx="150114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4</xdr:row>
      <xdr:rowOff>45720</xdr:rowOff>
    </xdr:from>
    <xdr:to>
      <xdr:col>6</xdr:col>
      <xdr:colOff>2316480</xdr:colOff>
      <xdr:row>4</xdr:row>
      <xdr:rowOff>693420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1562100"/>
          <a:ext cx="2209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99060</xdr:colOff>
      <xdr:row>5</xdr:row>
      <xdr:rowOff>0</xdr:rowOff>
    </xdr:from>
    <xdr:to>
      <xdr:col>6</xdr:col>
      <xdr:colOff>2811780</xdr:colOff>
      <xdr:row>5</xdr:row>
      <xdr:rowOff>647700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0060" y="2247900"/>
          <a:ext cx="271272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3246120</xdr:colOff>
      <xdr:row>5</xdr:row>
      <xdr:rowOff>129540</xdr:rowOff>
    </xdr:from>
    <xdr:to>
      <xdr:col>6</xdr:col>
      <xdr:colOff>4762500</xdr:colOff>
      <xdr:row>5</xdr:row>
      <xdr:rowOff>632460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7120" y="2377440"/>
          <a:ext cx="15163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6</xdr:row>
      <xdr:rowOff>274320</xdr:rowOff>
    </xdr:from>
    <xdr:to>
      <xdr:col>6</xdr:col>
      <xdr:colOff>2644140</xdr:colOff>
      <xdr:row>6</xdr:row>
      <xdr:rowOff>746760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3299460"/>
          <a:ext cx="25374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7</xdr:row>
      <xdr:rowOff>38100</xdr:rowOff>
    </xdr:from>
    <xdr:to>
      <xdr:col>6</xdr:col>
      <xdr:colOff>2651760</xdr:colOff>
      <xdr:row>7</xdr:row>
      <xdr:rowOff>525780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3977640"/>
          <a:ext cx="252222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2849880</xdr:colOff>
      <xdr:row>7</xdr:row>
      <xdr:rowOff>38100</xdr:rowOff>
    </xdr:from>
    <xdr:to>
      <xdr:col>8</xdr:col>
      <xdr:colOff>121920</xdr:colOff>
      <xdr:row>7</xdr:row>
      <xdr:rowOff>510540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0880" y="3977640"/>
          <a:ext cx="28194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114300</xdr:colOff>
      <xdr:row>8</xdr:row>
      <xdr:rowOff>205740</xdr:rowOff>
    </xdr:from>
    <xdr:to>
      <xdr:col>6</xdr:col>
      <xdr:colOff>2773680</xdr:colOff>
      <xdr:row>8</xdr:row>
      <xdr:rowOff>678180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0" y="4716780"/>
          <a:ext cx="26593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2994660</xdr:colOff>
      <xdr:row>8</xdr:row>
      <xdr:rowOff>175260</xdr:rowOff>
    </xdr:from>
    <xdr:to>
      <xdr:col>9</xdr:col>
      <xdr:colOff>464820</xdr:colOff>
      <xdr:row>8</xdr:row>
      <xdr:rowOff>685800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5660" y="4686300"/>
          <a:ext cx="36271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9</xdr:row>
      <xdr:rowOff>220980</xdr:rowOff>
    </xdr:from>
    <xdr:to>
      <xdr:col>6</xdr:col>
      <xdr:colOff>2941320</xdr:colOff>
      <xdr:row>9</xdr:row>
      <xdr:rowOff>693420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5646420"/>
          <a:ext cx="28117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10</xdr:row>
      <xdr:rowOff>152400</xdr:rowOff>
    </xdr:from>
    <xdr:to>
      <xdr:col>6</xdr:col>
      <xdr:colOff>2072640</xdr:colOff>
      <xdr:row>10</xdr:row>
      <xdr:rowOff>655320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6507480"/>
          <a:ext cx="192024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11</xdr:row>
      <xdr:rowOff>45720</xdr:rowOff>
    </xdr:from>
    <xdr:to>
      <xdr:col>6</xdr:col>
      <xdr:colOff>2072640</xdr:colOff>
      <xdr:row>11</xdr:row>
      <xdr:rowOff>518160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7132320"/>
          <a:ext cx="19659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2286000</xdr:colOff>
      <xdr:row>11</xdr:row>
      <xdr:rowOff>53340</xdr:rowOff>
    </xdr:from>
    <xdr:to>
      <xdr:col>6</xdr:col>
      <xdr:colOff>4876800</xdr:colOff>
      <xdr:row>11</xdr:row>
      <xdr:rowOff>525780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0" y="7139940"/>
          <a:ext cx="25908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13</xdr:row>
      <xdr:rowOff>167640</xdr:rowOff>
    </xdr:from>
    <xdr:to>
      <xdr:col>6</xdr:col>
      <xdr:colOff>2202180</xdr:colOff>
      <xdr:row>13</xdr:row>
      <xdr:rowOff>601980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8557260"/>
          <a:ext cx="207264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121920</xdr:colOff>
      <xdr:row>12</xdr:row>
      <xdr:rowOff>129540</xdr:rowOff>
    </xdr:from>
    <xdr:to>
      <xdr:col>6</xdr:col>
      <xdr:colOff>1805940</xdr:colOff>
      <xdr:row>12</xdr:row>
      <xdr:rowOff>624840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2920" y="7787640"/>
          <a:ext cx="16840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2636520</xdr:colOff>
      <xdr:row>12</xdr:row>
      <xdr:rowOff>274320</xdr:rowOff>
    </xdr:from>
    <xdr:to>
      <xdr:col>6</xdr:col>
      <xdr:colOff>4046220</xdr:colOff>
      <xdr:row>12</xdr:row>
      <xdr:rowOff>449580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7520" y="7932420"/>
          <a:ext cx="1409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14</xdr:row>
      <xdr:rowOff>236220</xdr:rowOff>
    </xdr:from>
    <xdr:to>
      <xdr:col>6</xdr:col>
      <xdr:colOff>2750820</xdr:colOff>
      <xdr:row>14</xdr:row>
      <xdr:rowOff>739140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9357360"/>
          <a:ext cx="25984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3032760</xdr:colOff>
      <xdr:row>14</xdr:row>
      <xdr:rowOff>327660</xdr:rowOff>
    </xdr:from>
    <xdr:to>
      <xdr:col>6</xdr:col>
      <xdr:colOff>4648200</xdr:colOff>
      <xdr:row>14</xdr:row>
      <xdr:rowOff>502920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3760" y="9448800"/>
          <a:ext cx="16154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16</xdr:row>
      <xdr:rowOff>121920</xdr:rowOff>
    </xdr:from>
    <xdr:to>
      <xdr:col>6</xdr:col>
      <xdr:colOff>1958340</xdr:colOff>
      <xdr:row>16</xdr:row>
      <xdr:rowOff>594360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010900"/>
          <a:ext cx="17830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17</xdr:row>
      <xdr:rowOff>99060</xdr:rowOff>
    </xdr:from>
    <xdr:to>
      <xdr:col>6</xdr:col>
      <xdr:colOff>1051560</xdr:colOff>
      <xdr:row>17</xdr:row>
      <xdr:rowOff>457200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719560"/>
          <a:ext cx="87630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167640</xdr:colOff>
      <xdr:row>15</xdr:row>
      <xdr:rowOff>243840</xdr:rowOff>
    </xdr:from>
    <xdr:to>
      <xdr:col>6</xdr:col>
      <xdr:colOff>1440180</xdr:colOff>
      <xdr:row>15</xdr:row>
      <xdr:rowOff>609600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8640" y="10248900"/>
          <a:ext cx="127254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</xdr:colOff>
      <xdr:row>19</xdr:row>
      <xdr:rowOff>137160</xdr:rowOff>
    </xdr:from>
    <xdr:to>
      <xdr:col>6</xdr:col>
      <xdr:colOff>4823460</xdr:colOff>
      <xdr:row>19</xdr:row>
      <xdr:rowOff>495300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2440" y="13952220"/>
          <a:ext cx="473202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29</xdr:row>
      <xdr:rowOff>76200</xdr:rowOff>
    </xdr:from>
    <xdr:to>
      <xdr:col>2</xdr:col>
      <xdr:colOff>160020</xdr:colOff>
      <xdr:row>29</xdr:row>
      <xdr:rowOff>556260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8173700"/>
          <a:ext cx="2880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91440</xdr:colOff>
      <xdr:row>26</xdr:row>
      <xdr:rowOff>60960</xdr:rowOff>
    </xdr:from>
    <xdr:to>
      <xdr:col>1</xdr:col>
      <xdr:colOff>2407920</xdr:colOff>
      <xdr:row>26</xdr:row>
      <xdr:rowOff>541020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6443960"/>
          <a:ext cx="231648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32</xdr:row>
      <xdr:rowOff>53340</xdr:rowOff>
    </xdr:from>
    <xdr:to>
      <xdr:col>2</xdr:col>
      <xdr:colOff>68580</xdr:colOff>
      <xdr:row>32</xdr:row>
      <xdr:rowOff>533400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9865340"/>
          <a:ext cx="281940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</xdr:colOff>
      <xdr:row>27</xdr:row>
      <xdr:rowOff>121920</xdr:rowOff>
    </xdr:from>
    <xdr:to>
      <xdr:col>2</xdr:col>
      <xdr:colOff>449580</xdr:colOff>
      <xdr:row>27</xdr:row>
      <xdr:rowOff>502920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7076420"/>
          <a:ext cx="3177540" cy="3810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30</xdr:row>
      <xdr:rowOff>45720</xdr:rowOff>
    </xdr:from>
    <xdr:to>
      <xdr:col>2</xdr:col>
      <xdr:colOff>266700</xdr:colOff>
      <xdr:row>30</xdr:row>
      <xdr:rowOff>518160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8714720"/>
          <a:ext cx="301752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28</xdr:row>
      <xdr:rowOff>45720</xdr:rowOff>
    </xdr:from>
    <xdr:to>
      <xdr:col>2</xdr:col>
      <xdr:colOff>922020</xdr:colOff>
      <xdr:row>28</xdr:row>
      <xdr:rowOff>525780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7571720"/>
          <a:ext cx="3642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31</xdr:row>
      <xdr:rowOff>45720</xdr:rowOff>
    </xdr:from>
    <xdr:to>
      <xdr:col>2</xdr:col>
      <xdr:colOff>693420</xdr:colOff>
      <xdr:row>31</xdr:row>
      <xdr:rowOff>518160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9286220"/>
          <a:ext cx="341376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23</xdr:row>
      <xdr:rowOff>57150</xdr:rowOff>
    </xdr:from>
    <xdr:to>
      <xdr:col>5</xdr:col>
      <xdr:colOff>990600</xdr:colOff>
      <xdr:row>23</xdr:row>
      <xdr:rowOff>533400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8B7F41C7-18B6-41C8-897F-C05FE31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697450"/>
          <a:ext cx="2190750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914400</xdr:colOff>
      <xdr:row>22</xdr:row>
      <xdr:rowOff>38100</xdr:rowOff>
    </xdr:from>
    <xdr:to>
      <xdr:col>5</xdr:col>
      <xdr:colOff>2543175</xdr:colOff>
      <xdr:row>23</xdr:row>
      <xdr:rowOff>247650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E07145E5-F949-40DA-AEE9-55F01996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7106900"/>
          <a:ext cx="1628775" cy="7810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24</xdr:row>
      <xdr:rowOff>85725</xdr:rowOff>
    </xdr:from>
    <xdr:to>
      <xdr:col>5</xdr:col>
      <xdr:colOff>2324100</xdr:colOff>
      <xdr:row>24</xdr:row>
      <xdr:rowOff>466725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DB2543B-46C6-480E-95B1-757DEAD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297525"/>
          <a:ext cx="3000375" cy="38100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26</xdr:row>
      <xdr:rowOff>28575</xdr:rowOff>
    </xdr:from>
    <xdr:to>
      <xdr:col>5</xdr:col>
      <xdr:colOff>2695575</xdr:colOff>
      <xdr:row>26</xdr:row>
      <xdr:rowOff>495300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A787EE23-39D3-4E08-9C03-F86DE608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19383375"/>
          <a:ext cx="4152900" cy="466725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27</xdr:row>
      <xdr:rowOff>95250</xdr:rowOff>
    </xdr:from>
    <xdr:to>
      <xdr:col>5</xdr:col>
      <xdr:colOff>2809875</xdr:colOff>
      <xdr:row>27</xdr:row>
      <xdr:rowOff>561975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B20A0954-5EC9-4317-A361-F6C5B71C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0021550"/>
          <a:ext cx="4076700" cy="466725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28</xdr:row>
      <xdr:rowOff>38100</xdr:rowOff>
    </xdr:from>
    <xdr:to>
      <xdr:col>5</xdr:col>
      <xdr:colOff>1323975</xdr:colOff>
      <xdr:row>28</xdr:row>
      <xdr:rowOff>514350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9F2DFAFA-9E8D-43E9-BBB7-AD6528A6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0535900"/>
          <a:ext cx="2819400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2495550</xdr:colOff>
      <xdr:row>25</xdr:row>
      <xdr:rowOff>76200</xdr:rowOff>
    </xdr:from>
    <xdr:to>
      <xdr:col>5</xdr:col>
      <xdr:colOff>3343275</xdr:colOff>
      <xdr:row>25</xdr:row>
      <xdr:rowOff>552450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B59EA436-4137-4448-B4F2-50F5058A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8859500"/>
          <a:ext cx="5153025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9105900"/>
          <a:ext cx="45643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22860</xdr:colOff>
      <xdr:row>50</xdr:row>
      <xdr:rowOff>274320</xdr:rowOff>
    </xdr:from>
    <xdr:to>
      <xdr:col>14</xdr:col>
      <xdr:colOff>289560</xdr:colOff>
      <xdr:row>52</xdr:row>
      <xdr:rowOff>198120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12054840"/>
          <a:ext cx="445770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59</xdr:row>
      <xdr:rowOff>167640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080" y="14066520"/>
          <a:ext cx="641604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289560</xdr:colOff>
      <xdr:row>68</xdr:row>
      <xdr:rowOff>137160</xdr:rowOff>
    </xdr:from>
    <xdr:to>
      <xdr:col>21</xdr:col>
      <xdr:colOff>0</xdr:colOff>
      <xdr:row>69</xdr:row>
      <xdr:rowOff>99060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8960" y="16634460"/>
          <a:ext cx="641604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x/&#1050;&#1091;&#1088;&#1089;%20IPM/My%20dox/Project%20Profitability%20Ratios%20with%20accounting%20rat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Ratios Fix"/>
      <sheetName val="Proj Ratios Var"/>
      <sheetName val="Adj Cash Flow"/>
      <sheetName val="Proj Ratios Def"/>
      <sheetName val="Ent Ratios Calc"/>
      <sheetName val="Ent Ratios Def"/>
    </sheetNames>
    <sheetDataSet>
      <sheetData sheetId="0"/>
      <sheetData sheetId="1">
        <row r="54">
          <cell r="C54">
            <v>5000</v>
          </cell>
          <cell r="D54">
            <v>11931.506849315068</v>
          </cell>
          <cell r="E54">
            <v>17917.808219178081</v>
          </cell>
          <cell r="F54">
            <v>18904.109589041094</v>
          </cell>
          <cell r="G54">
            <v>19890.410958904111</v>
          </cell>
        </row>
        <row r="58">
          <cell r="C58">
            <v>0.25</v>
          </cell>
          <cell r="D58">
            <v>0.17312284730195179</v>
          </cell>
          <cell r="E58">
            <v>0.18592660550458714</v>
          </cell>
          <cell r="F58">
            <v>0.17622608695652175</v>
          </cell>
          <cell r="G58">
            <v>0.16669421487603306</v>
          </cell>
        </row>
      </sheetData>
      <sheetData sheetId="2">
        <row r="7">
          <cell r="D7">
            <v>75</v>
          </cell>
          <cell r="E7">
            <v>30</v>
          </cell>
          <cell r="F7">
            <v>125</v>
          </cell>
          <cell r="G7">
            <v>150</v>
          </cell>
          <cell r="H7">
            <v>175</v>
          </cell>
        </row>
        <row r="8">
          <cell r="D8">
            <v>0.06</v>
          </cell>
          <cell r="E8">
            <v>0.05</v>
          </cell>
          <cell r="F8">
            <v>4.4999999999999998E-2</v>
          </cell>
          <cell r="G8">
            <v>0.04</v>
          </cell>
          <cell r="H8">
            <v>0.04</v>
          </cell>
        </row>
        <row r="9">
          <cell r="C9">
            <v>188.67924528301887</v>
          </cell>
          <cell r="D9">
            <v>200</v>
          </cell>
          <cell r="E9">
            <v>210</v>
          </cell>
          <cell r="F9">
            <v>219.45</v>
          </cell>
          <cell r="G9">
            <v>228.22800000000001</v>
          </cell>
          <cell r="H9">
            <v>237.35712000000001</v>
          </cell>
        </row>
        <row r="10">
          <cell r="D10">
            <v>15000</v>
          </cell>
          <cell r="E10">
            <v>6300</v>
          </cell>
          <cell r="F10">
            <v>27431.25</v>
          </cell>
          <cell r="G10">
            <v>34234.200000000004</v>
          </cell>
          <cell r="H10">
            <v>41537.495999999999</v>
          </cell>
        </row>
        <row r="11">
          <cell r="D11">
            <v>0.08</v>
          </cell>
          <cell r="E11">
            <v>7.0000000000000007E-2</v>
          </cell>
          <cell r="F11">
            <v>0.06</v>
          </cell>
          <cell r="G11">
            <v>0.05</v>
          </cell>
          <cell r="H11">
            <v>4.4999999999999998E-2</v>
          </cell>
        </row>
        <row r="13">
          <cell r="D13">
            <v>-2000</v>
          </cell>
          <cell r="E13">
            <v>-3000</v>
          </cell>
          <cell r="F13">
            <v>-3180</v>
          </cell>
          <cell r="G13">
            <v>-3339</v>
          </cell>
          <cell r="H13">
            <v>-3489.2549999999997</v>
          </cell>
        </row>
        <row r="14">
          <cell r="D14">
            <v>-8250</v>
          </cell>
          <cell r="E14">
            <v>-3531</v>
          </cell>
          <cell r="F14">
            <v>-15595.250000000002</v>
          </cell>
          <cell r="G14">
            <v>-19650.015000000003</v>
          </cell>
          <cell r="H14">
            <v>-23956.643287500006</v>
          </cell>
        </row>
        <row r="15">
          <cell r="D15">
            <v>110</v>
          </cell>
          <cell r="E15">
            <v>117.7</v>
          </cell>
          <cell r="F15">
            <v>124.76200000000001</v>
          </cell>
          <cell r="G15">
            <v>131.00010000000003</v>
          </cell>
          <cell r="H15">
            <v>136.89510450000003</v>
          </cell>
        </row>
        <row r="16">
          <cell r="D16">
            <v>136.66666666666666</v>
          </cell>
          <cell r="E16">
            <v>217.7</v>
          </cell>
          <cell r="F16">
            <v>150.202</v>
          </cell>
          <cell r="G16">
            <v>153.26010000000002</v>
          </cell>
          <cell r="H16">
            <v>156.83370450000004</v>
          </cell>
        </row>
        <row r="17">
          <cell r="D17">
            <v>5000</v>
          </cell>
          <cell r="E17">
            <v>6000</v>
          </cell>
          <cell r="F17">
            <v>7000</v>
          </cell>
          <cell r="G17">
            <v>8000</v>
          </cell>
          <cell r="H17">
            <v>9000</v>
          </cell>
        </row>
        <row r="18">
          <cell r="D18">
            <v>-5000</v>
          </cell>
          <cell r="E18">
            <v>-6000</v>
          </cell>
          <cell r="F18">
            <v>-7000</v>
          </cell>
          <cell r="G18">
            <v>-8000</v>
          </cell>
          <cell r="H18">
            <v>-9000</v>
          </cell>
        </row>
        <row r="19">
          <cell r="D19">
            <v>0.08</v>
          </cell>
          <cell r="E19">
            <v>7.0000000000000007E-2</v>
          </cell>
          <cell r="F19">
            <v>0.06</v>
          </cell>
          <cell r="G19">
            <v>0.05</v>
          </cell>
          <cell r="H19">
            <v>4.4999999999999998E-2</v>
          </cell>
        </row>
        <row r="21">
          <cell r="D21">
            <v>-225</v>
          </cell>
          <cell r="E21">
            <v>-945</v>
          </cell>
          <cell r="F21">
            <v>-1581.6333333333332</v>
          </cell>
          <cell r="G21">
            <v>-1461.5786666666668</v>
          </cell>
          <cell r="H21">
            <v>-1401.24368</v>
          </cell>
        </row>
        <row r="23">
          <cell r="D23">
            <v>-700.00000000000011</v>
          </cell>
          <cell r="E23">
            <v>-840.00000000000011</v>
          </cell>
          <cell r="F23">
            <v>-980.00000000000011</v>
          </cell>
          <cell r="G23">
            <v>-1120</v>
          </cell>
          <cell r="H23">
            <v>-1260.0000000000002</v>
          </cell>
        </row>
        <row r="24">
          <cell r="D24">
            <v>-765</v>
          </cell>
          <cell r="E24">
            <v>0</v>
          </cell>
          <cell r="F24">
            <v>-1218.8733333333334</v>
          </cell>
          <cell r="G24">
            <v>-1732.7212666666671</v>
          </cell>
          <cell r="H24">
            <v>-2286.0708064999985</v>
          </cell>
        </row>
        <row r="32">
          <cell r="D32">
            <v>0</v>
          </cell>
          <cell r="E32">
            <v>765</v>
          </cell>
          <cell r="F32">
            <v>0</v>
          </cell>
          <cell r="G32">
            <v>1218.8733333333334</v>
          </cell>
          <cell r="H32">
            <v>1732.7212666666669</v>
          </cell>
        </row>
        <row r="101">
          <cell r="D101">
            <v>271.23287671232879</v>
          </cell>
          <cell r="E101">
            <v>116.08767123287672</v>
          </cell>
          <cell r="F101">
            <v>512.72054794520545</v>
          </cell>
          <cell r="G101">
            <v>646.02789041095912</v>
          </cell>
          <cell r="H101">
            <v>787.61566972602759</v>
          </cell>
        </row>
        <row r="108">
          <cell r="D108">
            <v>3000</v>
          </cell>
          <cell r="E108">
            <v>1260</v>
          </cell>
          <cell r="F108">
            <v>5486.25</v>
          </cell>
          <cell r="G108">
            <v>6846.8400000000011</v>
          </cell>
          <cell r="H108">
            <v>8307.4992000000002</v>
          </cell>
        </row>
        <row r="112">
          <cell r="D112">
            <v>739.72602739726028</v>
          </cell>
          <cell r="E112">
            <v>310.6849315068493</v>
          </cell>
          <cell r="F112">
            <v>1352.7739726027398</v>
          </cell>
          <cell r="G112">
            <v>1688.2619178082196</v>
          </cell>
          <cell r="H112">
            <v>2048.4244602739727</v>
          </cell>
        </row>
        <row r="129">
          <cell r="D129">
            <v>1573.9155251141551</v>
          </cell>
          <cell r="E129">
            <v>642.89794520547935</v>
          </cell>
          <cell r="F129">
            <v>2960.2301940639272</v>
          </cell>
          <cell r="G129">
            <v>3730.4258321917814</v>
          </cell>
          <cell r="H129">
            <v>4550.6215555907547</v>
          </cell>
        </row>
        <row r="139">
          <cell r="D139">
            <v>1573.9155251141551</v>
          </cell>
          <cell r="E139">
            <v>-931.01757990867577</v>
          </cell>
          <cell r="F139">
            <v>2317.3322488584481</v>
          </cell>
          <cell r="G139">
            <v>770.19563812785418</v>
          </cell>
          <cell r="H139">
            <v>820.19572339897331</v>
          </cell>
        </row>
        <row r="141">
          <cell r="C141">
            <v>5000</v>
          </cell>
          <cell r="D141">
            <v>0</v>
          </cell>
          <cell r="E141">
            <v>1711.0844748858435</v>
          </cell>
          <cell r="F141">
            <v>1571.1020547945191</v>
          </cell>
          <cell r="G141">
            <v>5710.896472602737</v>
          </cell>
          <cell r="H141">
            <v>13333.16456780821</v>
          </cell>
        </row>
        <row r="142">
          <cell r="C142">
            <v>0</v>
          </cell>
          <cell r="D142">
            <v>22000</v>
          </cell>
          <cell r="E142">
            <v>17300</v>
          </cell>
          <cell r="F142">
            <v>34431.25</v>
          </cell>
          <cell r="G142">
            <v>42234.200000000004</v>
          </cell>
          <cell r="H142">
            <v>50537.495999999999</v>
          </cell>
        </row>
        <row r="143">
          <cell r="C143">
            <v>-5000</v>
          </cell>
          <cell r="D143">
            <v>-20288.915525114156</v>
          </cell>
          <cell r="E143">
            <v>-17439.982420091324</v>
          </cell>
          <cell r="F143">
            <v>-30291.455582191782</v>
          </cell>
          <cell r="G143">
            <v>-34611.931904794532</v>
          </cell>
          <cell r="H143">
            <v>-40812.164817398982</v>
          </cell>
        </row>
        <row r="144">
          <cell r="C144">
            <v>-5000</v>
          </cell>
          <cell r="D144">
            <v>1711.0844748858435</v>
          </cell>
          <cell r="E144">
            <v>-139.98242009132446</v>
          </cell>
          <cell r="F144">
            <v>4139.794417808218</v>
          </cell>
          <cell r="G144">
            <v>7622.2680952054725</v>
          </cell>
          <cell r="H144">
            <v>9725.3311826010176</v>
          </cell>
        </row>
        <row r="145">
          <cell r="C145">
            <v>0</v>
          </cell>
          <cell r="D145">
            <v>1711.0844748858435</v>
          </cell>
          <cell r="E145">
            <v>1571.1020547945191</v>
          </cell>
          <cell r="F145">
            <v>5710.896472602737</v>
          </cell>
          <cell r="G145">
            <v>13333.16456780821</v>
          </cell>
          <cell r="H145">
            <v>23058.495750409227</v>
          </cell>
        </row>
        <row r="146">
          <cell r="C146">
            <v>0</v>
          </cell>
          <cell r="D146">
            <v>1711.0844748858435</v>
          </cell>
          <cell r="E146">
            <v>3282.1865296803626</v>
          </cell>
          <cell r="F146">
            <v>8993.0830022830996</v>
          </cell>
          <cell r="G146">
            <v>22326.247570091309</v>
          </cell>
          <cell r="H146">
            <v>45384.743320500536</v>
          </cell>
        </row>
        <row r="151">
          <cell r="C151">
            <v>5000</v>
          </cell>
          <cell r="D151">
            <v>6775</v>
          </cell>
          <cell r="E151">
            <v>9830</v>
          </cell>
          <cell r="F151">
            <v>8581.7000000000007</v>
          </cell>
          <cell r="G151">
            <v>7386.7880000000005</v>
          </cell>
          <cell r="H151">
            <v>6185.54432</v>
          </cell>
        </row>
        <row r="152">
          <cell r="C152">
            <v>0</v>
          </cell>
          <cell r="D152">
            <v>0</v>
          </cell>
          <cell r="E152">
            <v>1000</v>
          </cell>
          <cell r="F152">
            <v>666.66666666666674</v>
          </cell>
          <cell r="G152">
            <v>400.00000000000006</v>
          </cell>
          <cell r="H152">
            <v>200.00000000000006</v>
          </cell>
        </row>
        <row r="156">
          <cell r="C156">
            <v>0</v>
          </cell>
          <cell r="D156">
            <v>271.23287671232879</v>
          </cell>
          <cell r="E156">
            <v>116.08767123287672</v>
          </cell>
          <cell r="F156">
            <v>512.72054794520545</v>
          </cell>
          <cell r="G156">
            <v>646.02789041095912</v>
          </cell>
          <cell r="H156">
            <v>787.61566972602759</v>
          </cell>
        </row>
        <row r="157">
          <cell r="C157">
            <v>0</v>
          </cell>
          <cell r="D157">
            <v>336.98630136986299</v>
          </cell>
          <cell r="E157">
            <v>214.71780821917807</v>
          </cell>
          <cell r="F157">
            <v>617.26849315068489</v>
          </cell>
          <cell r="G157">
            <v>755.80323287671251</v>
          </cell>
          <cell r="H157">
            <v>902.33090260273991</v>
          </cell>
        </row>
        <row r="158">
          <cell r="C158">
            <v>0</v>
          </cell>
          <cell r="D158">
            <v>739.72602739726028</v>
          </cell>
          <cell r="E158">
            <v>310.6849315068493</v>
          </cell>
          <cell r="F158">
            <v>1352.7739726027398</v>
          </cell>
          <cell r="G158">
            <v>1688.2619178082196</v>
          </cell>
          <cell r="H158">
            <v>2048.4244602739727</v>
          </cell>
        </row>
        <row r="159">
          <cell r="C159">
            <v>0</v>
          </cell>
          <cell r="D159">
            <v>687.5</v>
          </cell>
          <cell r="E159">
            <v>294.25</v>
          </cell>
          <cell r="F159">
            <v>1299.6041666666667</v>
          </cell>
          <cell r="G159">
            <v>1637.5012500000003</v>
          </cell>
          <cell r="H159">
            <v>1996.3869406250005</v>
          </cell>
        </row>
        <row r="160">
          <cell r="C160">
            <v>0</v>
          </cell>
          <cell r="D160">
            <v>1711.0844748858435</v>
          </cell>
          <cell r="E160">
            <v>1571.1020547945191</v>
          </cell>
          <cell r="F160">
            <v>5710.896472602737</v>
          </cell>
          <cell r="G160">
            <v>13333.16456780821</v>
          </cell>
          <cell r="H160">
            <v>23058.495750409227</v>
          </cell>
        </row>
        <row r="166">
          <cell r="C166">
            <v>5000</v>
          </cell>
          <cell r="D166">
            <v>7000</v>
          </cell>
          <cell r="E166">
            <v>12000</v>
          </cell>
          <cell r="F166">
            <v>12000</v>
          </cell>
          <cell r="G166">
            <v>12000</v>
          </cell>
          <cell r="H166">
            <v>12000</v>
          </cell>
        </row>
        <row r="167">
          <cell r="D167">
            <v>0</v>
          </cell>
          <cell r="E167">
            <v>765</v>
          </cell>
          <cell r="F167">
            <v>765</v>
          </cell>
          <cell r="G167">
            <v>1983.8733333333334</v>
          </cell>
          <cell r="H167">
            <v>3716.5946000000004</v>
          </cell>
        </row>
        <row r="168">
          <cell r="C168">
            <v>0</v>
          </cell>
          <cell r="D168">
            <v>0</v>
          </cell>
          <cell r="E168">
            <v>2295</v>
          </cell>
          <cell r="F168">
            <v>279</v>
          </cell>
          <cell r="G168">
            <v>3935.6200000000003</v>
          </cell>
          <cell r="H168">
            <v>9133.7838000000011</v>
          </cell>
        </row>
        <row r="169">
          <cell r="C169">
            <v>0</v>
          </cell>
          <cell r="D169">
            <v>3060</v>
          </cell>
          <cell r="E169">
            <v>-2016</v>
          </cell>
          <cell r="F169">
            <v>4875.4933333333338</v>
          </cell>
          <cell r="G169">
            <v>6930.8850666666676</v>
          </cell>
          <cell r="H169">
            <v>9144.2832259999941</v>
          </cell>
        </row>
        <row r="179">
          <cell r="C179">
            <v>0</v>
          </cell>
          <cell r="D179">
            <v>461.52968036529683</v>
          </cell>
          <cell r="E179">
            <v>292.84246575342468</v>
          </cell>
          <cell r="F179">
            <v>822.13698630136992</v>
          </cell>
          <cell r="G179">
            <v>997.16845890410946</v>
          </cell>
          <cell r="H179">
            <v>1184.1364176369862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rapov.ru/soft/multilingual-excel-functions/" TargetMode="External"/><Relationship Id="rId1" Type="http://schemas.openxmlformats.org/officeDocument/2006/relationships/hyperlink" Target="http://www.calkoo.com/?lang=3&amp;page=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adyratios.com/referen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opLeftCell="A191" zoomScale="130" zoomScaleNormal="130" workbookViewId="0">
      <selection activeCell="D45" sqref="D45"/>
    </sheetView>
  </sheetViews>
  <sheetFormatPr defaultColWidth="8.88671875" defaultRowHeight="14.4" x14ac:dyDescent="0.3"/>
  <cols>
    <col min="1" max="1" width="51.5546875" style="1" customWidth="1"/>
    <col min="2" max="2" width="8.5546875" style="1" customWidth="1"/>
    <col min="3" max="8" width="12.6640625" style="1" customWidth="1"/>
    <col min="9" max="9" width="15.6640625" style="1" customWidth="1"/>
    <col min="10" max="16384" width="8.88671875" style="1"/>
  </cols>
  <sheetData>
    <row r="1" spans="1:10" ht="28.8" x14ac:dyDescent="0.3">
      <c r="A1" s="221" t="s">
        <v>227</v>
      </c>
      <c r="H1" s="6" t="s">
        <v>228</v>
      </c>
      <c r="J1" s="44" t="s">
        <v>12</v>
      </c>
    </row>
    <row r="2" spans="1:10" ht="18.600000000000001" thickBot="1" x14ac:dyDescent="0.35">
      <c r="A2" s="12" t="s">
        <v>213</v>
      </c>
      <c r="H2" s="6" t="s">
        <v>229</v>
      </c>
      <c r="J2" s="44" t="s">
        <v>13</v>
      </c>
    </row>
    <row r="3" spans="1:10" ht="42.6" thickBot="1" x14ac:dyDescent="0.35">
      <c r="A3" s="266" t="s">
        <v>230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f>'Cash Flow уточненный'!D7</f>
        <v>75</v>
      </c>
      <c r="E7" s="7"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ht="15.6" x14ac:dyDescent="0.3">
      <c r="A8" s="1" t="s">
        <v>237</v>
      </c>
      <c r="C8" s="7"/>
      <c r="D8" s="7">
        <v>200</v>
      </c>
      <c r="E8" s="7">
        <v>200</v>
      </c>
      <c r="F8" s="7">
        <f>E8</f>
        <v>200</v>
      </c>
      <c r="G8" s="7">
        <f t="shared" ref="G8:H8" si="2">F8</f>
        <v>200</v>
      </c>
      <c r="H8" s="7">
        <f t="shared" si="2"/>
        <v>200</v>
      </c>
      <c r="I8" s="8">
        <f>SUM(D8:H8)/COUNTA(D8:H8)</f>
        <v>200</v>
      </c>
      <c r="J8" s="1" t="s">
        <v>240</v>
      </c>
    </row>
    <row r="9" spans="1:10" ht="15.6" x14ac:dyDescent="0.3">
      <c r="A9" s="4" t="s">
        <v>245</v>
      </c>
      <c r="B9" s="4"/>
      <c r="C9" s="11"/>
      <c r="D9" s="11">
        <f>D8*D7</f>
        <v>15000</v>
      </c>
      <c r="E9" s="11">
        <f>E8*E7</f>
        <v>6000</v>
      </c>
      <c r="F9" s="11">
        <f t="shared" ref="F9:H9" si="3">F8*F7</f>
        <v>25000</v>
      </c>
      <c r="G9" s="11">
        <f t="shared" si="3"/>
        <v>30000</v>
      </c>
      <c r="H9" s="11">
        <f t="shared" si="3"/>
        <v>35000</v>
      </c>
      <c r="I9" s="8">
        <f>SUM(D9:H9)</f>
        <v>111000</v>
      </c>
    </row>
    <row r="10" spans="1:10" ht="15.6" x14ac:dyDescent="0.3">
      <c r="A10" s="4" t="s">
        <v>246</v>
      </c>
      <c r="B10" s="4"/>
      <c r="C10" s="11"/>
      <c r="D10" s="11">
        <f>D11+D12</f>
        <v>-10250</v>
      </c>
      <c r="E10" s="11">
        <f t="shared" ref="E10:H10" si="4">E11+E12</f>
        <v>-6300</v>
      </c>
      <c r="F10" s="11">
        <f t="shared" si="4"/>
        <v>-16750</v>
      </c>
      <c r="G10" s="11">
        <f t="shared" si="4"/>
        <v>-19500</v>
      </c>
      <c r="H10" s="11">
        <f t="shared" si="4"/>
        <v>-22250</v>
      </c>
      <c r="I10" s="8">
        <f t="shared" ref="I10:I12" si="5">SUM(D10:H10)</f>
        <v>-75050</v>
      </c>
    </row>
    <row r="11" spans="1:10" s="6" customFormat="1" ht="15.6" x14ac:dyDescent="0.3">
      <c r="A11" s="6" t="s">
        <v>238</v>
      </c>
      <c r="C11" s="10"/>
      <c r="D11" s="10">
        <v>-2000</v>
      </c>
      <c r="E11" s="10">
        <v>-3000</v>
      </c>
      <c r="F11" s="7">
        <f>E11</f>
        <v>-3000</v>
      </c>
      <c r="G11" s="7">
        <f t="shared" ref="G11:H11" si="6">F11</f>
        <v>-3000</v>
      </c>
      <c r="H11" s="7">
        <f t="shared" si="6"/>
        <v>-3000</v>
      </c>
      <c r="I11" s="8">
        <f t="shared" si="5"/>
        <v>-14000</v>
      </c>
    </row>
    <row r="12" spans="1:10" s="6" customFormat="1" ht="15.6" x14ac:dyDescent="0.3">
      <c r="A12" s="6" t="s">
        <v>239</v>
      </c>
      <c r="C12" s="10"/>
      <c r="D12" s="10">
        <f>-D13*D7</f>
        <v>-8250</v>
      </c>
      <c r="E12" s="10">
        <f>-E13*E7</f>
        <v>-3300</v>
      </c>
      <c r="F12" s="10">
        <f t="shared" ref="F12:H12" si="7">-F13*F7</f>
        <v>-13750</v>
      </c>
      <c r="G12" s="10">
        <f t="shared" si="7"/>
        <v>-16500</v>
      </c>
      <c r="H12" s="10">
        <f t="shared" si="7"/>
        <v>-19250</v>
      </c>
      <c r="I12" s="8">
        <f t="shared" si="5"/>
        <v>-61050</v>
      </c>
    </row>
    <row r="13" spans="1:10" s="6" customFormat="1" ht="15.6" x14ac:dyDescent="0.3">
      <c r="A13" s="6" t="s">
        <v>241</v>
      </c>
      <c r="C13" s="10"/>
      <c r="D13" s="10">
        <v>110</v>
      </c>
      <c r="E13" s="10">
        <f>D13</f>
        <v>110</v>
      </c>
      <c r="F13" s="10">
        <f t="shared" ref="F13:H13" si="8">E13</f>
        <v>110</v>
      </c>
      <c r="G13" s="10">
        <f t="shared" si="8"/>
        <v>110</v>
      </c>
      <c r="H13" s="10">
        <f t="shared" si="8"/>
        <v>110</v>
      </c>
      <c r="I13" s="8">
        <f>SUM(D13:H13)/COUNTA(D13:H13)</f>
        <v>110</v>
      </c>
      <c r="J13" s="1" t="s">
        <v>240</v>
      </c>
    </row>
    <row r="14" spans="1:10" s="6" customFormat="1" ht="28.8" x14ac:dyDescent="0.3">
      <c r="A14" s="256" t="s">
        <v>242</v>
      </c>
      <c r="C14" s="10"/>
      <c r="D14" s="10">
        <f>-D10/D7</f>
        <v>136.66666666666666</v>
      </c>
      <c r="E14" s="10">
        <f>-E10/E7</f>
        <v>210</v>
      </c>
      <c r="F14" s="10">
        <f t="shared" ref="F14:H14" si="9">-F10/F7</f>
        <v>134</v>
      </c>
      <c r="G14" s="10">
        <f t="shared" si="9"/>
        <v>130</v>
      </c>
      <c r="H14" s="10">
        <f t="shared" si="9"/>
        <v>127.14285714285714</v>
      </c>
      <c r="I14" s="8">
        <f>SUM(D14:H14)/COUNTA(D14:H14)</f>
        <v>147.56190476190474</v>
      </c>
      <c r="J14" s="1" t="s">
        <v>240</v>
      </c>
    </row>
    <row r="15" spans="1:10" s="5" customFormat="1" ht="15.6" x14ac:dyDescent="0.3">
      <c r="A15" s="5" t="s">
        <v>243</v>
      </c>
      <c r="C15" s="9"/>
      <c r="D15" s="9"/>
      <c r="E15" s="9"/>
      <c r="F15" s="9"/>
      <c r="G15" s="9"/>
      <c r="H15" s="9"/>
      <c r="I15" s="8">
        <f t="shared" ref="I15:I24" si="10">SUM(D15:H15)</f>
        <v>0</v>
      </c>
    </row>
    <row r="16" spans="1:10" s="5" customFormat="1" ht="16.2" thickBot="1" x14ac:dyDescent="0.35">
      <c r="A16" s="5" t="s">
        <v>244</v>
      </c>
      <c r="C16" s="9"/>
      <c r="D16" s="9"/>
      <c r="E16" s="9"/>
      <c r="F16" s="9"/>
      <c r="G16" s="9"/>
      <c r="H16" s="9"/>
      <c r="I16" s="8">
        <f t="shared" si="10"/>
        <v>0</v>
      </c>
    </row>
    <row r="17" spans="1:11" s="3" customFormat="1" ht="63" thickBot="1" x14ac:dyDescent="0.35">
      <c r="A17" s="13" t="s">
        <v>450</v>
      </c>
      <c r="B17" s="13"/>
      <c r="C17" s="8">
        <f>C9+C10</f>
        <v>0</v>
      </c>
      <c r="D17" s="8">
        <f>D9+D10</f>
        <v>4750</v>
      </c>
      <c r="E17" s="8">
        <f t="shared" ref="E17:H17" si="11">E9+E10</f>
        <v>-300</v>
      </c>
      <c r="F17" s="8">
        <f t="shared" si="11"/>
        <v>8250</v>
      </c>
      <c r="G17" s="8">
        <f t="shared" si="11"/>
        <v>10500</v>
      </c>
      <c r="H17" s="8">
        <f t="shared" si="11"/>
        <v>12750</v>
      </c>
      <c r="I17" s="49">
        <f t="shared" si="10"/>
        <v>35950</v>
      </c>
    </row>
    <row r="18" spans="1:11" s="5" customFormat="1" ht="15.6" x14ac:dyDescent="0.3">
      <c r="A18" s="5" t="s">
        <v>247</v>
      </c>
      <c r="B18" s="16"/>
      <c r="C18" s="9">
        <v>0</v>
      </c>
      <c r="D18" s="9">
        <f>'Cash Flow уточненный'!D21</f>
        <v>-225</v>
      </c>
      <c r="E18" s="9">
        <f>'Cash Flow уточненный'!E21</f>
        <v>-1025</v>
      </c>
      <c r="F18" s="9">
        <f>'Cash Flow уточненный'!F21</f>
        <v>-1600.8333333333333</v>
      </c>
      <c r="G18" s="9">
        <f>'Cash Flow уточненный'!G21</f>
        <v>-1454.6666666666667</v>
      </c>
      <c r="H18" s="9">
        <f>'Cash Flow уточненный'!H21</f>
        <v>-1385.3</v>
      </c>
      <c r="I18" s="8">
        <f t="shared" si="10"/>
        <v>-5690.8</v>
      </c>
    </row>
    <row r="19" spans="1:11" s="5" customFormat="1" ht="31.2" x14ac:dyDescent="0.3">
      <c r="A19" s="13" t="s">
        <v>451</v>
      </c>
      <c r="B19" s="17"/>
      <c r="C19" s="8">
        <f>C17+C18</f>
        <v>0</v>
      </c>
      <c r="D19" s="8">
        <f>D17+D18</f>
        <v>4525</v>
      </c>
      <c r="E19" s="8">
        <f t="shared" ref="E19:H19" si="12">E17+E18</f>
        <v>-1325</v>
      </c>
      <c r="F19" s="8">
        <f t="shared" si="12"/>
        <v>6649.166666666667</v>
      </c>
      <c r="G19" s="8">
        <f t="shared" si="12"/>
        <v>9045.3333333333339</v>
      </c>
      <c r="H19" s="8">
        <f t="shared" si="12"/>
        <v>11364.7</v>
      </c>
      <c r="I19" s="8">
        <f t="shared" si="10"/>
        <v>30259.200000000001</v>
      </c>
    </row>
    <row r="20" spans="1:11" s="5" customFormat="1" ht="15.6" x14ac:dyDescent="0.3">
      <c r="A20" s="5" t="s">
        <v>248</v>
      </c>
      <c r="B20" s="17"/>
      <c r="D20" s="9"/>
      <c r="E20" s="9"/>
      <c r="F20" s="9"/>
      <c r="G20" s="9"/>
      <c r="H20" s="9"/>
      <c r="I20" s="8">
        <f t="shared" si="10"/>
        <v>0</v>
      </c>
    </row>
    <row r="21" spans="1:11" s="5" customFormat="1" ht="16.2" thickBot="1" x14ac:dyDescent="0.35">
      <c r="A21" s="5" t="s">
        <v>249</v>
      </c>
      <c r="B21" s="16">
        <v>0.2</v>
      </c>
      <c r="C21" s="9">
        <f t="shared" ref="C21:D21" si="13">IF(C19+C20&lt;0,0,-(C19+C20)*$B$21)</f>
        <v>0</v>
      </c>
      <c r="D21" s="9">
        <f t="shared" si="13"/>
        <v>-905</v>
      </c>
      <c r="E21" s="9">
        <f>IF(E19+E20&lt;0,0,-(E19+E20)*$B$21)</f>
        <v>0</v>
      </c>
      <c r="F21" s="9">
        <f t="shared" ref="F21:H21" si="14">IF(F19+F20&lt;0,0,-(F19+F20)*$B$21)</f>
        <v>-1329.8333333333335</v>
      </c>
      <c r="G21" s="9">
        <f t="shared" si="14"/>
        <v>-1809.0666666666668</v>
      </c>
      <c r="H21" s="9">
        <f t="shared" si="14"/>
        <v>-2272.94</v>
      </c>
      <c r="I21" s="8">
        <f t="shared" si="10"/>
        <v>-6316.84</v>
      </c>
    </row>
    <row r="22" spans="1:11" s="3" customFormat="1" ht="31.8" thickBot="1" x14ac:dyDescent="0.35">
      <c r="A22" s="13" t="s">
        <v>454</v>
      </c>
      <c r="C22" s="8">
        <f>C19+C20+C21</f>
        <v>0</v>
      </c>
      <c r="D22" s="8">
        <f>D19+D20+D21</f>
        <v>3620</v>
      </c>
      <c r="E22" s="8">
        <f t="shared" ref="E22:H22" si="15">E19+E20+E21</f>
        <v>-1325</v>
      </c>
      <c r="F22" s="8">
        <f t="shared" si="15"/>
        <v>5319.3333333333339</v>
      </c>
      <c r="G22" s="8">
        <f t="shared" si="15"/>
        <v>7236.2666666666673</v>
      </c>
      <c r="H22" s="8">
        <f t="shared" si="15"/>
        <v>9091.76</v>
      </c>
      <c r="I22" s="49">
        <f t="shared" si="10"/>
        <v>23942.36</v>
      </c>
    </row>
    <row r="23" spans="1:11" s="5" customFormat="1" ht="28.8" x14ac:dyDescent="0.3">
      <c r="A23" s="257" t="s">
        <v>250</v>
      </c>
      <c r="C23" s="9">
        <f>C5</f>
        <v>5000</v>
      </c>
      <c r="D23" s="9">
        <f>C27</f>
        <v>0</v>
      </c>
      <c r="E23" s="9">
        <f t="shared" ref="E23:H23" si="16">D27</f>
        <v>3845</v>
      </c>
      <c r="F23" s="9">
        <f t="shared" si="16"/>
        <v>3545</v>
      </c>
      <c r="G23" s="9">
        <f t="shared" si="16"/>
        <v>10465.166666666668</v>
      </c>
      <c r="H23" s="9">
        <f t="shared" si="16"/>
        <v>19156.100000000002</v>
      </c>
      <c r="I23" s="9">
        <f>C23</f>
        <v>5000</v>
      </c>
    </row>
    <row r="24" spans="1:11" s="4" customFormat="1" x14ac:dyDescent="0.3">
      <c r="A24" s="4" t="s">
        <v>252</v>
      </c>
      <c r="C24" s="11">
        <f>C9</f>
        <v>0</v>
      </c>
      <c r="D24" s="11">
        <f>D9+D5</f>
        <v>17000</v>
      </c>
      <c r="E24" s="11">
        <f t="shared" ref="E24:H24" si="17">E9+E5</f>
        <v>11000</v>
      </c>
      <c r="F24" s="11">
        <f t="shared" si="17"/>
        <v>25000</v>
      </c>
      <c r="G24" s="11">
        <f t="shared" si="17"/>
        <v>30000</v>
      </c>
      <c r="H24" s="11">
        <f t="shared" si="17"/>
        <v>35000</v>
      </c>
      <c r="I24" s="11">
        <f t="shared" si="10"/>
        <v>118000</v>
      </c>
    </row>
    <row r="25" spans="1:11" s="4" customFormat="1" ht="15" thickBot="1" x14ac:dyDescent="0.35">
      <c r="A25" s="4" t="s">
        <v>251</v>
      </c>
      <c r="C25" s="11">
        <f>C6+C10+C20+C21</f>
        <v>-5000</v>
      </c>
      <c r="D25" s="11">
        <f t="shared" ref="D25:H25" si="18">D6+D10+D20+D21</f>
        <v>-13155</v>
      </c>
      <c r="E25" s="11">
        <f t="shared" si="18"/>
        <v>-11300</v>
      </c>
      <c r="F25" s="11">
        <f t="shared" si="18"/>
        <v>-18079.833333333332</v>
      </c>
      <c r="G25" s="11">
        <f t="shared" si="18"/>
        <v>-21309.066666666666</v>
      </c>
      <c r="H25" s="11">
        <f t="shared" si="18"/>
        <v>-24522.94</v>
      </c>
      <c r="I25" s="11">
        <f>SUM(C25:H25)</f>
        <v>-93366.84</v>
      </c>
    </row>
    <row r="26" spans="1:11" s="4" customFormat="1" ht="29.4" thickBot="1" x14ac:dyDescent="0.35">
      <c r="A26" s="258" t="s">
        <v>253</v>
      </c>
      <c r="C26" s="11">
        <f>C6</f>
        <v>-5000</v>
      </c>
      <c r="D26" s="11">
        <f>D24+D25</f>
        <v>3845</v>
      </c>
      <c r="E26" s="11">
        <f t="shared" ref="E26:H26" si="19">E24+E25</f>
        <v>-300</v>
      </c>
      <c r="F26" s="11">
        <f t="shared" si="19"/>
        <v>6920.1666666666679</v>
      </c>
      <c r="G26" s="11">
        <f t="shared" si="19"/>
        <v>8690.9333333333343</v>
      </c>
      <c r="H26" s="11">
        <f t="shared" si="19"/>
        <v>10477.060000000001</v>
      </c>
      <c r="I26" s="42">
        <f>SUM(C26:H26)</f>
        <v>24633.160000000003</v>
      </c>
    </row>
    <row r="27" spans="1:11" s="5" customFormat="1" ht="28.8" x14ac:dyDescent="0.3">
      <c r="A27" s="257" t="s">
        <v>254</v>
      </c>
      <c r="C27" s="9">
        <f>C26+C23</f>
        <v>0</v>
      </c>
      <c r="D27" s="9">
        <f>D26+D23</f>
        <v>3845</v>
      </c>
      <c r="E27" s="9">
        <f t="shared" ref="E27:H27" si="20">E26+E23</f>
        <v>3545</v>
      </c>
      <c r="F27" s="9">
        <f t="shared" si="20"/>
        <v>10465.166666666668</v>
      </c>
      <c r="G27" s="9">
        <f t="shared" si="20"/>
        <v>19156.100000000002</v>
      </c>
      <c r="H27" s="9">
        <f t="shared" si="20"/>
        <v>29633.160000000003</v>
      </c>
      <c r="I27" s="9">
        <f>H27</f>
        <v>29633.160000000003</v>
      </c>
    </row>
    <row r="28" spans="1:11" s="5" customFormat="1" ht="28.8" x14ac:dyDescent="0.3">
      <c r="A28" s="257" t="s">
        <v>255</v>
      </c>
      <c r="C28" s="9">
        <f>C26</f>
        <v>-5000</v>
      </c>
      <c r="D28" s="9">
        <f>C28+D26</f>
        <v>-1155</v>
      </c>
      <c r="E28" s="9">
        <f t="shared" ref="E28:H28" si="21">D28+E26</f>
        <v>-1455</v>
      </c>
      <c r="F28" s="9">
        <f t="shared" si="21"/>
        <v>5465.1666666666679</v>
      </c>
      <c r="G28" s="9">
        <f t="shared" si="21"/>
        <v>14156.100000000002</v>
      </c>
      <c r="H28" s="9">
        <f t="shared" si="21"/>
        <v>24633.160000000003</v>
      </c>
      <c r="I28" s="46">
        <f>H28</f>
        <v>24633.160000000003</v>
      </c>
    </row>
    <row r="29" spans="1:11" ht="18.600000000000001" thickBot="1" x14ac:dyDescent="0.35">
      <c r="A29" s="47"/>
      <c r="B29" s="16"/>
      <c r="C29" s="23"/>
      <c r="D29" s="23"/>
      <c r="E29" s="23"/>
      <c r="F29" s="23"/>
      <c r="G29" s="23"/>
      <c r="H29" s="23"/>
    </row>
    <row r="30" spans="1:11" ht="55.2" thickBot="1" x14ac:dyDescent="0.35">
      <c r="A30" s="147" t="s">
        <v>372</v>
      </c>
      <c r="B30" s="53" t="s">
        <v>231</v>
      </c>
      <c r="C30" s="58" t="s">
        <v>5</v>
      </c>
      <c r="D30" s="59" t="s">
        <v>0</v>
      </c>
      <c r="E30" s="59" t="s">
        <v>1</v>
      </c>
      <c r="F30" s="59" t="s">
        <v>2</v>
      </c>
      <c r="G30" s="59" t="s">
        <v>3</v>
      </c>
      <c r="H30" s="59" t="s">
        <v>4</v>
      </c>
      <c r="I30" s="60" t="s">
        <v>232</v>
      </c>
    </row>
    <row r="31" spans="1:11" ht="36.6" thickBot="1" x14ac:dyDescent="0.35">
      <c r="A31" s="18" t="s">
        <v>256</v>
      </c>
      <c r="B31" s="14"/>
      <c r="C31" s="8">
        <f t="shared" ref="C31:D31" si="22">C26-C21</f>
        <v>-5000</v>
      </c>
      <c r="D31" s="8">
        <f t="shared" si="22"/>
        <v>4750</v>
      </c>
      <c r="E31" s="8">
        <f>E26-E21</f>
        <v>-300</v>
      </c>
      <c r="F31" s="8">
        <f t="shared" ref="F31:H31" si="23">F26-F21</f>
        <v>8250.0000000000018</v>
      </c>
      <c r="G31" s="8">
        <f t="shared" si="23"/>
        <v>10500.000000000002</v>
      </c>
      <c r="H31" s="8">
        <f t="shared" si="23"/>
        <v>12750.000000000002</v>
      </c>
      <c r="I31" s="62">
        <f>SUM(C31:H31)</f>
        <v>30950.000000000007</v>
      </c>
      <c r="K31"/>
    </row>
    <row r="32" spans="1:11" ht="36.6" thickBot="1" x14ac:dyDescent="0.35">
      <c r="A32" s="18" t="s">
        <v>257</v>
      </c>
      <c r="B32" s="14"/>
      <c r="C32" s="8">
        <f>C31+C21</f>
        <v>-5000</v>
      </c>
      <c r="D32" s="8">
        <f t="shared" ref="D32:H32" si="24">D31+D21</f>
        <v>3845</v>
      </c>
      <c r="E32" s="8">
        <f t="shared" si="24"/>
        <v>-300</v>
      </c>
      <c r="F32" s="8">
        <f t="shared" si="24"/>
        <v>6920.1666666666679</v>
      </c>
      <c r="G32" s="8">
        <f t="shared" si="24"/>
        <v>8690.9333333333343</v>
      </c>
      <c r="H32" s="8">
        <f t="shared" si="24"/>
        <v>10477.060000000001</v>
      </c>
      <c r="I32" s="81">
        <f>SUM(C32:H32)</f>
        <v>24633.160000000003</v>
      </c>
      <c r="J32"/>
      <c r="K32"/>
    </row>
    <row r="33" spans="1:11" ht="36.6" thickBot="1" x14ac:dyDescent="0.35">
      <c r="A33" s="45" t="s">
        <v>258</v>
      </c>
    </row>
    <row r="34" spans="1:11" ht="78.599999999999994" thickBot="1" x14ac:dyDescent="0.35">
      <c r="A34" s="147" t="s">
        <v>373</v>
      </c>
      <c r="B34" s="53" t="s">
        <v>231</v>
      </c>
      <c r="C34" s="58" t="s">
        <v>5</v>
      </c>
      <c r="D34" s="59" t="s">
        <v>0</v>
      </c>
      <c r="E34" s="59" t="s">
        <v>1</v>
      </c>
      <c r="F34" s="59" t="s">
        <v>2</v>
      </c>
      <c r="G34" s="59" t="s">
        <v>3</v>
      </c>
      <c r="H34" s="59" t="s">
        <v>4</v>
      </c>
      <c r="I34" s="60" t="s">
        <v>232</v>
      </c>
    </row>
    <row r="35" spans="1:11" ht="69" thickBot="1" x14ac:dyDescent="0.35">
      <c r="A35" s="18" t="s">
        <v>259</v>
      </c>
      <c r="B35" s="14"/>
      <c r="C35" s="8">
        <f t="shared" ref="C35:H35" si="25">IF(C28&lt;0,0,1)</f>
        <v>0</v>
      </c>
      <c r="D35" s="8">
        <f t="shared" si="25"/>
        <v>0</v>
      </c>
      <c r="E35" s="8">
        <f t="shared" si="25"/>
        <v>0</v>
      </c>
      <c r="F35" s="8">
        <f t="shared" si="25"/>
        <v>1</v>
      </c>
      <c r="G35" s="8">
        <f t="shared" si="25"/>
        <v>1</v>
      </c>
      <c r="H35" s="8">
        <f t="shared" si="25"/>
        <v>1</v>
      </c>
      <c r="I35" s="82">
        <f>I4-SUM(C35:H35)-SUM(C36:H36)</f>
        <v>2.2102550516606057</v>
      </c>
      <c r="K35"/>
    </row>
    <row r="36" spans="1:11" ht="15" thickBot="1" x14ac:dyDescent="0.35">
      <c r="A36" s="19" t="s">
        <v>260</v>
      </c>
      <c r="C36" s="20">
        <f>IF(AND(B35=0,C35=1),C28/E5,0)</f>
        <v>0</v>
      </c>
      <c r="D36" s="20">
        <f>IF(AND(C35=0,D35=1),D28/F5,0)</f>
        <v>0</v>
      </c>
      <c r="E36" s="20">
        <f>IF(AND(D35=0,E35=1),E28/G5,0)</f>
        <v>0</v>
      </c>
      <c r="F36" s="20">
        <f>IF(AND(E35=0,F35=1),F28/F32,0)</f>
        <v>0.78974494833939457</v>
      </c>
      <c r="G36" s="20">
        <f>IF(AND(F35=0,G35=1),G28/G26,0)</f>
        <v>0</v>
      </c>
      <c r="H36" s="20">
        <f>IF(AND(G35=0,H35=1),H28/J5,0)</f>
        <v>0</v>
      </c>
    </row>
    <row r="37" spans="1:11" ht="18.600000000000001" thickBot="1" x14ac:dyDescent="0.35">
      <c r="A37" s="14" t="s">
        <v>261</v>
      </c>
      <c r="C37" s="20"/>
      <c r="D37" s="20"/>
      <c r="E37" s="20"/>
      <c r="F37" s="20"/>
      <c r="G37" s="20"/>
      <c r="H37" s="20"/>
      <c r="I37" s="56">
        <f>I35</f>
        <v>2.2102550516606057</v>
      </c>
    </row>
    <row r="38" spans="1:11" ht="18.600000000000001" thickBot="1" x14ac:dyDescent="0.35">
      <c r="A38" s="14" t="s">
        <v>262</v>
      </c>
      <c r="C38" s="1">
        <f t="shared" ref="C38:H38" si="26">IF(C28&lt;0,C7,0)</f>
        <v>0</v>
      </c>
      <c r="D38" s="1">
        <f t="shared" si="26"/>
        <v>75</v>
      </c>
      <c r="E38" s="1">
        <f t="shared" si="26"/>
        <v>30</v>
      </c>
      <c r="F38" s="1">
        <f t="shared" si="26"/>
        <v>0</v>
      </c>
      <c r="G38" s="1">
        <f t="shared" si="26"/>
        <v>0</v>
      </c>
      <c r="H38" s="1">
        <f t="shared" si="26"/>
        <v>0</v>
      </c>
      <c r="I38" s="15">
        <f>SUM(C38:H38)+SUMPRODUCT(C7:H7,C36:H36)</f>
        <v>203.71811854242432</v>
      </c>
    </row>
    <row r="39" spans="1:11" s="5" customFormat="1" ht="28.8" x14ac:dyDescent="0.3">
      <c r="A39" s="257" t="s">
        <v>263</v>
      </c>
      <c r="C39" s="30"/>
      <c r="D39" s="30">
        <f>D32/D7</f>
        <v>51.266666666666666</v>
      </c>
      <c r="E39" s="30">
        <f>E32/E7</f>
        <v>-10</v>
      </c>
      <c r="F39" s="30">
        <f>F32/F7</f>
        <v>55.361333333333341</v>
      </c>
      <c r="G39" s="30">
        <f>G32/G7</f>
        <v>57.939555555555565</v>
      </c>
      <c r="H39" s="30">
        <f>H32/H7</f>
        <v>59.86891428571429</v>
      </c>
      <c r="I39" s="31"/>
      <c r="K39" s="30"/>
    </row>
    <row r="40" spans="1:11" s="5" customFormat="1" ht="28.8" x14ac:dyDescent="0.3">
      <c r="A40" s="257" t="s">
        <v>264</v>
      </c>
      <c r="C40" s="5">
        <f>C7</f>
        <v>0</v>
      </c>
      <c r="D40" s="5">
        <f>C40+D7</f>
        <v>75</v>
      </c>
      <c r="E40" s="5">
        <f>D40+E7</f>
        <v>105</v>
      </c>
      <c r="F40" s="5">
        <f>E40+F7</f>
        <v>230</v>
      </c>
      <c r="G40" s="5">
        <f>F40+G7</f>
        <v>380</v>
      </c>
      <c r="H40" s="5">
        <f>G40+H7</f>
        <v>555</v>
      </c>
      <c r="I40" s="31"/>
    </row>
    <row r="41" spans="1:11" ht="64.5" customHeight="1" thickBot="1" x14ac:dyDescent="0.35">
      <c r="A41" s="40" t="s">
        <v>265</v>
      </c>
      <c r="C41" s="356" t="s">
        <v>266</v>
      </c>
      <c r="D41" s="356"/>
      <c r="E41" s="356"/>
      <c r="F41" s="356"/>
      <c r="G41" s="356"/>
      <c r="H41" s="356"/>
    </row>
    <row r="42" spans="1:11" ht="78.599999999999994" thickBot="1" x14ac:dyDescent="0.35">
      <c r="A42" s="147" t="s">
        <v>374</v>
      </c>
      <c r="B42" s="53" t="s">
        <v>231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232</v>
      </c>
    </row>
    <row r="43" spans="1:11" ht="36.6" thickBot="1" x14ac:dyDescent="0.35">
      <c r="A43" s="18" t="s">
        <v>257</v>
      </c>
      <c r="C43" s="8">
        <f t="shared" ref="C43:H43" si="27">C32</f>
        <v>-5000</v>
      </c>
      <c r="D43" s="8">
        <f t="shared" si="27"/>
        <v>3845</v>
      </c>
      <c r="E43" s="8">
        <f t="shared" si="27"/>
        <v>-300</v>
      </c>
      <c r="F43" s="8">
        <f t="shared" si="27"/>
        <v>6920.1666666666679</v>
      </c>
      <c r="G43" s="8">
        <f t="shared" si="27"/>
        <v>8690.9333333333343</v>
      </c>
      <c r="H43" s="8">
        <f t="shared" si="27"/>
        <v>10477.060000000001</v>
      </c>
      <c r="I43" s="21">
        <f>SUM(C43:H43)</f>
        <v>24633.160000000003</v>
      </c>
    </row>
    <row r="44" spans="1:11" ht="15.6" x14ac:dyDescent="0.3">
      <c r="A44" s="48" t="s">
        <v>267</v>
      </c>
      <c r="B44" s="16">
        <v>0.12</v>
      </c>
      <c r="C44" s="23">
        <f>1</f>
        <v>1</v>
      </c>
      <c r="D44" s="23">
        <f>(1+$B$55)^(D4-1)</f>
        <v>1.1200000000000001</v>
      </c>
      <c r="E44" s="23">
        <f>(1+$B$55)^(E4-1)</f>
        <v>1.2544000000000002</v>
      </c>
      <c r="F44" s="23">
        <f>(1+$B$55)^(F4-1)</f>
        <v>1.4049280000000004</v>
      </c>
      <c r="G44" s="23">
        <f>(1+$B$55)^(G4-1)</f>
        <v>1.5735193600000004</v>
      </c>
      <c r="H44" s="23">
        <f>(1+$B$55)^(H4-1)</f>
        <v>1.7623416832000005</v>
      </c>
      <c r="J44"/>
    </row>
    <row r="45" spans="1:11" ht="31.8" thickBot="1" x14ac:dyDescent="0.35">
      <c r="A45" s="260" t="s">
        <v>288</v>
      </c>
      <c r="B45" s="16"/>
      <c r="C45" s="23">
        <f t="shared" ref="C45:H45" si="28">C56</f>
        <v>1</v>
      </c>
      <c r="D45" s="23">
        <f t="shared" si="28"/>
        <v>0.89285714285714279</v>
      </c>
      <c r="E45" s="23">
        <f t="shared" si="28"/>
        <v>0.79719387755102034</v>
      </c>
      <c r="F45" s="23">
        <f t="shared" si="28"/>
        <v>0.71178024781341087</v>
      </c>
      <c r="G45" s="23">
        <f t="shared" si="28"/>
        <v>0.63551807840483121</v>
      </c>
      <c r="H45" s="23">
        <f t="shared" si="28"/>
        <v>0.56742685571859919</v>
      </c>
    </row>
    <row r="46" spans="1:11" ht="36.6" thickBot="1" x14ac:dyDescent="0.35">
      <c r="A46" s="18" t="s">
        <v>268</v>
      </c>
      <c r="B46" s="16"/>
      <c r="C46" s="50">
        <f t="shared" ref="C46:H46" si="29">C43*C45</f>
        <v>-5000</v>
      </c>
      <c r="D46" s="50">
        <f t="shared" si="29"/>
        <v>3433.0357142857142</v>
      </c>
      <c r="E46" s="50">
        <f t="shared" si="29"/>
        <v>-239.15816326530609</v>
      </c>
      <c r="F46" s="50">
        <f t="shared" si="29"/>
        <v>4925.6379449101059</v>
      </c>
      <c r="G46" s="50">
        <f t="shared" si="29"/>
        <v>5523.2452515444947</v>
      </c>
      <c r="H46" s="50">
        <f t="shared" si="29"/>
        <v>5944.9652129751075</v>
      </c>
      <c r="I46" s="83">
        <f>SUM(C46:H46)</f>
        <v>14587.725960450116</v>
      </c>
      <c r="J46" s="20"/>
      <c r="K46"/>
    </row>
    <row r="47" spans="1:11" ht="36.6" thickBot="1" x14ac:dyDescent="0.35">
      <c r="A47" s="93" t="s">
        <v>269</v>
      </c>
      <c r="C47" s="1" t="s">
        <v>271</v>
      </c>
    </row>
    <row r="48" spans="1:11" ht="55.2" thickBot="1" x14ac:dyDescent="0.35">
      <c r="A48" s="147" t="s">
        <v>375</v>
      </c>
      <c r="B48" s="53" t="s">
        <v>231</v>
      </c>
      <c r="C48" s="58" t="s">
        <v>5</v>
      </c>
      <c r="D48" s="59" t="s">
        <v>0</v>
      </c>
      <c r="E48" s="59" t="s">
        <v>1</v>
      </c>
      <c r="F48" s="59" t="s">
        <v>2</v>
      </c>
      <c r="G48" s="59" t="s">
        <v>3</v>
      </c>
      <c r="H48" s="59" t="s">
        <v>4</v>
      </c>
      <c r="I48" s="60" t="s">
        <v>232</v>
      </c>
    </row>
    <row r="49" spans="1:11" ht="36.6" thickBot="1" x14ac:dyDescent="0.35">
      <c r="A49" s="18" t="s">
        <v>257</v>
      </c>
      <c r="C49" s="8">
        <f t="shared" ref="C49:H49" si="30">C32</f>
        <v>-5000</v>
      </c>
      <c r="D49" s="8">
        <f t="shared" si="30"/>
        <v>3845</v>
      </c>
      <c r="E49" s="8">
        <f t="shared" si="30"/>
        <v>-300</v>
      </c>
      <c r="F49" s="8">
        <f t="shared" si="30"/>
        <v>6920.1666666666679</v>
      </c>
      <c r="G49" s="8">
        <f t="shared" si="30"/>
        <v>8690.9333333333343</v>
      </c>
      <c r="H49" s="8">
        <f t="shared" si="30"/>
        <v>10477.060000000001</v>
      </c>
      <c r="I49" s="21">
        <f>SUM(C49:H49)</f>
        <v>24633.160000000003</v>
      </c>
    </row>
    <row r="50" spans="1:11" ht="16.2" thickBot="1" x14ac:dyDescent="0.35">
      <c r="A50" s="48" t="s">
        <v>273</v>
      </c>
      <c r="B50" s="16">
        <v>0.1</v>
      </c>
      <c r="C50" s="23">
        <f t="shared" ref="C50:H50" si="31">(1+$B$50)^($I$4-C4)</f>
        <v>1.6105100000000006</v>
      </c>
      <c r="D50" s="23">
        <f t="shared" si="31"/>
        <v>1.4641000000000004</v>
      </c>
      <c r="E50" s="23">
        <f t="shared" si="31"/>
        <v>1.3310000000000004</v>
      </c>
      <c r="F50" s="23">
        <f t="shared" si="31"/>
        <v>1.2100000000000002</v>
      </c>
      <c r="G50" s="23">
        <f t="shared" si="31"/>
        <v>1.1000000000000001</v>
      </c>
      <c r="H50" s="23">
        <f t="shared" si="31"/>
        <v>1</v>
      </c>
      <c r="J50"/>
    </row>
    <row r="51" spans="1:11" ht="65.400000000000006" thickBot="1" x14ac:dyDescent="0.35">
      <c r="A51" s="18" t="s">
        <v>274</v>
      </c>
      <c r="B51" s="16"/>
      <c r="C51" s="50">
        <f>IF(C49&lt;0,0,C49*C50)</f>
        <v>0</v>
      </c>
      <c r="D51" s="50">
        <f>IF(D49&lt;0,0,D49*D50)</f>
        <v>5629.4645000000019</v>
      </c>
      <c r="E51" s="50">
        <f t="shared" ref="E51:H51" si="32">IF(E49&lt;0,0,E49*E50)</f>
        <v>0</v>
      </c>
      <c r="F51" s="50">
        <f t="shared" si="32"/>
        <v>8373.4016666666703</v>
      </c>
      <c r="G51" s="50">
        <f t="shared" si="32"/>
        <v>9560.0266666666685</v>
      </c>
      <c r="H51" s="50">
        <f t="shared" si="32"/>
        <v>10477.060000000001</v>
      </c>
      <c r="I51" s="83">
        <f>SUM(C51:H51)</f>
        <v>34039.952833333344</v>
      </c>
      <c r="J51" s="20"/>
      <c r="K51"/>
    </row>
    <row r="52" spans="1:11" ht="36.6" thickBot="1" x14ac:dyDescent="0.35">
      <c r="A52" s="93" t="s">
        <v>270</v>
      </c>
      <c r="C52" s="1" t="s">
        <v>272</v>
      </c>
    </row>
    <row r="53" spans="1:11" ht="78.599999999999994" thickBot="1" x14ac:dyDescent="0.35">
      <c r="A53" s="147" t="s">
        <v>370</v>
      </c>
      <c r="B53" s="53" t="s">
        <v>231</v>
      </c>
      <c r="C53" s="58" t="s">
        <v>5</v>
      </c>
      <c r="D53" s="59" t="s">
        <v>0</v>
      </c>
      <c r="E53" s="59" t="s">
        <v>1</v>
      </c>
      <c r="F53" s="59" t="s">
        <v>2</v>
      </c>
      <c r="G53" s="59" t="s">
        <v>3</v>
      </c>
      <c r="H53" s="59" t="s">
        <v>4</v>
      </c>
      <c r="I53" s="60" t="s">
        <v>232</v>
      </c>
    </row>
    <row r="54" spans="1:11" s="51" customFormat="1" ht="36.6" thickBot="1" x14ac:dyDescent="0.35">
      <c r="A54" s="18" t="s">
        <v>257</v>
      </c>
      <c r="C54" s="8">
        <f t="shared" ref="C54:H54" si="33">C32</f>
        <v>-5000</v>
      </c>
      <c r="D54" s="8">
        <f t="shared" si="33"/>
        <v>3845</v>
      </c>
      <c r="E54" s="8">
        <f t="shared" si="33"/>
        <v>-300</v>
      </c>
      <c r="F54" s="8">
        <f t="shared" si="33"/>
        <v>6920.1666666666679</v>
      </c>
      <c r="G54" s="8">
        <f t="shared" si="33"/>
        <v>8690.9333333333343</v>
      </c>
      <c r="H54" s="8">
        <f t="shared" si="33"/>
        <v>10477.060000000001</v>
      </c>
      <c r="I54" s="21">
        <f>SUM(C54:H54)</f>
        <v>24633.160000000003</v>
      </c>
      <c r="J54"/>
    </row>
    <row r="55" spans="1:11" ht="15.6" x14ac:dyDescent="0.3">
      <c r="A55" s="48" t="s">
        <v>267</v>
      </c>
      <c r="B55" s="16">
        <v>0.12</v>
      </c>
      <c r="C55" s="23">
        <f>1</f>
        <v>1</v>
      </c>
      <c r="D55" s="23">
        <f>(1+$B$55)^(D4-1)</f>
        <v>1.1200000000000001</v>
      </c>
      <c r="E55" s="23">
        <f>(1+$B$55)^(E4-1)</f>
        <v>1.2544000000000002</v>
      </c>
      <c r="F55" s="23">
        <f>(1+$B$55)^(F4-1)</f>
        <v>1.4049280000000004</v>
      </c>
      <c r="G55" s="23">
        <f>(1+$B$55)^(G4-1)</f>
        <v>1.5735193600000004</v>
      </c>
      <c r="H55" s="23">
        <f>(1+$B$55)^(H4-1)</f>
        <v>1.7623416832000005</v>
      </c>
    </row>
    <row r="56" spans="1:11" ht="31.8" thickBot="1" x14ac:dyDescent="0.35">
      <c r="A56" s="260" t="s">
        <v>288</v>
      </c>
      <c r="B56" s="16"/>
      <c r="C56" s="23">
        <f>1/C55</f>
        <v>1</v>
      </c>
      <c r="D56" s="23">
        <f t="shared" ref="D56:H56" si="34">1/D55</f>
        <v>0.89285714285714279</v>
      </c>
      <c r="E56" s="23">
        <f t="shared" si="34"/>
        <v>0.79719387755102034</v>
      </c>
      <c r="F56" s="23">
        <f t="shared" si="34"/>
        <v>0.71178024781341087</v>
      </c>
      <c r="G56" s="23">
        <f t="shared" si="34"/>
        <v>0.63551807840483121</v>
      </c>
      <c r="H56" s="23">
        <f t="shared" si="34"/>
        <v>0.56742685571859919</v>
      </c>
      <c r="J56"/>
    </row>
    <row r="57" spans="1:11" ht="31.8" thickBot="1" x14ac:dyDescent="0.35">
      <c r="A57" s="259" t="s">
        <v>275</v>
      </c>
      <c r="B57" s="16"/>
      <c r="C57" s="25">
        <f t="shared" ref="C57:H57" si="35">C25*C56</f>
        <v>-5000</v>
      </c>
      <c r="D57" s="25">
        <f t="shared" si="35"/>
        <v>-11745.535714285714</v>
      </c>
      <c r="E57" s="25">
        <f t="shared" si="35"/>
        <v>-9008.2908163265292</v>
      </c>
      <c r="F57" s="25">
        <f t="shared" si="35"/>
        <v>-12868.868250425165</v>
      </c>
      <c r="G57" s="25">
        <f t="shared" si="35"/>
        <v>-13542.297100600441</v>
      </c>
      <c r="H57" s="25">
        <f t="shared" si="35"/>
        <v>-13914.974737175864</v>
      </c>
      <c r="I57" s="21">
        <f>SUM(C57:H57)</f>
        <v>-66079.96661881372</v>
      </c>
      <c r="J57"/>
    </row>
    <row r="58" spans="1:11" ht="31.8" thickBot="1" x14ac:dyDescent="0.35">
      <c r="A58" s="259" t="s">
        <v>277</v>
      </c>
      <c r="B58" s="16"/>
      <c r="C58" s="25">
        <f>C57</f>
        <v>-5000</v>
      </c>
      <c r="D58" s="25">
        <f>C58+D57</f>
        <v>-16745.535714285714</v>
      </c>
      <c r="E58" s="25">
        <f t="shared" ref="E58:H58" si="36">D58+E57</f>
        <v>-25753.826530612241</v>
      </c>
      <c r="F58" s="25">
        <f t="shared" si="36"/>
        <v>-38622.694781037404</v>
      </c>
      <c r="G58" s="25">
        <f t="shared" si="36"/>
        <v>-52164.991881637849</v>
      </c>
      <c r="H58" s="25">
        <f t="shared" si="36"/>
        <v>-66079.96661881372</v>
      </c>
      <c r="I58" s="21">
        <f>H58</f>
        <v>-66079.96661881372</v>
      </c>
    </row>
    <row r="59" spans="1:11" ht="31.8" thickBot="1" x14ac:dyDescent="0.35">
      <c r="A59" s="259" t="s">
        <v>276</v>
      </c>
      <c r="B59" s="16"/>
      <c r="C59" s="25">
        <f t="shared" ref="C59:H59" si="37">C24*C56</f>
        <v>0</v>
      </c>
      <c r="D59" s="25">
        <f t="shared" si="37"/>
        <v>15178.571428571428</v>
      </c>
      <c r="E59" s="25">
        <f t="shared" si="37"/>
        <v>8769.1326530612241</v>
      </c>
      <c r="F59" s="25">
        <f t="shared" si="37"/>
        <v>17794.506195335271</v>
      </c>
      <c r="G59" s="25">
        <f t="shared" si="37"/>
        <v>19065.542352144937</v>
      </c>
      <c r="H59" s="25">
        <f t="shared" si="37"/>
        <v>19859.939950150972</v>
      </c>
      <c r="I59" s="21">
        <f>SUM(C59:H59)</f>
        <v>80667.692579263836</v>
      </c>
    </row>
    <row r="60" spans="1:11" ht="31.8" thickBot="1" x14ac:dyDescent="0.35">
      <c r="A60" s="259" t="s">
        <v>278</v>
      </c>
      <c r="B60" s="16"/>
      <c r="C60" s="25">
        <f>C59</f>
        <v>0</v>
      </c>
      <c r="D60" s="25">
        <f>C60+D59</f>
        <v>15178.571428571428</v>
      </c>
      <c r="E60" s="25">
        <f t="shared" ref="E60:H60" si="38">D60+E59</f>
        <v>23947.704081632652</v>
      </c>
      <c r="F60" s="25">
        <f t="shared" si="38"/>
        <v>41742.210276967919</v>
      </c>
      <c r="G60" s="25">
        <f t="shared" si="38"/>
        <v>60807.75262911286</v>
      </c>
      <c r="H60" s="25">
        <f t="shared" si="38"/>
        <v>80667.692579263836</v>
      </c>
      <c r="I60" s="21">
        <f>H60</f>
        <v>80667.692579263836</v>
      </c>
      <c r="J60" s="20"/>
      <c r="K60" s="20"/>
    </row>
    <row r="61" spans="1:11" ht="33" thickBot="1" x14ac:dyDescent="0.35">
      <c r="A61" s="18" t="s">
        <v>279</v>
      </c>
      <c r="C61" s="24">
        <f>C32*C56</f>
        <v>-5000</v>
      </c>
      <c r="D61" s="24">
        <f>D54*D56+C61</f>
        <v>-1566.9642857142858</v>
      </c>
      <c r="E61" s="24">
        <f t="shared" ref="E61:H61" si="39">E54*E56+D61</f>
        <v>-1806.1224489795918</v>
      </c>
      <c r="F61" s="24">
        <f t="shared" si="39"/>
        <v>3119.5154959305141</v>
      </c>
      <c r="G61" s="24">
        <f t="shared" si="39"/>
        <v>8642.7607474750093</v>
      </c>
      <c r="H61" s="24">
        <f t="shared" si="39"/>
        <v>14587.725960450116</v>
      </c>
      <c r="I61" s="21">
        <f>H61</f>
        <v>14587.725960450116</v>
      </c>
      <c r="K61" s="20"/>
    </row>
    <row r="62" spans="1:11" ht="47.4" thickBot="1" x14ac:dyDescent="0.35">
      <c r="A62" s="18" t="s">
        <v>280</v>
      </c>
      <c r="C62" s="24">
        <f>C54*C56</f>
        <v>-5000</v>
      </c>
      <c r="D62" s="24">
        <f t="shared" ref="D62:H62" si="40">D54*D56</f>
        <v>3433.0357142857142</v>
      </c>
      <c r="E62" s="24">
        <f t="shared" si="40"/>
        <v>-239.15816326530609</v>
      </c>
      <c r="F62" s="24">
        <f t="shared" si="40"/>
        <v>4925.6379449101059</v>
      </c>
      <c r="G62" s="24">
        <f t="shared" si="40"/>
        <v>5523.2452515444947</v>
      </c>
      <c r="H62" s="24">
        <f t="shared" si="40"/>
        <v>5944.9652129751075</v>
      </c>
      <c r="I62" s="21">
        <f>SUM(C62:H62)</f>
        <v>14587.725960450116</v>
      </c>
    </row>
    <row r="63" spans="1:11" ht="48.75" customHeight="1" thickBot="1" x14ac:dyDescent="0.35">
      <c r="A63" s="18" t="s">
        <v>281</v>
      </c>
      <c r="C63" s="351" t="s">
        <v>285</v>
      </c>
      <c r="D63" s="351"/>
      <c r="E63" s="351"/>
      <c r="F63" s="351"/>
      <c r="G63" s="351"/>
      <c r="H63" s="352"/>
      <c r="I63" s="83">
        <f>NPV(B55,D32:H32)+C62</f>
        <v>14587.725960450116</v>
      </c>
    </row>
    <row r="64" spans="1:11" ht="36" x14ac:dyDescent="0.3">
      <c r="A64" s="93" t="s">
        <v>284</v>
      </c>
      <c r="C64" s="1" t="s">
        <v>282</v>
      </c>
    </row>
    <row r="65" spans="1:10" ht="72.599999999999994" thickBot="1" x14ac:dyDescent="0.35">
      <c r="A65" s="39" t="s">
        <v>283</v>
      </c>
      <c r="C65" s="55"/>
      <c r="D65" s="55"/>
      <c r="E65" s="55"/>
      <c r="F65" s="55"/>
      <c r="G65" s="55"/>
      <c r="H65" s="41"/>
      <c r="I65" s="26"/>
    </row>
    <row r="66" spans="1:10" ht="55.2" thickBot="1" x14ac:dyDescent="0.35">
      <c r="A66" s="147" t="s">
        <v>376</v>
      </c>
      <c r="B66" s="53" t="s">
        <v>231</v>
      </c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  <c r="I66" s="60" t="s">
        <v>232</v>
      </c>
    </row>
    <row r="67" spans="1:10" ht="34.200000000000003" thickBot="1" x14ac:dyDescent="0.35">
      <c r="A67" s="18" t="s">
        <v>287</v>
      </c>
      <c r="C67" s="1" t="s">
        <v>286</v>
      </c>
      <c r="I67" s="91">
        <f>IRR(C32:H32,0.0001)</f>
        <v>0.74393572597316626</v>
      </c>
    </row>
    <row r="68" spans="1:10" ht="18" x14ac:dyDescent="0.3">
      <c r="A68" s="34" t="s">
        <v>289</v>
      </c>
      <c r="I68" s="33"/>
    </row>
    <row r="69" spans="1:10" ht="15.6" x14ac:dyDescent="0.3">
      <c r="A69" s="32" t="s">
        <v>290</v>
      </c>
      <c r="B69" s="16">
        <v>0.7</v>
      </c>
      <c r="C69" s="23">
        <f>1</f>
        <v>1</v>
      </c>
      <c r="D69" s="23">
        <f>1/(1+$B$69)^(D4-1)</f>
        <v>0.58823529411764708</v>
      </c>
      <c r="E69" s="23">
        <f>1/(1+$B$69)^(E4-1)</f>
        <v>0.34602076124567477</v>
      </c>
      <c r="F69" s="23">
        <f>1/(1+$B$69)^(F4-1)</f>
        <v>0.20354162426216163</v>
      </c>
      <c r="G69" s="23">
        <f>1/(1+$B$69)^(G4-1)</f>
        <v>0.11973036721303627</v>
      </c>
      <c r="H69" s="23">
        <f>1/(1+$B$69)^(H4-1)</f>
        <v>7.042962777237427E-2</v>
      </c>
    </row>
    <row r="70" spans="1:10" ht="15.6" x14ac:dyDescent="0.3">
      <c r="A70" s="32" t="s">
        <v>10</v>
      </c>
      <c r="C70" s="24">
        <f>C32*C69</f>
        <v>-5000</v>
      </c>
      <c r="D70" s="24">
        <f>D32*D69+C70</f>
        <v>-2738.2352941176468</v>
      </c>
      <c r="E70" s="24">
        <f>E32*E69+D70</f>
        <v>-2842.0415224913495</v>
      </c>
      <c r="F70" s="24">
        <f>F32*F69+E70</f>
        <v>-1433.499558993147</v>
      </c>
      <c r="G70" s="24">
        <f>G32*G69+F70</f>
        <v>-392.93091956912963</v>
      </c>
      <c r="H70" s="24">
        <f>H32*H69+G70</f>
        <v>344.96451637970199</v>
      </c>
    </row>
    <row r="71" spans="1:10" ht="15.6" x14ac:dyDescent="0.3">
      <c r="A71" s="32" t="s">
        <v>290</v>
      </c>
      <c r="B71" s="16">
        <v>0.74</v>
      </c>
      <c r="C71" s="23">
        <f>1</f>
        <v>1</v>
      </c>
      <c r="D71" s="23">
        <f>1/(1+$B$71)^(D4-1)</f>
        <v>0.57471264367816088</v>
      </c>
      <c r="E71" s="23">
        <f>1/(1+$B$71)^(E4-1)</f>
        <v>0.33029462280354077</v>
      </c>
      <c r="F71" s="23">
        <f>1/(1+$B$71)^(F4-1)</f>
        <v>0.18982449586410385</v>
      </c>
      <c r="G71" s="23">
        <f>1/(1+$B$71)^(G4-1)</f>
        <v>0.10909453785293326</v>
      </c>
      <c r="H71" s="23">
        <f>1/(1+$B$71)^(H4-1)</f>
        <v>6.2698010260306469E-2</v>
      </c>
    </row>
    <row r="72" spans="1:10" ht="15.6" x14ac:dyDescent="0.3">
      <c r="A72" s="32" t="s">
        <v>10</v>
      </c>
      <c r="C72" s="24">
        <f>C32*C71</f>
        <v>-5000</v>
      </c>
      <c r="D72" s="24">
        <f>D32*D71+C72</f>
        <v>-2790.2298850574716</v>
      </c>
      <c r="E72" s="24">
        <f>E32*E71+D72</f>
        <v>-2889.318271898534</v>
      </c>
      <c r="F72" s="24">
        <f>F32*F71+E72</f>
        <v>-1575.7011231029578</v>
      </c>
      <c r="G72" s="24">
        <f>G32*G71+F72</f>
        <v>-627.56776759230502</v>
      </c>
      <c r="H72" s="24">
        <f>H32*H71+G72</f>
        <v>29.323047785541576</v>
      </c>
      <c r="J72"/>
    </row>
    <row r="73" spans="1:10" ht="16.2" thickBot="1" x14ac:dyDescent="0.35">
      <c r="A73" s="32" t="s">
        <v>290</v>
      </c>
      <c r="B73" s="27">
        <v>0.74393573000000002</v>
      </c>
      <c r="C73" s="23">
        <f>1</f>
        <v>1</v>
      </c>
      <c r="D73" s="23">
        <f>1/(1+$B$73)^(D4-1)</f>
        <v>0.57341562696235371</v>
      </c>
      <c r="E73" s="23">
        <f>1/(1+$B$73)^(E4-1)</f>
        <v>0.32880548124462916</v>
      </c>
      <c r="F73" s="23">
        <f>1/(1+$B$73)^(F4-1)</f>
        <v>0.18854220117654746</v>
      </c>
      <c r="G73" s="23">
        <f>1/(1+$B$73)^(G4-1)</f>
        <v>0.1081130444965122</v>
      </c>
      <c r="H73" s="23">
        <f>1/(1+$B$73)^(H4-1)</f>
        <v>6.1993709192776379E-2</v>
      </c>
      <c r="J73" s="4" t="s">
        <v>291</v>
      </c>
    </row>
    <row r="74" spans="1:10" ht="18.600000000000001" thickBot="1" x14ac:dyDescent="0.35">
      <c r="A74" s="32" t="s">
        <v>10</v>
      </c>
      <c r="C74" s="24">
        <f>C32*C73</f>
        <v>-5000</v>
      </c>
      <c r="D74" s="24">
        <f>D32*D73+C74</f>
        <v>-2795.2169143297501</v>
      </c>
      <c r="E74" s="24">
        <f>E32*E73+D74</f>
        <v>-2893.8585587031389</v>
      </c>
      <c r="F74" s="24">
        <f>F32*F73+E74</f>
        <v>-1589.1151028612342</v>
      </c>
      <c r="G74" s="24">
        <f>G32*G73+F74</f>
        <v>-649.51184067834629</v>
      </c>
      <c r="H74" s="28">
        <f>H32*H73+G74</f>
        <v>-2.9843076504221244E-5</v>
      </c>
      <c r="J74"/>
    </row>
    <row r="75" spans="1:10" ht="15.6" x14ac:dyDescent="0.3">
      <c r="A75" s="32" t="s">
        <v>290</v>
      </c>
      <c r="B75" s="16">
        <v>0.75</v>
      </c>
      <c r="C75" s="23">
        <f>1</f>
        <v>1</v>
      </c>
      <c r="D75" s="23">
        <f>1/(1+$B$75)^(D4-1)</f>
        <v>0.5714285714285714</v>
      </c>
      <c r="E75" s="23">
        <f>1/(1+$B$75)^(E4-1)</f>
        <v>0.32653061224489793</v>
      </c>
      <c r="F75" s="23">
        <f>1/(1+$B$75)^(F4-1)</f>
        <v>0.18658892128279883</v>
      </c>
      <c r="G75" s="23">
        <f>1/(1+$B$75)^(G4-1)</f>
        <v>0.10662224073302791</v>
      </c>
      <c r="H75" s="23">
        <f>1/(1+$B$75)^(H4-1)</f>
        <v>6.0926994704587373E-2</v>
      </c>
    </row>
    <row r="76" spans="1:10" ht="15.6" x14ac:dyDescent="0.3">
      <c r="A76" s="32" t="s">
        <v>10</v>
      </c>
      <c r="C76" s="24">
        <f>C32*C75</f>
        <v>-5000</v>
      </c>
      <c r="D76" s="24">
        <f>D32*D75+C76</f>
        <v>-2802.8571428571431</v>
      </c>
      <c r="E76" s="24">
        <f>E32*E75+D76</f>
        <v>-2900.8163265306125</v>
      </c>
      <c r="F76" s="24">
        <f>F32*F75+E76</f>
        <v>-1609.5898931000972</v>
      </c>
      <c r="G76" s="24">
        <f>G32*G75+F76</f>
        <v>-682.94310703873373</v>
      </c>
      <c r="H76" s="24">
        <f>H32*H75+G76</f>
        <v>-44.607327899089455</v>
      </c>
    </row>
    <row r="77" spans="1:10" ht="54" x14ac:dyDescent="0.3">
      <c r="A77" s="39" t="s">
        <v>292</v>
      </c>
      <c r="C77" s="24"/>
      <c r="D77" s="24"/>
      <c r="E77" s="24"/>
      <c r="F77" s="24"/>
      <c r="G77" s="24"/>
      <c r="H77" s="24"/>
    </row>
    <row r="78" spans="1:10" ht="36" hidden="1" x14ac:dyDescent="0.3">
      <c r="A78" s="93" t="s">
        <v>293</v>
      </c>
    </row>
    <row r="79" spans="1:10" ht="18.600000000000001" thickBot="1" x14ac:dyDescent="0.35">
      <c r="A79" s="37" t="s">
        <v>294</v>
      </c>
    </row>
    <row r="80" spans="1:10" ht="104.4" thickBot="1" x14ac:dyDescent="0.35">
      <c r="A80" s="147" t="s">
        <v>377</v>
      </c>
      <c r="B80" s="53" t="s">
        <v>231</v>
      </c>
      <c r="C80" s="58" t="s">
        <v>5</v>
      </c>
      <c r="D80" s="59" t="s">
        <v>0</v>
      </c>
      <c r="E80" s="59" t="s">
        <v>1</v>
      </c>
      <c r="F80" s="59" t="s">
        <v>2</v>
      </c>
      <c r="G80" s="59" t="s">
        <v>3</v>
      </c>
      <c r="H80" s="59" t="s">
        <v>4</v>
      </c>
      <c r="I80" s="60" t="s">
        <v>232</v>
      </c>
    </row>
    <row r="81" spans="1:10" ht="36" x14ac:dyDescent="0.3">
      <c r="A81" s="18" t="s">
        <v>257</v>
      </c>
      <c r="C81" s="35">
        <f t="shared" ref="C81:H81" si="41">C32</f>
        <v>-5000</v>
      </c>
      <c r="D81" s="35">
        <f t="shared" si="41"/>
        <v>3845</v>
      </c>
      <c r="E81" s="35">
        <f t="shared" si="41"/>
        <v>-300</v>
      </c>
      <c r="F81" s="35">
        <f t="shared" si="41"/>
        <v>6920.1666666666679</v>
      </c>
      <c r="G81" s="35">
        <f t="shared" si="41"/>
        <v>8690.9333333333343</v>
      </c>
      <c r="H81" s="35">
        <f t="shared" si="41"/>
        <v>10477.060000000001</v>
      </c>
    </row>
    <row r="82" spans="1:10" ht="31.8" thickBot="1" x14ac:dyDescent="0.35">
      <c r="A82" s="260" t="s">
        <v>288</v>
      </c>
      <c r="B82" s="16">
        <v>0.12</v>
      </c>
      <c r="C82" s="23">
        <f t="shared" ref="C82:H82" si="42">C56</f>
        <v>1</v>
      </c>
      <c r="D82" s="23">
        <f t="shared" si="42"/>
        <v>0.89285714285714279</v>
      </c>
      <c r="E82" s="23">
        <f t="shared" si="42"/>
        <v>0.79719387755102034</v>
      </c>
      <c r="F82" s="23">
        <f t="shared" si="42"/>
        <v>0.71178024781341087</v>
      </c>
      <c r="G82" s="23">
        <f t="shared" si="42"/>
        <v>0.63551807840483121</v>
      </c>
      <c r="H82" s="23">
        <f t="shared" si="42"/>
        <v>0.56742685571859919</v>
      </c>
    </row>
    <row r="83" spans="1:10" ht="36.6" thickBot="1" x14ac:dyDescent="0.35">
      <c r="A83" s="18" t="s">
        <v>295</v>
      </c>
      <c r="C83" s="24">
        <f>C81*C82</f>
        <v>-5000</v>
      </c>
      <c r="D83" s="24">
        <f t="shared" ref="D83:H83" si="43">D81*D82</f>
        <v>3433.0357142857142</v>
      </c>
      <c r="E83" s="24">
        <f t="shared" si="43"/>
        <v>-239.15816326530609</v>
      </c>
      <c r="F83" s="24">
        <f t="shared" si="43"/>
        <v>4925.6379449101059</v>
      </c>
      <c r="G83" s="24">
        <f t="shared" si="43"/>
        <v>5523.2452515444947</v>
      </c>
      <c r="H83" s="24">
        <f t="shared" si="43"/>
        <v>5944.9652129751075</v>
      </c>
      <c r="I83" s="21">
        <f>SUM(C83:H83)</f>
        <v>14587.725960450116</v>
      </c>
      <c r="J83"/>
    </row>
    <row r="84" spans="1:10" ht="36.6" thickBot="1" x14ac:dyDescent="0.35">
      <c r="A84" s="261" t="s">
        <v>296</v>
      </c>
      <c r="C84" s="24">
        <f>C83</f>
        <v>-5000</v>
      </c>
      <c r="D84" s="24">
        <f>C84+D83</f>
        <v>-1566.9642857142858</v>
      </c>
      <c r="E84" s="24">
        <f t="shared" ref="E84:H84" si="44">D84+E83</f>
        <v>-1806.1224489795918</v>
      </c>
      <c r="F84" s="24">
        <f t="shared" si="44"/>
        <v>3119.5154959305141</v>
      </c>
      <c r="G84" s="24">
        <f t="shared" si="44"/>
        <v>8642.7607474750093</v>
      </c>
      <c r="H84" s="24">
        <f t="shared" si="44"/>
        <v>14587.725960450116</v>
      </c>
    </row>
    <row r="85" spans="1:10" ht="33" thickBot="1" x14ac:dyDescent="0.35">
      <c r="A85" s="18" t="s">
        <v>404</v>
      </c>
      <c r="B85" s="14"/>
      <c r="C85" s="8">
        <f>IF(C84&lt;0,0,1)</f>
        <v>0</v>
      </c>
      <c r="D85" s="8">
        <f t="shared" ref="D85:H85" si="45">IF(D84&lt;0,0,1)</f>
        <v>0</v>
      </c>
      <c r="E85" s="8">
        <f t="shared" si="45"/>
        <v>0</v>
      </c>
      <c r="F85" s="8">
        <f t="shared" si="45"/>
        <v>1</v>
      </c>
      <c r="G85" s="8">
        <f t="shared" si="45"/>
        <v>1</v>
      </c>
      <c r="H85" s="8">
        <f t="shared" si="45"/>
        <v>1</v>
      </c>
      <c r="I85" s="85">
        <f>I4-SUM(C85:H85)-SUM(C86:H86)</f>
        <v>2.3666778738469691</v>
      </c>
    </row>
    <row r="86" spans="1:10" ht="28.8" x14ac:dyDescent="0.3">
      <c r="A86" s="262" t="s">
        <v>297</v>
      </c>
      <c r="C86" s="20">
        <f>IF(AND(B85=0,C85=1),C84/E5,0)</f>
        <v>0</v>
      </c>
      <c r="D86" s="20">
        <f>IF(AND(C85=0,D85=1),D84/F5,0)</f>
        <v>0</v>
      </c>
      <c r="E86" s="20">
        <f>IF(AND(D85=0,E85=1),E84/G5,0)</f>
        <v>0</v>
      </c>
      <c r="F86" s="20">
        <f>IF(AND(E85=0,F85=1),F84/F83,0)</f>
        <v>0.63332212615303096</v>
      </c>
      <c r="G86" s="20">
        <f>IF(AND(F85=0,G85=1),G84/G83,0)</f>
        <v>0</v>
      </c>
      <c r="H86" s="20">
        <f>IF(AND(G85=0,H85=1),H84/J5,0)</f>
        <v>0</v>
      </c>
    </row>
    <row r="87" spans="1:10" ht="18" x14ac:dyDescent="0.3">
      <c r="A87" s="40" t="s">
        <v>265</v>
      </c>
    </row>
    <row r="88" spans="1:10" ht="18.600000000000001" thickBot="1" x14ac:dyDescent="0.35">
      <c r="A88" s="38" t="s">
        <v>298</v>
      </c>
    </row>
    <row r="89" spans="1:10" ht="104.4" thickBot="1" x14ac:dyDescent="0.35">
      <c r="A89" s="147" t="s">
        <v>378</v>
      </c>
      <c r="B89" s="53" t="s">
        <v>231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232</v>
      </c>
    </row>
    <row r="90" spans="1:10" ht="36.6" thickBot="1" x14ac:dyDescent="0.35">
      <c r="A90" s="261" t="s">
        <v>296</v>
      </c>
      <c r="B90" s="16">
        <v>0.12</v>
      </c>
      <c r="C90" s="24">
        <f t="shared" ref="C90:H90" si="46">C84</f>
        <v>-5000</v>
      </c>
      <c r="D90" s="24">
        <f t="shared" si="46"/>
        <v>-1566.9642857142858</v>
      </c>
      <c r="E90" s="24">
        <f t="shared" si="46"/>
        <v>-1806.1224489795918</v>
      </c>
      <c r="F90" s="24">
        <f t="shared" si="46"/>
        <v>3119.5154959305141</v>
      </c>
      <c r="G90" s="24">
        <f t="shared" si="46"/>
        <v>8642.7607474750093</v>
      </c>
      <c r="H90" s="24">
        <f t="shared" si="46"/>
        <v>14587.725960450116</v>
      </c>
      <c r="I90" s="63">
        <f>H90</f>
        <v>14587.725960450116</v>
      </c>
      <c r="J90"/>
    </row>
    <row r="91" spans="1:10" ht="31.8" thickBot="1" x14ac:dyDescent="0.35">
      <c r="A91" s="52" t="s">
        <v>299</v>
      </c>
      <c r="B91" s="16"/>
      <c r="C91" s="24"/>
      <c r="D91" s="24">
        <f>D46</f>
        <v>3433.0357142857142</v>
      </c>
      <c r="E91" s="24">
        <f>E46</f>
        <v>-239.15816326530609</v>
      </c>
      <c r="F91" s="24">
        <f>F46</f>
        <v>4925.6379449101059</v>
      </c>
      <c r="G91" s="24">
        <f>G46</f>
        <v>5523.2452515444947</v>
      </c>
      <c r="H91" s="24">
        <f>H46</f>
        <v>5944.9652129751075</v>
      </c>
      <c r="I91" s="21">
        <f>SUM(D91:H91)</f>
        <v>19587.725960450116</v>
      </c>
      <c r="J91"/>
    </row>
    <row r="92" spans="1:10" ht="63.6" thickBot="1" x14ac:dyDescent="0.35">
      <c r="A92" s="52" t="s">
        <v>313</v>
      </c>
      <c r="B92" s="16"/>
      <c r="C92" s="24">
        <f t="shared" ref="C92:H92" si="47">IF(C83&lt;0,C83,0)</f>
        <v>-5000</v>
      </c>
      <c r="D92" s="24">
        <f t="shared" si="47"/>
        <v>0</v>
      </c>
      <c r="E92" s="24">
        <f t="shared" si="47"/>
        <v>-239.15816326530609</v>
      </c>
      <c r="F92" s="24">
        <f t="shared" si="47"/>
        <v>0</v>
      </c>
      <c r="G92" s="24">
        <f t="shared" si="47"/>
        <v>0</v>
      </c>
      <c r="H92" s="24">
        <f t="shared" si="47"/>
        <v>0</v>
      </c>
      <c r="I92" s="21">
        <f>C92+D92+E92</f>
        <v>-5239.158163265306</v>
      </c>
      <c r="J92"/>
    </row>
    <row r="93" spans="1:10" ht="90" customHeight="1" thickBot="1" x14ac:dyDescent="0.35">
      <c r="A93" s="18" t="s">
        <v>301</v>
      </c>
      <c r="C93" s="355" t="s">
        <v>303</v>
      </c>
      <c r="D93" s="355"/>
      <c r="E93" s="359" t="s">
        <v>14</v>
      </c>
      <c r="F93" s="359"/>
      <c r="G93" s="359"/>
      <c r="H93" s="360"/>
      <c r="I93" s="43">
        <f>1+I90/-C92</f>
        <v>3.9175451920900231</v>
      </c>
    </row>
    <row r="94" spans="1:10" ht="101.25" customHeight="1" thickBot="1" x14ac:dyDescent="0.35">
      <c r="A94" s="18" t="s">
        <v>301</v>
      </c>
      <c r="C94" s="354" t="s">
        <v>304</v>
      </c>
      <c r="D94" s="354"/>
      <c r="E94" s="357" t="s">
        <v>302</v>
      </c>
      <c r="F94" s="357"/>
      <c r="G94" s="357"/>
      <c r="H94" s="358"/>
      <c r="I94" s="86">
        <f>1+(I90/-I92)</f>
        <v>3.7843644925119637</v>
      </c>
      <c r="J94"/>
    </row>
    <row r="95" spans="1:10" ht="18" x14ac:dyDescent="0.3">
      <c r="A95" s="40" t="s">
        <v>265</v>
      </c>
    </row>
    <row r="96" spans="1:10" ht="54.6" thickBot="1" x14ac:dyDescent="0.35">
      <c r="A96" s="45" t="s">
        <v>300</v>
      </c>
      <c r="F96" s="23"/>
      <c r="J96"/>
    </row>
    <row r="97" spans="1:12" ht="78.599999999999994" thickBot="1" x14ac:dyDescent="0.35">
      <c r="A97" s="147" t="s">
        <v>379</v>
      </c>
      <c r="B97" s="53" t="s">
        <v>231</v>
      </c>
      <c r="C97" s="58" t="s">
        <v>5</v>
      </c>
      <c r="D97" s="59" t="s">
        <v>0</v>
      </c>
      <c r="E97" s="59" t="s">
        <v>1</v>
      </c>
      <c r="F97" s="59" t="s">
        <v>2</v>
      </c>
      <c r="G97" s="59" t="s">
        <v>3</v>
      </c>
      <c r="H97" s="59" t="s">
        <v>4</v>
      </c>
      <c r="I97" s="60" t="s">
        <v>232</v>
      </c>
      <c r="J97"/>
      <c r="K97"/>
    </row>
    <row r="98" spans="1:12" ht="36.6" thickBot="1" x14ac:dyDescent="0.35">
      <c r="A98" s="261" t="s">
        <v>296</v>
      </c>
      <c r="B98" s="16">
        <v>0.12</v>
      </c>
      <c r="C98" s="24">
        <f t="shared" ref="C98:H98" si="48">C90</f>
        <v>-5000</v>
      </c>
      <c r="D98" s="24">
        <f t="shared" si="48"/>
        <v>-1566.9642857142858</v>
      </c>
      <c r="E98" s="24">
        <f t="shared" si="48"/>
        <v>-1806.1224489795918</v>
      </c>
      <c r="F98" s="24">
        <f t="shared" si="48"/>
        <v>3119.5154959305141</v>
      </c>
      <c r="G98" s="24">
        <f t="shared" si="48"/>
        <v>8642.7607474750093</v>
      </c>
      <c r="H98" s="24">
        <f t="shared" si="48"/>
        <v>14587.725960450116</v>
      </c>
      <c r="I98" s="63">
        <f>H98</f>
        <v>14587.725960450116</v>
      </c>
      <c r="J98"/>
    </row>
    <row r="99" spans="1:12" ht="63.6" thickBot="1" x14ac:dyDescent="0.35">
      <c r="A99" s="52" t="s">
        <v>313</v>
      </c>
      <c r="C99" s="24">
        <f t="shared" ref="C99:H99" si="49">C92</f>
        <v>-5000</v>
      </c>
      <c r="D99" s="24">
        <f t="shared" si="49"/>
        <v>0</v>
      </c>
      <c r="E99" s="24">
        <f t="shared" si="49"/>
        <v>-239.15816326530609</v>
      </c>
      <c r="F99" s="24">
        <f t="shared" si="49"/>
        <v>0</v>
      </c>
      <c r="G99" s="24">
        <f t="shared" si="49"/>
        <v>0</v>
      </c>
      <c r="H99" s="24">
        <f t="shared" si="49"/>
        <v>0</v>
      </c>
      <c r="I99" s="21">
        <f>SUM(C99:H99)</f>
        <v>-5239.158163265306</v>
      </c>
      <c r="J99"/>
      <c r="K99" s="57"/>
    </row>
    <row r="100" spans="1:12" ht="36.6" thickBot="1" x14ac:dyDescent="0.35">
      <c r="A100" s="18" t="s">
        <v>305</v>
      </c>
      <c r="C100" s="24"/>
      <c r="I100" s="87">
        <f>I98/-I99</f>
        <v>2.7843644925119637</v>
      </c>
      <c r="J100"/>
    </row>
    <row r="101" spans="1:12" ht="18.600000000000001" thickBot="1" x14ac:dyDescent="0.35">
      <c r="A101" s="40" t="s">
        <v>265</v>
      </c>
    </row>
    <row r="102" spans="1:12" ht="55.2" thickBot="1" x14ac:dyDescent="0.35">
      <c r="A102" s="147" t="s">
        <v>380</v>
      </c>
      <c r="B102" s="53" t="s">
        <v>231</v>
      </c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60" t="s">
        <v>232</v>
      </c>
    </row>
    <row r="103" spans="1:12" ht="36.6" thickBot="1" x14ac:dyDescent="0.35">
      <c r="A103" s="52" t="s">
        <v>306</v>
      </c>
      <c r="B103" s="16">
        <v>0.12</v>
      </c>
      <c r="C103" s="24"/>
      <c r="D103" s="24">
        <f>D46</f>
        <v>3433.0357142857142</v>
      </c>
      <c r="E103" s="24">
        <f>E46</f>
        <v>-239.15816326530609</v>
      </c>
      <c r="F103" s="24">
        <f>F46</f>
        <v>4925.6379449101059</v>
      </c>
      <c r="G103" s="24">
        <f>G46</f>
        <v>5523.2452515444947</v>
      </c>
      <c r="H103" s="24">
        <f>H46</f>
        <v>5944.9652129751075</v>
      </c>
      <c r="I103" s="63">
        <f>SUM(D103:H103)</f>
        <v>19587.725960450116</v>
      </c>
    </row>
    <row r="104" spans="1:12" ht="16.2" thickBot="1" x14ac:dyDescent="0.35">
      <c r="A104" s="29" t="s">
        <v>307</v>
      </c>
      <c r="D104" s="1">
        <f>D4-1</f>
        <v>1</v>
      </c>
      <c r="E104" s="1">
        <f>E4-1</f>
        <v>2</v>
      </c>
      <c r="F104" s="1">
        <f>F4-1</f>
        <v>3</v>
      </c>
      <c r="G104" s="1">
        <f>G4-1</f>
        <v>4</v>
      </c>
      <c r="H104" s="1">
        <f>H4-1</f>
        <v>5</v>
      </c>
      <c r="J104"/>
    </row>
    <row r="105" spans="1:12" ht="49.8" thickBot="1" x14ac:dyDescent="0.35">
      <c r="A105" s="96" t="s">
        <v>308</v>
      </c>
      <c r="C105" s="24"/>
      <c r="D105" s="24">
        <f>D103*D104</f>
        <v>3433.0357142857142</v>
      </c>
      <c r="E105" s="24">
        <f t="shared" ref="E105:H105" si="50">E103*E104</f>
        <v>-478.31632653061217</v>
      </c>
      <c r="F105" s="24">
        <f t="shared" si="50"/>
        <v>14776.913834730318</v>
      </c>
      <c r="G105" s="24">
        <f t="shared" si="50"/>
        <v>22092.981006177979</v>
      </c>
      <c r="H105" s="24">
        <f t="shared" si="50"/>
        <v>29724.826064875539</v>
      </c>
      <c r="I105" s="21">
        <f>SUM(D105:H105)</f>
        <v>69549.440293538937</v>
      </c>
      <c r="J105"/>
    </row>
    <row r="106" spans="1:12" ht="46.95" customHeight="1" thickBot="1" x14ac:dyDescent="0.35">
      <c r="A106" s="18" t="s">
        <v>309</v>
      </c>
      <c r="C106" s="355" t="s">
        <v>311</v>
      </c>
      <c r="D106" s="355"/>
      <c r="E106" s="355"/>
      <c r="F106" s="355"/>
      <c r="G106" s="355"/>
      <c r="I106" s="85">
        <f>I105/(I103-C103)</f>
        <v>3.5506643514396363</v>
      </c>
    </row>
    <row r="107" spans="1:12" ht="18" x14ac:dyDescent="0.3">
      <c r="A107" s="40" t="s">
        <v>265</v>
      </c>
    </row>
    <row r="108" spans="1:12" ht="42" customHeight="1" thickBot="1" x14ac:dyDescent="0.35">
      <c r="A108" s="39" t="s">
        <v>310</v>
      </c>
      <c r="C108" s="67"/>
      <c r="D108" s="67"/>
      <c r="I108" s="94"/>
    </row>
    <row r="109" spans="1:12" ht="104.4" thickBot="1" x14ac:dyDescent="0.35">
      <c r="A109" s="147" t="s">
        <v>381</v>
      </c>
      <c r="B109" s="53" t="s">
        <v>231</v>
      </c>
      <c r="C109" s="58" t="s">
        <v>5</v>
      </c>
      <c r="D109" s="59" t="s">
        <v>0</v>
      </c>
      <c r="E109" s="59" t="s">
        <v>1</v>
      </c>
      <c r="F109" s="59" t="s">
        <v>2</v>
      </c>
      <c r="G109" s="59" t="s">
        <v>3</v>
      </c>
      <c r="H109" s="59" t="s">
        <v>4</v>
      </c>
      <c r="I109" s="60" t="s">
        <v>232</v>
      </c>
    </row>
    <row r="110" spans="1:12" ht="36.6" thickBot="1" x14ac:dyDescent="0.35">
      <c r="A110" s="18" t="s">
        <v>257</v>
      </c>
      <c r="C110" s="24">
        <f t="shared" ref="C110:H110" si="51">C32</f>
        <v>-5000</v>
      </c>
      <c r="D110" s="24">
        <f t="shared" si="51"/>
        <v>3845</v>
      </c>
      <c r="E110" s="24">
        <f t="shared" si="51"/>
        <v>-300</v>
      </c>
      <c r="F110" s="24">
        <f t="shared" si="51"/>
        <v>6920.1666666666679</v>
      </c>
      <c r="G110" s="24">
        <f t="shared" si="51"/>
        <v>8690.9333333333343</v>
      </c>
      <c r="H110" s="24">
        <f t="shared" si="51"/>
        <v>10477.060000000001</v>
      </c>
      <c r="I110" s="63">
        <f>SUM(C110:H110)</f>
        <v>24633.160000000003</v>
      </c>
      <c r="J110" s="64"/>
      <c r="K110" s="64"/>
      <c r="L110" s="90"/>
    </row>
    <row r="111" spans="1:12" ht="15.6" x14ac:dyDescent="0.3">
      <c r="A111" s="29" t="s">
        <v>307</v>
      </c>
      <c r="C111" s="1">
        <f t="shared" ref="C111:H111" si="52">C4-1</f>
        <v>0</v>
      </c>
      <c r="D111" s="1">
        <f t="shared" si="52"/>
        <v>1</v>
      </c>
      <c r="E111" s="1">
        <f t="shared" si="52"/>
        <v>2</v>
      </c>
      <c r="F111" s="1">
        <f t="shared" si="52"/>
        <v>3</v>
      </c>
      <c r="G111" s="1">
        <f t="shared" si="52"/>
        <v>4</v>
      </c>
      <c r="H111" s="1">
        <f t="shared" si="52"/>
        <v>5</v>
      </c>
      <c r="J111" s="64"/>
      <c r="K111" s="64"/>
      <c r="L111" s="57"/>
    </row>
    <row r="112" spans="1:12" ht="31.2" x14ac:dyDescent="0.3">
      <c r="A112" s="260" t="s">
        <v>288</v>
      </c>
      <c r="B112" s="16">
        <v>0.12</v>
      </c>
      <c r="C112" s="20">
        <f t="shared" ref="C112:H112" si="53">C82</f>
        <v>1</v>
      </c>
      <c r="D112" s="20">
        <f t="shared" si="53"/>
        <v>0.89285714285714279</v>
      </c>
      <c r="E112" s="20">
        <f t="shared" si="53"/>
        <v>0.79719387755102034</v>
      </c>
      <c r="F112" s="20">
        <f t="shared" si="53"/>
        <v>0.71178024781341087</v>
      </c>
      <c r="G112" s="20">
        <f t="shared" si="53"/>
        <v>0.63551807840483121</v>
      </c>
      <c r="H112" s="20">
        <f t="shared" si="53"/>
        <v>0.56742685571859919</v>
      </c>
      <c r="I112" s="64"/>
      <c r="J112" s="64"/>
      <c r="K112" s="80"/>
    </row>
    <row r="113" spans="1:12" ht="16.2" thickBot="1" x14ac:dyDescent="0.35">
      <c r="A113" s="48" t="s">
        <v>273</v>
      </c>
      <c r="B113" s="16">
        <v>0.1</v>
      </c>
      <c r="C113" s="20">
        <f t="shared" ref="C113:H113" si="54">(1+$B$124)^($H$122-C111)</f>
        <v>1.6105100000000006</v>
      </c>
      <c r="D113" s="20">
        <f t="shared" si="54"/>
        <v>1.4641000000000004</v>
      </c>
      <c r="E113" s="20">
        <f t="shared" si="54"/>
        <v>1.3310000000000004</v>
      </c>
      <c r="F113" s="20">
        <f t="shared" si="54"/>
        <v>1.2100000000000002</v>
      </c>
      <c r="G113" s="20">
        <f t="shared" si="54"/>
        <v>1.1000000000000001</v>
      </c>
      <c r="H113" s="20">
        <f t="shared" si="54"/>
        <v>1</v>
      </c>
      <c r="J113" s="64"/>
      <c r="K113" s="64"/>
      <c r="L113" s="80"/>
    </row>
    <row r="114" spans="1:12" ht="54.6" thickBot="1" x14ac:dyDescent="0.35">
      <c r="A114" s="263" t="s">
        <v>312</v>
      </c>
      <c r="B114" s="16"/>
      <c r="C114" s="24">
        <f>IF(C110&gt;0,C110*C113,0)</f>
        <v>0</v>
      </c>
      <c r="D114" s="24">
        <f>IF(D110&gt;0,D110*D113,0)</f>
        <v>5629.4645000000019</v>
      </c>
      <c r="E114" s="24">
        <f t="shared" ref="E114:H114" si="55">IF(E110&gt;0,E110*E113,0)</f>
        <v>0</v>
      </c>
      <c r="F114" s="24">
        <f t="shared" si="55"/>
        <v>8373.4016666666703</v>
      </c>
      <c r="G114" s="24">
        <f t="shared" si="55"/>
        <v>9560.0266666666685</v>
      </c>
      <c r="H114" s="24">
        <f t="shared" si="55"/>
        <v>10477.060000000001</v>
      </c>
      <c r="I114" s="21">
        <f>SUM(C114:H114)</f>
        <v>34039.952833333344</v>
      </c>
      <c r="J114" s="64"/>
      <c r="L114" s="54"/>
    </row>
    <row r="115" spans="1:12" ht="63.6" thickBot="1" x14ac:dyDescent="0.35">
      <c r="A115" s="52" t="s">
        <v>313</v>
      </c>
      <c r="C115" s="24">
        <f>IF(C110&lt;0,C110*C112,0)</f>
        <v>-5000</v>
      </c>
      <c r="D115" s="24">
        <f t="shared" ref="D115:H115" si="56">IF(D110&lt;0,-D110*D112,0)</f>
        <v>0</v>
      </c>
      <c r="E115" s="24">
        <f>IF(E110&lt;0,E110*E112,0)</f>
        <v>-239.15816326530609</v>
      </c>
      <c r="F115" s="24">
        <f t="shared" si="56"/>
        <v>0</v>
      </c>
      <c r="G115" s="24">
        <f t="shared" si="56"/>
        <v>0</v>
      </c>
      <c r="H115" s="24">
        <f t="shared" si="56"/>
        <v>0</v>
      </c>
      <c r="I115" s="21">
        <f>SUM(C115:H115)</f>
        <v>-5239.158163265306</v>
      </c>
      <c r="J115"/>
      <c r="L115" s="54"/>
    </row>
    <row r="116" spans="1:12" ht="38.25" customHeight="1" thickBot="1" x14ac:dyDescent="0.35">
      <c r="A116" s="96" t="s">
        <v>406</v>
      </c>
      <c r="B116" s="16"/>
      <c r="C116" s="350" t="s">
        <v>314</v>
      </c>
      <c r="D116" s="350"/>
      <c r="E116" s="350"/>
      <c r="F116" s="350"/>
      <c r="G116" s="350"/>
      <c r="H116" s="24"/>
      <c r="I116" s="21">
        <f>I114/(1+B112)^H111</f>
        <v>19315.183405027761</v>
      </c>
      <c r="J116" s="64"/>
      <c r="L116" s="54"/>
    </row>
    <row r="117" spans="1:12" ht="54.6" thickBot="1" x14ac:dyDescent="0.35">
      <c r="A117" s="18" t="s">
        <v>321</v>
      </c>
      <c r="I117" s="83">
        <f>I116+I115</f>
        <v>14076.025241762454</v>
      </c>
    </row>
    <row r="118" spans="1:12" ht="18" x14ac:dyDescent="0.3">
      <c r="A118" s="40" t="s">
        <v>265</v>
      </c>
    </row>
    <row r="119" spans="1:12" ht="90.6" thickBot="1" x14ac:dyDescent="0.35">
      <c r="A119" s="39" t="s">
        <v>322</v>
      </c>
    </row>
    <row r="120" spans="1:12" ht="104.4" thickBot="1" x14ac:dyDescent="0.35">
      <c r="A120" s="147" t="s">
        <v>382</v>
      </c>
      <c r="B120" s="53" t="s">
        <v>231</v>
      </c>
      <c r="C120" s="58" t="s">
        <v>5</v>
      </c>
      <c r="D120" s="59" t="s">
        <v>0</v>
      </c>
      <c r="E120" s="59" t="s">
        <v>1</v>
      </c>
      <c r="F120" s="59" t="s">
        <v>2</v>
      </c>
      <c r="G120" s="59" t="s">
        <v>3</v>
      </c>
      <c r="H120" s="59" t="s">
        <v>4</v>
      </c>
      <c r="I120" s="60" t="s">
        <v>232</v>
      </c>
    </row>
    <row r="121" spans="1:12" ht="36.6" thickBot="1" x14ac:dyDescent="0.35">
      <c r="A121" s="18" t="s">
        <v>257</v>
      </c>
      <c r="C121" s="24">
        <f t="shared" ref="C121:H121" si="57">C81</f>
        <v>-5000</v>
      </c>
      <c r="D121" s="24">
        <f t="shared" si="57"/>
        <v>3845</v>
      </c>
      <c r="E121" s="24">
        <f t="shared" si="57"/>
        <v>-300</v>
      </c>
      <c r="F121" s="24">
        <f t="shared" si="57"/>
        <v>6920.1666666666679</v>
      </c>
      <c r="G121" s="24">
        <f t="shared" si="57"/>
        <v>8690.9333333333343</v>
      </c>
      <c r="H121" s="24">
        <f t="shared" si="57"/>
        <v>10477.060000000001</v>
      </c>
      <c r="I121" s="63">
        <f>SUM(C121:H121)</f>
        <v>24633.160000000003</v>
      </c>
    </row>
    <row r="122" spans="1:12" ht="15.6" x14ac:dyDescent="0.3">
      <c r="A122" s="29" t="s">
        <v>307</v>
      </c>
      <c r="C122" s="1">
        <f t="shared" ref="C122:H122" si="58">C4-1</f>
        <v>0</v>
      </c>
      <c r="D122" s="1">
        <f t="shared" si="58"/>
        <v>1</v>
      </c>
      <c r="E122" s="1">
        <f t="shared" si="58"/>
        <v>2</v>
      </c>
      <c r="F122" s="1">
        <f t="shared" si="58"/>
        <v>3</v>
      </c>
      <c r="G122" s="1">
        <f t="shared" si="58"/>
        <v>4</v>
      </c>
      <c r="H122" s="1">
        <f t="shared" si="58"/>
        <v>5</v>
      </c>
    </row>
    <row r="123" spans="1:12" ht="31.2" x14ac:dyDescent="0.3">
      <c r="A123" s="260" t="s">
        <v>288</v>
      </c>
      <c r="B123" s="16">
        <v>0.12</v>
      </c>
      <c r="C123" s="20">
        <f t="shared" ref="C123:H123" si="59">C82</f>
        <v>1</v>
      </c>
      <c r="D123" s="20">
        <f t="shared" si="59"/>
        <v>0.89285714285714279</v>
      </c>
      <c r="E123" s="20">
        <f t="shared" si="59"/>
        <v>0.79719387755102034</v>
      </c>
      <c r="F123" s="20">
        <f t="shared" si="59"/>
        <v>0.71178024781341087</v>
      </c>
      <c r="G123" s="20">
        <f t="shared" si="59"/>
        <v>0.63551807840483121</v>
      </c>
      <c r="H123" s="20">
        <f t="shared" si="59"/>
        <v>0.56742685571859919</v>
      </c>
      <c r="J123"/>
    </row>
    <row r="124" spans="1:12" ht="16.2" thickBot="1" x14ac:dyDescent="0.35">
      <c r="A124" s="48" t="s">
        <v>273</v>
      </c>
      <c r="B124" s="16">
        <v>0.1</v>
      </c>
      <c r="C124" s="20">
        <f>(1+$B$124)^($H$122-C122)</f>
        <v>1.6105100000000006</v>
      </c>
      <c r="D124" s="20">
        <f>(1+$B$124)^($H$122-D122)</f>
        <v>1.4641000000000004</v>
      </c>
      <c r="E124" s="20">
        <f t="shared" ref="E124:H124" si="60">(1+$B$124)^($H$122-E122)</f>
        <v>1.3310000000000004</v>
      </c>
      <c r="F124" s="20">
        <f t="shared" si="60"/>
        <v>1.2100000000000002</v>
      </c>
      <c r="G124" s="20">
        <f t="shared" si="60"/>
        <v>1.1000000000000001</v>
      </c>
      <c r="H124" s="20">
        <f t="shared" si="60"/>
        <v>1</v>
      </c>
    </row>
    <row r="125" spans="1:12" ht="54.6" thickBot="1" x14ac:dyDescent="0.35">
      <c r="A125" s="263" t="s">
        <v>312</v>
      </c>
      <c r="C125" s="97">
        <f t="shared" ref="C125:H125" si="61">IF(C121&lt;0,0,C121*C124)</f>
        <v>0</v>
      </c>
      <c r="D125" s="97">
        <f t="shared" si="61"/>
        <v>5629.4645000000019</v>
      </c>
      <c r="E125" s="97">
        <f t="shared" si="61"/>
        <v>0</v>
      </c>
      <c r="F125" s="97">
        <f t="shared" si="61"/>
        <v>8373.4016666666703</v>
      </c>
      <c r="G125" s="97">
        <f t="shared" si="61"/>
        <v>9560.0266666666685</v>
      </c>
      <c r="H125" s="97">
        <f t="shared" si="61"/>
        <v>10477.060000000001</v>
      </c>
      <c r="I125" s="21">
        <f>SUM(C125:H125)</f>
        <v>34039.952833333344</v>
      </c>
    </row>
    <row r="126" spans="1:12" ht="63.6" thickBot="1" x14ac:dyDescent="0.35">
      <c r="A126" s="52" t="s">
        <v>313</v>
      </c>
      <c r="C126" s="3">
        <f>IF(C121&lt;0,-C121*C123,0)</f>
        <v>5000</v>
      </c>
      <c r="D126" s="3">
        <f t="shared" ref="D126:H126" si="62">IF(D121&lt;0,-D121*D123,0)</f>
        <v>0</v>
      </c>
      <c r="E126" s="3">
        <f t="shared" si="62"/>
        <v>239.15816326530609</v>
      </c>
      <c r="F126" s="3">
        <f t="shared" si="62"/>
        <v>0</v>
      </c>
      <c r="G126" s="3">
        <f t="shared" si="62"/>
        <v>0</v>
      </c>
      <c r="H126" s="3">
        <f t="shared" si="62"/>
        <v>0</v>
      </c>
      <c r="I126" s="21">
        <f>SUM(C126:H126)</f>
        <v>5239.158163265306</v>
      </c>
      <c r="J126"/>
    </row>
    <row r="127" spans="1:12" ht="54.6" thickBot="1" x14ac:dyDescent="0.35">
      <c r="A127" s="18" t="s">
        <v>315</v>
      </c>
      <c r="C127" s="350" t="s">
        <v>317</v>
      </c>
      <c r="D127" s="350"/>
      <c r="E127" s="350"/>
      <c r="F127" s="350"/>
      <c r="G127" s="350"/>
      <c r="H127" s="353"/>
      <c r="I127" s="88">
        <f>(I125/I126)^(1/H122)-1</f>
        <v>0.45393666309282543</v>
      </c>
    </row>
    <row r="128" spans="1:12" ht="54.6" thickBot="1" x14ac:dyDescent="0.35">
      <c r="A128" s="18" t="s">
        <v>315</v>
      </c>
      <c r="C128" s="1" t="s">
        <v>316</v>
      </c>
      <c r="D128" s="3"/>
      <c r="E128" s="3"/>
      <c r="F128" s="3"/>
      <c r="G128" s="3"/>
      <c r="H128" s="3"/>
      <c r="I128" s="76">
        <f>MIRR(C121:H121,B123,B124)</f>
        <v>0.45393666309282543</v>
      </c>
    </row>
    <row r="129" spans="1:12" ht="72.599999999999994" thickBot="1" x14ac:dyDescent="0.35">
      <c r="A129" s="18" t="s">
        <v>318</v>
      </c>
      <c r="B129" s="16">
        <v>0.12</v>
      </c>
      <c r="D129" s="3"/>
      <c r="E129" s="3"/>
      <c r="F129" s="3"/>
      <c r="G129" s="3"/>
      <c r="H129" s="3"/>
      <c r="I129" s="88">
        <f>MIRR(C121:H121,B123,B129)</f>
        <v>0.46155988469847808</v>
      </c>
    </row>
    <row r="130" spans="1:12" ht="36" x14ac:dyDescent="0.3">
      <c r="A130" s="93" t="s">
        <v>319</v>
      </c>
    </row>
    <row r="131" spans="1:12" ht="54" x14ac:dyDescent="0.3">
      <c r="A131" s="39" t="s">
        <v>320</v>
      </c>
      <c r="I131" s="78"/>
    </row>
    <row r="132" spans="1:12" ht="54.6" thickBot="1" x14ac:dyDescent="0.35">
      <c r="A132" s="45" t="s">
        <v>323</v>
      </c>
      <c r="I132" s="77"/>
    </row>
    <row r="133" spans="1:12" ht="109.2" thickBot="1" x14ac:dyDescent="0.35">
      <c r="A133" s="147" t="s">
        <v>632</v>
      </c>
      <c r="B133" s="53" t="s">
        <v>231</v>
      </c>
      <c r="C133" s="58" t="s">
        <v>5</v>
      </c>
      <c r="D133" s="59" t="s">
        <v>0</v>
      </c>
      <c r="E133" s="59" t="s">
        <v>1</v>
      </c>
      <c r="F133" s="59" t="s">
        <v>2</v>
      </c>
      <c r="G133" s="59" t="s">
        <v>3</v>
      </c>
      <c r="H133" s="59" t="s">
        <v>4</v>
      </c>
      <c r="I133" s="60" t="s">
        <v>232</v>
      </c>
    </row>
    <row r="134" spans="1:12" ht="54.6" thickBot="1" x14ac:dyDescent="0.35">
      <c r="A134" s="18" t="s">
        <v>321</v>
      </c>
      <c r="C134" s="75"/>
      <c r="D134" s="75"/>
      <c r="E134" s="75"/>
      <c r="F134" s="75"/>
      <c r="G134" s="75"/>
      <c r="H134" s="75"/>
      <c r="I134" s="63">
        <f>I117</f>
        <v>14076.025241762454</v>
      </c>
      <c r="J134" s="64"/>
      <c r="K134" s="64"/>
      <c r="L134" s="90"/>
    </row>
    <row r="135" spans="1:12" ht="63.6" thickBot="1" x14ac:dyDescent="0.35">
      <c r="A135" s="52" t="s">
        <v>313</v>
      </c>
      <c r="C135" s="3">
        <f t="shared" ref="C135:H135" si="63">C115</f>
        <v>-5000</v>
      </c>
      <c r="D135" s="3">
        <f t="shared" si="63"/>
        <v>0</v>
      </c>
      <c r="E135" s="3">
        <f t="shared" si="63"/>
        <v>-239.15816326530609</v>
      </c>
      <c r="F135" s="3">
        <f t="shared" si="63"/>
        <v>0</v>
      </c>
      <c r="G135" s="3">
        <f t="shared" si="63"/>
        <v>0</v>
      </c>
      <c r="H135" s="3">
        <f t="shared" si="63"/>
        <v>0</v>
      </c>
      <c r="I135" s="21">
        <f>SUM(C135:H135)</f>
        <v>-5239.158163265306</v>
      </c>
      <c r="J135" s="64"/>
      <c r="L135" s="23"/>
    </row>
    <row r="136" spans="1:12" ht="72.599999999999994" thickBot="1" x14ac:dyDescent="0.35">
      <c r="A136" s="18" t="s">
        <v>631</v>
      </c>
      <c r="C136" s="75"/>
      <c r="D136" s="75"/>
      <c r="E136" s="75"/>
      <c r="F136" s="75"/>
      <c r="G136" s="75"/>
      <c r="H136" s="75"/>
      <c r="I136" s="91">
        <f>100%*I134/I135</f>
        <v>-2.6866959925847267</v>
      </c>
      <c r="J136"/>
      <c r="L136" s="23"/>
    </row>
    <row r="137" spans="1:12" ht="18" x14ac:dyDescent="0.3">
      <c r="A137" s="40" t="s">
        <v>265</v>
      </c>
    </row>
    <row r="138" spans="1:12" ht="36.6" thickBot="1" x14ac:dyDescent="0.35">
      <c r="A138" s="39" t="s">
        <v>324</v>
      </c>
      <c r="I138" s="78"/>
    </row>
    <row r="139" spans="1:12" ht="78.599999999999994" thickBot="1" x14ac:dyDescent="0.35">
      <c r="A139" s="147" t="s">
        <v>383</v>
      </c>
      <c r="B139" s="53" t="s">
        <v>231</v>
      </c>
      <c r="C139" s="58" t="s">
        <v>5</v>
      </c>
      <c r="D139" s="59" t="s">
        <v>0</v>
      </c>
      <c r="E139" s="59" t="s">
        <v>1</v>
      </c>
      <c r="F139" s="59" t="s">
        <v>2</v>
      </c>
      <c r="G139" s="59" t="s">
        <v>3</v>
      </c>
      <c r="H139" s="59" t="s">
        <v>4</v>
      </c>
      <c r="I139" s="60" t="s">
        <v>232</v>
      </c>
    </row>
    <row r="140" spans="1:12" ht="36.6" thickBot="1" x14ac:dyDescent="0.35">
      <c r="A140" s="18" t="s">
        <v>257</v>
      </c>
      <c r="C140" s="75">
        <f>C121</f>
        <v>-5000</v>
      </c>
      <c r="D140" s="75">
        <f>-D121</f>
        <v>-3845</v>
      </c>
      <c r="E140" s="75">
        <f t="shared" ref="E140:H140" si="64">E121</f>
        <v>-300</v>
      </c>
      <c r="F140" s="75">
        <f t="shared" si="64"/>
        <v>6920.1666666666679</v>
      </c>
      <c r="G140" s="75">
        <f>-G121</f>
        <v>-8690.9333333333343</v>
      </c>
      <c r="H140" s="75">
        <f t="shared" si="64"/>
        <v>10477.060000000001</v>
      </c>
      <c r="I140" s="63">
        <f>SUM(C140:H140)</f>
        <v>-438.70666666666511</v>
      </c>
      <c r="J140"/>
    </row>
    <row r="141" spans="1:12" ht="15" thickBot="1" x14ac:dyDescent="0.35">
      <c r="A141" s="1" t="s">
        <v>325</v>
      </c>
      <c r="C141" s="79">
        <f>DATE(2016,8,19)</f>
        <v>42601</v>
      </c>
      <c r="D141" s="79">
        <f>DATE(2016,9,21)</f>
        <v>42634</v>
      </c>
      <c r="E141" s="79">
        <f>DATE(2016,9,25)</f>
        <v>42638</v>
      </c>
      <c r="F141" s="79">
        <f>DATE(2016,9,30)</f>
        <v>42643</v>
      </c>
      <c r="G141" s="79">
        <f>DATE(2016,10,7)</f>
        <v>42650</v>
      </c>
      <c r="H141" s="79">
        <f>DATE(2016,10,19)</f>
        <v>42662</v>
      </c>
    </row>
    <row r="142" spans="1:12" ht="36.6" thickBot="1" x14ac:dyDescent="0.35">
      <c r="A142" s="18" t="s">
        <v>326</v>
      </c>
      <c r="C142" s="1" t="s">
        <v>328</v>
      </c>
      <c r="I142" s="88">
        <f>XIRR(C140:H140,C141:H141)</f>
        <v>-0.34306609258055698</v>
      </c>
    </row>
    <row r="143" spans="1:12" ht="36.6" thickBot="1" x14ac:dyDescent="0.35">
      <c r="A143" s="93" t="s">
        <v>327</v>
      </c>
    </row>
    <row r="144" spans="1:12" ht="78.599999999999994" thickBot="1" x14ac:dyDescent="0.35">
      <c r="A144" s="147" t="s">
        <v>384</v>
      </c>
      <c r="B144" s="53" t="s">
        <v>231</v>
      </c>
      <c r="C144" s="58" t="s">
        <v>5</v>
      </c>
      <c r="D144" s="59" t="s">
        <v>0</v>
      </c>
      <c r="E144" s="59" t="s">
        <v>1</v>
      </c>
      <c r="F144" s="59" t="s">
        <v>2</v>
      </c>
      <c r="G144" s="59" t="s">
        <v>3</v>
      </c>
      <c r="H144" s="59" t="s">
        <v>4</v>
      </c>
      <c r="I144" s="60" t="s">
        <v>232</v>
      </c>
      <c r="J144" s="64"/>
      <c r="L144" s="23"/>
    </row>
    <row r="145" spans="1:12" ht="36.6" thickBot="1" x14ac:dyDescent="0.35">
      <c r="A145" s="18" t="s">
        <v>257</v>
      </c>
      <c r="C145" s="75">
        <f>C140</f>
        <v>-5000</v>
      </c>
      <c r="D145" s="75">
        <f t="shared" ref="D145:H145" si="65">D140</f>
        <v>-3845</v>
      </c>
      <c r="E145" s="75">
        <f t="shared" si="65"/>
        <v>-300</v>
      </c>
      <c r="F145" s="75">
        <f t="shared" si="65"/>
        <v>6920.1666666666679</v>
      </c>
      <c r="G145" s="75">
        <f t="shared" si="65"/>
        <v>-8690.9333333333343</v>
      </c>
      <c r="H145" s="75">
        <f t="shared" si="65"/>
        <v>10477.060000000001</v>
      </c>
      <c r="I145" s="63">
        <f>SUM(C145:H145)</f>
        <v>-438.70666666666511</v>
      </c>
      <c r="J145"/>
      <c r="L145" s="23"/>
    </row>
    <row r="146" spans="1:12" ht="18" x14ac:dyDescent="0.3">
      <c r="A146" s="1" t="s">
        <v>325</v>
      </c>
      <c r="C146" s="79">
        <f>DATE(2016,8,19)</f>
        <v>42601</v>
      </c>
      <c r="D146" s="79">
        <f>DATE(2016,9,21)</f>
        <v>42634</v>
      </c>
      <c r="E146" s="79">
        <f>DATE(2016,9,25)</f>
        <v>42638</v>
      </c>
      <c r="F146" s="79">
        <f>DATE(2016,9,30)</f>
        <v>42643</v>
      </c>
      <c r="G146" s="79">
        <f>DATE(2016,10,7)</f>
        <v>42650</v>
      </c>
      <c r="H146" s="79">
        <f>DATE(2016,10,19)</f>
        <v>42662</v>
      </c>
      <c r="I146" s="26"/>
      <c r="J146" s="64"/>
      <c r="L146" s="23"/>
    </row>
    <row r="147" spans="1:12" ht="16.2" thickBot="1" x14ac:dyDescent="0.35">
      <c r="A147" s="260" t="s">
        <v>267</v>
      </c>
      <c r="B147" s="16">
        <v>0.12</v>
      </c>
    </row>
    <row r="148" spans="1:12" ht="36.6" thickBot="1" x14ac:dyDescent="0.35">
      <c r="A148" s="18" t="s">
        <v>329</v>
      </c>
      <c r="C148" s="1" t="s">
        <v>331</v>
      </c>
      <c r="E148" s="75"/>
      <c r="F148" s="75"/>
      <c r="G148" s="75"/>
      <c r="H148" s="75"/>
      <c r="I148" s="92">
        <f>XNPV(B147,C145:H145,C146:H146)</f>
        <v>-551.08534282105575</v>
      </c>
      <c r="L148" s="23"/>
    </row>
    <row r="149" spans="1:12" ht="36.6" thickBot="1" x14ac:dyDescent="0.35">
      <c r="A149" s="93" t="s">
        <v>330</v>
      </c>
    </row>
    <row r="150" spans="1:12" ht="55.2" thickBot="1" x14ac:dyDescent="0.35">
      <c r="A150" s="147" t="s">
        <v>385</v>
      </c>
      <c r="B150" s="53" t="s">
        <v>231</v>
      </c>
      <c r="C150" s="58" t="s">
        <v>5</v>
      </c>
      <c r="D150" s="59" t="s">
        <v>0</v>
      </c>
      <c r="E150" s="59" t="s">
        <v>1</v>
      </c>
      <c r="F150" s="59" t="s">
        <v>2</v>
      </c>
      <c r="G150" s="59" t="s">
        <v>3</v>
      </c>
      <c r="H150" s="59" t="s">
        <v>4</v>
      </c>
      <c r="I150" s="60" t="s">
        <v>232</v>
      </c>
      <c r="L150" s="23"/>
    </row>
    <row r="151" spans="1:12" ht="36.6" thickBot="1" x14ac:dyDescent="0.35">
      <c r="A151" s="18" t="s">
        <v>257</v>
      </c>
      <c r="C151" s="75">
        <f t="shared" ref="C151:H151" si="66">C32</f>
        <v>-5000</v>
      </c>
      <c r="D151" s="75">
        <f t="shared" si="66"/>
        <v>3845</v>
      </c>
      <c r="E151" s="75">
        <f t="shared" si="66"/>
        <v>-300</v>
      </c>
      <c r="F151" s="75">
        <f t="shared" si="66"/>
        <v>6920.1666666666679</v>
      </c>
      <c r="G151" s="75">
        <f t="shared" si="66"/>
        <v>8690.9333333333343</v>
      </c>
      <c r="H151" s="75">
        <f t="shared" si="66"/>
        <v>10477.060000000001</v>
      </c>
      <c r="I151" s="63">
        <f>SUM(C151:H151)</f>
        <v>24633.160000000003</v>
      </c>
      <c r="L151" s="23"/>
    </row>
    <row r="152" spans="1:12" ht="31.2" x14ac:dyDescent="0.3">
      <c r="A152" s="260" t="s">
        <v>334</v>
      </c>
      <c r="B152" s="16">
        <v>0.12</v>
      </c>
      <c r="C152" s="23">
        <f>1</f>
        <v>1</v>
      </c>
      <c r="D152" s="23">
        <f>(1+$B$55)^(D4-1)</f>
        <v>1.1200000000000001</v>
      </c>
      <c r="E152" s="23">
        <f>(1+$B$55)^(E4-1)</f>
        <v>1.2544000000000002</v>
      </c>
      <c r="F152" s="23">
        <f>(1+$B$55)^(F4-1)</f>
        <v>1.4049280000000004</v>
      </c>
      <c r="G152" s="23">
        <f>(1+$B$55)^(G4-1)</f>
        <v>1.5735193600000004</v>
      </c>
      <c r="H152" s="23">
        <f>(1+$B$55)^(H4-1)</f>
        <v>1.7623416832000005</v>
      </c>
      <c r="I152" s="26"/>
      <c r="J152"/>
      <c r="L152" s="23"/>
    </row>
    <row r="153" spans="1:12" ht="36.6" thickBot="1" x14ac:dyDescent="0.35">
      <c r="A153" s="261" t="s">
        <v>296</v>
      </c>
      <c r="B153" s="16"/>
      <c r="C153" s="75">
        <f t="shared" ref="C153:H153" si="67">C98</f>
        <v>-5000</v>
      </c>
      <c r="D153" s="75">
        <f t="shared" si="67"/>
        <v>-1566.9642857142858</v>
      </c>
      <c r="E153" s="75">
        <f t="shared" si="67"/>
        <v>-1806.1224489795918</v>
      </c>
      <c r="F153" s="75">
        <f t="shared" si="67"/>
        <v>3119.5154959305141</v>
      </c>
      <c r="G153" s="75">
        <f t="shared" si="67"/>
        <v>8642.7607474750093</v>
      </c>
      <c r="H153" s="75">
        <f t="shared" si="67"/>
        <v>14587.725960450116</v>
      </c>
      <c r="I153" s="26"/>
      <c r="L153" s="23"/>
    </row>
    <row r="154" spans="1:12" ht="36.6" thickBot="1" x14ac:dyDescent="0.35">
      <c r="A154" s="18" t="s">
        <v>332</v>
      </c>
      <c r="C154" s="75">
        <f>C152*C151</f>
        <v>-5000</v>
      </c>
      <c r="D154" s="75">
        <f t="shared" ref="D154:H154" si="68">D152*D151</f>
        <v>4306.4000000000005</v>
      </c>
      <c r="E154" s="75">
        <f t="shared" si="68"/>
        <v>-376.32000000000005</v>
      </c>
      <c r="F154" s="75">
        <f t="shared" si="68"/>
        <v>9722.3359146666717</v>
      </c>
      <c r="G154" s="75">
        <f t="shared" si="68"/>
        <v>13675.351856469339</v>
      </c>
      <c r="H154" s="75">
        <f t="shared" si="68"/>
        <v>18464.159555387399</v>
      </c>
      <c r="I154" s="83">
        <f>SUM(C154:H154)</f>
        <v>40791.927326523408</v>
      </c>
      <c r="J154"/>
      <c r="L154" s="23"/>
    </row>
    <row r="155" spans="1:12" ht="46.95" customHeight="1" thickBot="1" x14ac:dyDescent="0.35">
      <c r="A155" s="40" t="s">
        <v>265</v>
      </c>
      <c r="C155" s="355" t="s">
        <v>311</v>
      </c>
      <c r="D155" s="355"/>
      <c r="E155" s="355"/>
      <c r="F155" s="355"/>
      <c r="G155" s="355"/>
      <c r="I155" s="114" t="s">
        <v>333</v>
      </c>
      <c r="J155" s="115"/>
    </row>
    <row r="156" spans="1:12" ht="86.4" thickBot="1" x14ac:dyDescent="0.35">
      <c r="A156" s="147" t="s">
        <v>386</v>
      </c>
      <c r="B156" s="53" t="s">
        <v>231</v>
      </c>
      <c r="C156" s="58" t="s">
        <v>5</v>
      </c>
      <c r="D156" s="59" t="s">
        <v>0</v>
      </c>
      <c r="E156" s="59" t="s">
        <v>1</v>
      </c>
      <c r="F156" s="59" t="s">
        <v>2</v>
      </c>
      <c r="G156" s="59" t="s">
        <v>3</v>
      </c>
      <c r="H156" s="59" t="s">
        <v>4</v>
      </c>
      <c r="I156" s="60" t="s">
        <v>232</v>
      </c>
      <c r="L156" s="23"/>
    </row>
    <row r="157" spans="1:12" ht="36.6" thickBot="1" x14ac:dyDescent="0.35">
      <c r="A157" s="18" t="s">
        <v>257</v>
      </c>
      <c r="C157" s="75">
        <f t="shared" ref="C157:H157" si="69">C151</f>
        <v>-5000</v>
      </c>
      <c r="D157" s="75">
        <f t="shared" si="69"/>
        <v>3845</v>
      </c>
      <c r="E157" s="75">
        <f t="shared" si="69"/>
        <v>-300</v>
      </c>
      <c r="F157" s="75">
        <f t="shared" si="69"/>
        <v>6920.1666666666679</v>
      </c>
      <c r="G157" s="75">
        <f t="shared" si="69"/>
        <v>8690.9333333333343</v>
      </c>
      <c r="H157" s="75">
        <f t="shared" si="69"/>
        <v>10477.060000000001</v>
      </c>
      <c r="I157" s="63">
        <f>SUM(C157:H157)</f>
        <v>24633.160000000003</v>
      </c>
      <c r="L157" s="23"/>
    </row>
    <row r="158" spans="1:12" ht="18.600000000000001" thickBot="1" x14ac:dyDescent="0.35">
      <c r="A158" s="48" t="s">
        <v>273</v>
      </c>
      <c r="B158" s="16">
        <v>0.12</v>
      </c>
      <c r="C158" s="23">
        <f>1</f>
        <v>1</v>
      </c>
      <c r="D158" s="23">
        <f>(1+$B$55)^(D4-1)</f>
        <v>1.1200000000000001</v>
      </c>
      <c r="E158" s="23">
        <f>(1+$B$55)^(E4-1)</f>
        <v>1.2544000000000002</v>
      </c>
      <c r="F158" s="23">
        <f>(1+$B$55)^(F4-1)</f>
        <v>1.4049280000000004</v>
      </c>
      <c r="G158" s="23">
        <f>(1+$B$55)^(G4-1)</f>
        <v>1.5735193600000004</v>
      </c>
      <c r="H158" s="23">
        <f>(1+$B$55)^(H4-1)</f>
        <v>1.7623416832000005</v>
      </c>
      <c r="I158" s="21"/>
      <c r="J158"/>
      <c r="L158" s="23"/>
    </row>
    <row r="159" spans="1:12" ht="49.5" customHeight="1" thickBot="1" x14ac:dyDescent="0.35">
      <c r="A159" s="260" t="s">
        <v>288</v>
      </c>
      <c r="B159" s="16">
        <v>0.12</v>
      </c>
      <c r="C159" s="23">
        <f>1/C158</f>
        <v>1</v>
      </c>
      <c r="D159" s="108">
        <f t="shared" ref="D159:H159" si="70">1/D158</f>
        <v>0.89285714285714279</v>
      </c>
      <c r="E159" s="108">
        <f t="shared" si="70"/>
        <v>0.79719387755102034</v>
      </c>
      <c r="F159" s="108">
        <f t="shared" si="70"/>
        <v>0.71178024781341087</v>
      </c>
      <c r="G159" s="108">
        <f t="shared" si="70"/>
        <v>0.63551807840483121</v>
      </c>
      <c r="H159" s="108">
        <f t="shared" si="70"/>
        <v>0.56742685571859919</v>
      </c>
      <c r="I159" s="21">
        <f>SUM(D159:H159)</f>
        <v>3.6047762023450045</v>
      </c>
      <c r="J159" s="361" t="s">
        <v>336</v>
      </c>
      <c r="K159" s="362"/>
      <c r="L159" s="362"/>
    </row>
    <row r="160" spans="1:12" ht="36.6" thickBot="1" x14ac:dyDescent="0.35">
      <c r="A160" s="261" t="s">
        <v>296</v>
      </c>
      <c r="B160" s="16"/>
      <c r="C160" s="75"/>
      <c r="D160" s="75"/>
      <c r="E160" s="75"/>
      <c r="F160" s="75"/>
      <c r="G160" s="75"/>
      <c r="H160" s="75"/>
      <c r="I160" s="21">
        <f>H153</f>
        <v>14587.725960450116</v>
      </c>
      <c r="L160" s="23"/>
    </row>
    <row r="161" spans="1:12" ht="36.6" thickBot="1" x14ac:dyDescent="0.35">
      <c r="A161" s="18" t="s">
        <v>335</v>
      </c>
      <c r="C161" s="75"/>
      <c r="D161" s="75">
        <f>$I$161</f>
        <v>4046.7771483179472</v>
      </c>
      <c r="E161" s="75">
        <f t="shared" ref="E161:H161" si="71">$I$161</f>
        <v>4046.7771483179472</v>
      </c>
      <c r="F161" s="75">
        <f t="shared" si="71"/>
        <v>4046.7771483179472</v>
      </c>
      <c r="G161" s="75">
        <f t="shared" si="71"/>
        <v>4046.7771483179472</v>
      </c>
      <c r="H161" s="75">
        <f t="shared" si="71"/>
        <v>4046.7771483179472</v>
      </c>
      <c r="I161" s="83">
        <f>I160/I159</f>
        <v>4046.7771483179472</v>
      </c>
      <c r="L161" s="23"/>
    </row>
    <row r="162" spans="1:12" ht="31.8" thickBot="1" x14ac:dyDescent="0.35">
      <c r="A162" s="96" t="s">
        <v>612</v>
      </c>
      <c r="C162" s="75"/>
      <c r="D162" s="20">
        <f>D161*D159</f>
        <v>3613.1938824267381</v>
      </c>
      <c r="E162" s="20">
        <f t="shared" ref="E162:H162" si="72">E161*E159</f>
        <v>3226.0659664524451</v>
      </c>
      <c r="F162" s="20">
        <f t="shared" si="72"/>
        <v>2880.4160414753965</v>
      </c>
      <c r="G162" s="20">
        <f t="shared" si="72"/>
        <v>2571.8000370316045</v>
      </c>
      <c r="H162" s="20">
        <f t="shared" si="72"/>
        <v>2296.2500330639323</v>
      </c>
      <c r="I162" s="21">
        <f>SUM(D162:H162)</f>
        <v>14587.725960450116</v>
      </c>
      <c r="L162" s="23"/>
    </row>
    <row r="163" spans="1:12" ht="36.6" thickBot="1" x14ac:dyDescent="0.35">
      <c r="A163" s="93" t="s">
        <v>337</v>
      </c>
      <c r="C163" s="1" t="s">
        <v>611</v>
      </c>
      <c r="I163" s="83">
        <f>-PMT(B158,5,I160,,0)</f>
        <v>4046.7771483179472</v>
      </c>
    </row>
    <row r="164" spans="1:12" ht="90" x14ac:dyDescent="0.3">
      <c r="A164" s="45" t="s">
        <v>338</v>
      </c>
      <c r="I164" s="77"/>
    </row>
    <row r="165" spans="1:12" s="64" customFormat="1" x14ac:dyDescent="0.3">
      <c r="A165" s="137"/>
      <c r="I165" s="138"/>
    </row>
    <row r="166" spans="1:12" ht="47.4" thickBot="1" x14ac:dyDescent="0.35">
      <c r="A166" s="114" t="s">
        <v>339</v>
      </c>
      <c r="B166" s="115"/>
    </row>
    <row r="167" spans="1:12" ht="55.2" thickBot="1" x14ac:dyDescent="0.35">
      <c r="A167" s="147" t="s">
        <v>387</v>
      </c>
      <c r="B167" s="53" t="s">
        <v>231</v>
      </c>
      <c r="C167" s="58" t="s">
        <v>5</v>
      </c>
      <c r="D167" s="59" t="s">
        <v>0</v>
      </c>
      <c r="E167" s="59" t="s">
        <v>1</v>
      </c>
      <c r="F167" s="59" t="s">
        <v>2</v>
      </c>
      <c r="G167" s="59" t="s">
        <v>3</v>
      </c>
      <c r="H167" s="59" t="s">
        <v>4</v>
      </c>
      <c r="I167" s="60" t="s">
        <v>232</v>
      </c>
    </row>
    <row r="168" spans="1:12" ht="36.6" thickBot="1" x14ac:dyDescent="0.35">
      <c r="A168" s="18" t="s">
        <v>257</v>
      </c>
      <c r="B168" s="16">
        <v>0.12</v>
      </c>
      <c r="C168" s="24">
        <v>-500</v>
      </c>
      <c r="D168" s="24">
        <v>100</v>
      </c>
      <c r="E168" s="24">
        <v>200</v>
      </c>
      <c r="F168" s="24">
        <v>300</v>
      </c>
      <c r="G168" s="24">
        <v>400</v>
      </c>
      <c r="H168" s="24">
        <v>500</v>
      </c>
      <c r="I168" s="63">
        <f>SUM(D168:H168)</f>
        <v>1500</v>
      </c>
    </row>
    <row r="169" spans="1:12" ht="16.2" thickBot="1" x14ac:dyDescent="0.35">
      <c r="A169" s="29" t="s">
        <v>307</v>
      </c>
      <c r="D169" s="1">
        <f>D4-1</f>
        <v>1</v>
      </c>
      <c r="E169" s="1">
        <f>E4-1</f>
        <v>2</v>
      </c>
      <c r="F169" s="1">
        <f>F4-1</f>
        <v>3</v>
      </c>
      <c r="G169" s="1">
        <f>G4-1</f>
        <v>4</v>
      </c>
      <c r="H169" s="1">
        <f>H4-1</f>
        <v>5</v>
      </c>
    </row>
    <row r="170" spans="1:12" ht="34.200000000000003" thickBot="1" x14ac:dyDescent="0.35">
      <c r="A170" s="96" t="s">
        <v>341</v>
      </c>
      <c r="C170" s="24">
        <f>C168*D169</f>
        <v>-500</v>
      </c>
      <c r="D170" s="24">
        <f>D169*D171</f>
        <v>89.285714285714278</v>
      </c>
      <c r="E170" s="24">
        <f t="shared" ref="E170:H170" si="73">E169*E171</f>
        <v>318.87755102040813</v>
      </c>
      <c r="F170" s="24">
        <f t="shared" si="73"/>
        <v>640.60222303206979</v>
      </c>
      <c r="G170" s="24">
        <f t="shared" si="73"/>
        <v>1016.8289254477298</v>
      </c>
      <c r="H170" s="24">
        <f t="shared" si="73"/>
        <v>1418.567139296498</v>
      </c>
      <c r="I170" s="21">
        <f>SUM(D170:H170)</f>
        <v>3484.1615530824201</v>
      </c>
    </row>
    <row r="171" spans="1:12" ht="18.600000000000001" thickBot="1" x14ac:dyDescent="0.35">
      <c r="A171" s="36" t="s">
        <v>342</v>
      </c>
      <c r="B171" s="16">
        <v>0.12</v>
      </c>
      <c r="C171" s="24"/>
      <c r="D171" s="24">
        <f>D168/((1+$B$171)^D169)</f>
        <v>89.285714285714278</v>
      </c>
      <c r="E171" s="24">
        <f t="shared" ref="E171:H171" si="74">E168/((1+$B$171)^E169)</f>
        <v>159.43877551020407</v>
      </c>
      <c r="F171" s="24">
        <f t="shared" si="74"/>
        <v>213.53407434402325</v>
      </c>
      <c r="G171" s="24">
        <f t="shared" si="74"/>
        <v>254.20723136193246</v>
      </c>
      <c r="H171" s="24">
        <f t="shared" si="74"/>
        <v>283.7134278592996</v>
      </c>
      <c r="I171" s="63">
        <f>SUM(D171:H171)</f>
        <v>1000.1792233611736</v>
      </c>
    </row>
    <row r="172" spans="1:12" ht="36.6" thickBot="1" x14ac:dyDescent="0.35">
      <c r="A172" s="18" t="s">
        <v>343</v>
      </c>
      <c r="B172" s="16">
        <v>0.12</v>
      </c>
      <c r="I172" s="83">
        <f>I170/I171</f>
        <v>3.4835372218327501</v>
      </c>
    </row>
    <row r="173" spans="1:12" ht="51" thickBot="1" x14ac:dyDescent="0.35">
      <c r="A173" s="18" t="s">
        <v>633</v>
      </c>
      <c r="B173" s="16">
        <v>0.12</v>
      </c>
      <c r="I173" s="83">
        <f>F169-K174</f>
        <v>3.1484672000000002</v>
      </c>
    </row>
    <row r="174" spans="1:12" ht="18.600000000000001" hidden="1" thickBot="1" x14ac:dyDescent="0.35">
      <c r="A174" s="96" t="s">
        <v>635</v>
      </c>
      <c r="C174" s="1">
        <f>C170</f>
        <v>-500</v>
      </c>
      <c r="D174" s="1">
        <f>C174+D171</f>
        <v>-410.71428571428572</v>
      </c>
      <c r="E174" s="1">
        <f t="shared" ref="E174:H174" si="75">D174+E171</f>
        <v>-251.27551020408166</v>
      </c>
      <c r="F174" s="1">
        <f t="shared" si="75"/>
        <v>-37.741435860058402</v>
      </c>
      <c r="G174" s="1">
        <f t="shared" si="75"/>
        <v>216.46579550187406</v>
      </c>
      <c r="H174" s="1">
        <f t="shared" si="75"/>
        <v>500.17922336117363</v>
      </c>
      <c r="I174" s="83"/>
      <c r="K174" s="20">
        <f>F174/G171</f>
        <v>-0.14846720000000041</v>
      </c>
    </row>
    <row r="175" spans="1:12" ht="33" thickBot="1" x14ac:dyDescent="0.35">
      <c r="A175" s="18" t="s">
        <v>634</v>
      </c>
      <c r="I175" s="83">
        <f>F169-K176</f>
        <v>2.6666666666666665</v>
      </c>
    </row>
    <row r="176" spans="1:12" ht="18.600000000000001" hidden="1" thickBot="1" x14ac:dyDescent="0.35">
      <c r="A176" s="96" t="s">
        <v>636</v>
      </c>
      <c r="C176" s="1">
        <f>C168</f>
        <v>-500</v>
      </c>
      <c r="D176" s="1">
        <f>C176+D168</f>
        <v>-400</v>
      </c>
      <c r="E176" s="1">
        <f t="shared" ref="E176:H176" si="76">D176+E168</f>
        <v>-200</v>
      </c>
      <c r="F176" s="1">
        <f t="shared" si="76"/>
        <v>100</v>
      </c>
      <c r="G176" s="1">
        <f t="shared" si="76"/>
        <v>500</v>
      </c>
      <c r="H176" s="1">
        <f t="shared" si="76"/>
        <v>1000</v>
      </c>
      <c r="I176" s="279"/>
      <c r="K176" s="20">
        <f>F176/F168</f>
        <v>0.33333333333333331</v>
      </c>
    </row>
    <row r="177" spans="1:11" ht="36.6" thickBot="1" x14ac:dyDescent="0.35">
      <c r="A177" s="18" t="s">
        <v>343</v>
      </c>
      <c r="B177" s="16">
        <v>0.24</v>
      </c>
      <c r="D177" s="1">
        <f>D178*D169</f>
        <v>80.645161290322577</v>
      </c>
      <c r="E177" s="1">
        <f t="shared" ref="E177:H177" si="77">E178*E169</f>
        <v>260.14568158168572</v>
      </c>
      <c r="F177" s="1">
        <f t="shared" si="77"/>
        <v>472.03853512805881</v>
      </c>
      <c r="G177" s="1">
        <f t="shared" si="77"/>
        <v>676.75775645599822</v>
      </c>
      <c r="H177" s="1">
        <f t="shared" si="77"/>
        <v>852.76935037298153</v>
      </c>
      <c r="I177" s="83">
        <f>SUM(D177:H177)/SUM(D178:H178)</f>
        <v>3.3093129404455288</v>
      </c>
      <c r="K177" s="20"/>
    </row>
    <row r="178" spans="1:11" ht="18.600000000000001" hidden="1" thickBot="1" x14ac:dyDescent="0.35">
      <c r="A178" s="36" t="s">
        <v>342</v>
      </c>
      <c r="B178" s="16"/>
      <c r="D178" s="1">
        <f>D168/((1+$B$177)^D169)</f>
        <v>80.645161290322577</v>
      </c>
      <c r="E178" s="1">
        <f>E168/((1+$B$177)^E169)</f>
        <v>130.07284079084286</v>
      </c>
      <c r="F178" s="1">
        <f>F168/((1+$B$177)^F169)</f>
        <v>157.34617837601959</v>
      </c>
      <c r="G178" s="1">
        <f>G168/((1+$B$177)^G169)</f>
        <v>169.18943911399955</v>
      </c>
      <c r="H178" s="1">
        <f>H168/((1+$B$177)^H169)</f>
        <v>170.55387007459632</v>
      </c>
      <c r="I178" s="83"/>
      <c r="K178" s="20"/>
    </row>
    <row r="179" spans="1:11" ht="36.6" thickBot="1" x14ac:dyDescent="0.35">
      <c r="A179" s="18" t="s">
        <v>343</v>
      </c>
      <c r="B179" s="16">
        <v>0.48</v>
      </c>
      <c r="D179" s="1">
        <f>D180*D169</f>
        <v>67.567567567567565</v>
      </c>
      <c r="E179" s="1">
        <f t="shared" ref="E179:H179" si="78">E180*E169</f>
        <v>182.61504747991236</v>
      </c>
      <c r="F179" s="1">
        <f t="shared" si="78"/>
        <v>277.62422758770458</v>
      </c>
      <c r="G179" s="1">
        <f t="shared" si="78"/>
        <v>333.48255566090643</v>
      </c>
      <c r="H179" s="1">
        <f t="shared" si="78"/>
        <v>352.07195487849077</v>
      </c>
      <c r="I179" s="83">
        <f>SUM(D179:H179)/SUM(D180:H180)</f>
        <v>2.99446389551815</v>
      </c>
      <c r="K179" s="20"/>
    </row>
    <row r="180" spans="1:11" ht="18.600000000000001" hidden="1" thickBot="1" x14ac:dyDescent="0.35">
      <c r="A180" s="36" t="s">
        <v>342</v>
      </c>
      <c r="B180" s="16"/>
      <c r="D180" s="1">
        <f>D168/((1+$B$179)^D169)</f>
        <v>67.567567567567565</v>
      </c>
      <c r="E180" s="1">
        <f t="shared" ref="E180:H180" si="79">E168/((1+$B$179)^E169)</f>
        <v>91.307523739956181</v>
      </c>
      <c r="F180" s="1">
        <f t="shared" si="79"/>
        <v>92.541409195901537</v>
      </c>
      <c r="G180" s="1">
        <f t="shared" si="79"/>
        <v>83.370638915226607</v>
      </c>
      <c r="H180" s="1">
        <f t="shared" si="79"/>
        <v>70.414390975698154</v>
      </c>
      <c r="I180" s="83"/>
      <c r="K180" s="20"/>
    </row>
    <row r="181" spans="1:11" ht="55.2" thickBot="1" x14ac:dyDescent="0.35">
      <c r="A181" s="147" t="s">
        <v>385</v>
      </c>
      <c r="B181" s="53" t="s">
        <v>231</v>
      </c>
      <c r="C181" s="58" t="s">
        <v>5</v>
      </c>
      <c r="D181" s="59" t="s">
        <v>0</v>
      </c>
      <c r="E181" s="59" t="s">
        <v>1</v>
      </c>
      <c r="F181" s="59" t="s">
        <v>2</v>
      </c>
      <c r="G181" s="59" t="s">
        <v>3</v>
      </c>
      <c r="H181" s="59" t="s">
        <v>4</v>
      </c>
      <c r="I181" s="60" t="s">
        <v>232</v>
      </c>
    </row>
    <row r="182" spans="1:11" ht="36.6" thickBot="1" x14ac:dyDescent="0.35">
      <c r="A182" s="18" t="s">
        <v>257</v>
      </c>
      <c r="C182" s="75">
        <f t="shared" ref="C182:H182" si="80">C168</f>
        <v>-500</v>
      </c>
      <c r="D182" s="75">
        <f t="shared" si="80"/>
        <v>100</v>
      </c>
      <c r="E182" s="75">
        <f t="shared" si="80"/>
        <v>200</v>
      </c>
      <c r="F182" s="75">
        <f t="shared" si="80"/>
        <v>300</v>
      </c>
      <c r="G182" s="75">
        <f t="shared" si="80"/>
        <v>400</v>
      </c>
      <c r="H182" s="75">
        <f t="shared" si="80"/>
        <v>500</v>
      </c>
      <c r="I182" s="63">
        <f>SUM(C182:H182)</f>
        <v>1000</v>
      </c>
    </row>
    <row r="183" spans="1:11" ht="34.200000000000003" thickBot="1" x14ac:dyDescent="0.35">
      <c r="A183" s="264" t="s">
        <v>340</v>
      </c>
      <c r="B183" s="16"/>
      <c r="C183" s="75"/>
      <c r="D183" s="24">
        <f>D171</f>
        <v>89.285714285714278</v>
      </c>
      <c r="E183" s="24">
        <f>E171</f>
        <v>159.43877551020407</v>
      </c>
      <c r="F183" s="24">
        <f>F171</f>
        <v>213.53407434402325</v>
      </c>
      <c r="G183" s="24">
        <f>G171</f>
        <v>254.20723136193246</v>
      </c>
      <c r="H183" s="24">
        <f>H171</f>
        <v>283.7134278592996</v>
      </c>
      <c r="I183" s="21">
        <f>NPV(B185,D182:H182)</f>
        <v>1000.1792233611737</v>
      </c>
    </row>
    <row r="184" spans="1:11" ht="15.6" x14ac:dyDescent="0.3">
      <c r="A184" s="29" t="s">
        <v>307</v>
      </c>
      <c r="D184" s="1">
        <f>D4-1</f>
        <v>1</v>
      </c>
      <c r="E184" s="1">
        <f>E4-1</f>
        <v>2</v>
      </c>
      <c r="F184" s="1">
        <f>F4-1</f>
        <v>3</v>
      </c>
      <c r="G184" s="1">
        <f>G4-1</f>
        <v>4</v>
      </c>
      <c r="H184" s="1">
        <f>H4-1</f>
        <v>5</v>
      </c>
      <c r="I184" s="1">
        <f>H184</f>
        <v>5</v>
      </c>
    </row>
    <row r="185" spans="1:11" ht="16.2" thickBot="1" x14ac:dyDescent="0.35">
      <c r="A185" s="29" t="s">
        <v>75</v>
      </c>
      <c r="B185" s="16">
        <v>0.12</v>
      </c>
      <c r="C185" s="23">
        <f t="shared" ref="C185:H185" si="81">C158</f>
        <v>1</v>
      </c>
      <c r="D185" s="23">
        <f t="shared" si="81"/>
        <v>1.1200000000000001</v>
      </c>
      <c r="E185" s="23">
        <f t="shared" si="81"/>
        <v>1.2544000000000002</v>
      </c>
      <c r="F185" s="23">
        <f t="shared" si="81"/>
        <v>1.4049280000000004</v>
      </c>
      <c r="G185" s="23">
        <f t="shared" si="81"/>
        <v>1.5735193600000004</v>
      </c>
      <c r="H185" s="23">
        <f t="shared" si="81"/>
        <v>1.7623416832000005</v>
      </c>
    </row>
    <row r="186" spans="1:11" ht="36.6" thickBot="1" x14ac:dyDescent="0.35">
      <c r="A186" s="18" t="s">
        <v>344</v>
      </c>
      <c r="D186" s="1">
        <f>D182*(1+$B$185)^($I$184-D184)</f>
        <v>157.35193600000002</v>
      </c>
      <c r="E186" s="1">
        <f t="shared" ref="E186:H186" si="82">E182*(1+$B$185)^($I$184-E184)</f>
        <v>280.98560000000009</v>
      </c>
      <c r="F186" s="1">
        <f t="shared" si="82"/>
        <v>376.32000000000005</v>
      </c>
      <c r="G186" s="1">
        <f t="shared" si="82"/>
        <v>448.00000000000006</v>
      </c>
      <c r="H186" s="1">
        <f t="shared" si="82"/>
        <v>500</v>
      </c>
      <c r="I186" s="83">
        <f>SUM(D186:H186)</f>
        <v>1762.6575360000002</v>
      </c>
    </row>
    <row r="187" spans="1:11" ht="54.6" thickBot="1" x14ac:dyDescent="0.35">
      <c r="A187" s="18" t="s">
        <v>345</v>
      </c>
      <c r="D187" s="350" t="s">
        <v>346</v>
      </c>
      <c r="E187" s="350"/>
      <c r="F187" s="350"/>
      <c r="G187" s="350"/>
      <c r="I187" s="83">
        <f>I183*(1+B185)^I184</f>
        <v>1762.6575360000002</v>
      </c>
    </row>
    <row r="190" spans="1:11" ht="15" thickBot="1" x14ac:dyDescent="0.35"/>
    <row r="191" spans="1:11" ht="63" thickBot="1" x14ac:dyDescent="0.35">
      <c r="A191" s="147" t="s">
        <v>637</v>
      </c>
      <c r="B191" s="53" t="s">
        <v>231</v>
      </c>
      <c r="C191" s="58" t="s">
        <v>5</v>
      </c>
      <c r="D191" s="59" t="s">
        <v>0</v>
      </c>
      <c r="E191" s="59" t="s">
        <v>1</v>
      </c>
      <c r="F191" s="59" t="s">
        <v>2</v>
      </c>
      <c r="G191" s="59" t="s">
        <v>3</v>
      </c>
      <c r="H191" s="59" t="s">
        <v>4</v>
      </c>
      <c r="I191" s="60" t="s">
        <v>232</v>
      </c>
    </row>
    <row r="192" spans="1:11" ht="18" x14ac:dyDescent="0.3">
      <c r="A192" s="1" t="s">
        <v>638</v>
      </c>
      <c r="B192" s="281">
        <v>0.03</v>
      </c>
      <c r="D192" s="1">
        <f>10</f>
        <v>10</v>
      </c>
      <c r="E192" s="1">
        <v>10</v>
      </c>
      <c r="F192" s="1">
        <v>10</v>
      </c>
      <c r="G192" s="1">
        <v>10</v>
      </c>
      <c r="H192" s="1">
        <v>110</v>
      </c>
      <c r="I192" s="1">
        <f>SUM(D192:H192)</f>
        <v>150</v>
      </c>
    </row>
    <row r="193" spans="1:9" ht="15" thickBot="1" x14ac:dyDescent="0.35">
      <c r="A193" s="1" t="s">
        <v>639</v>
      </c>
      <c r="B193" s="280"/>
      <c r="D193" s="1">
        <f>D192/((1+$B$192)^D184)</f>
        <v>9.7087378640776691</v>
      </c>
      <c r="E193" s="1">
        <f t="shared" ref="E193:H193" si="83">E192/((1+$B$192)^E184)</f>
        <v>9.4259590913375444</v>
      </c>
      <c r="F193" s="1">
        <f t="shared" si="83"/>
        <v>9.1514165935315965</v>
      </c>
      <c r="G193" s="1">
        <f t="shared" si="83"/>
        <v>8.8848704791568895</v>
      </c>
      <c r="H193" s="1">
        <f t="shared" si="83"/>
        <v>94.886966282258058</v>
      </c>
      <c r="I193" s="1">
        <f>SUM(D193:H193)</f>
        <v>132.05795031036178</v>
      </c>
    </row>
    <row r="194" spans="1:9" ht="18.600000000000001" thickBot="1" x14ac:dyDescent="0.35">
      <c r="A194" s="1" t="s">
        <v>641</v>
      </c>
      <c r="B194" s="280"/>
      <c r="I194" s="83">
        <f>SUMPRODUCT(D184:H184,D193:H193)/SUM(D193:H193)</f>
        <v>4.285915522882803</v>
      </c>
    </row>
    <row r="195" spans="1:9" x14ac:dyDescent="0.3">
      <c r="A195" s="1" t="s">
        <v>640</v>
      </c>
      <c r="H195" s="1">
        <v>150</v>
      </c>
      <c r="I195" s="1">
        <f>SUM(D195:H195)</f>
        <v>150</v>
      </c>
    </row>
    <row r="196" spans="1:9" ht="15" thickBot="1" x14ac:dyDescent="0.35">
      <c r="A196" s="1" t="s">
        <v>639</v>
      </c>
      <c r="H196" s="1">
        <f>H195/((1+$B$192)^H184)</f>
        <v>129.39131765762463</v>
      </c>
      <c r="I196" s="1">
        <f>SUM(D196:H196)</f>
        <v>129.39131765762463</v>
      </c>
    </row>
    <row r="197" spans="1:9" ht="18.600000000000001" thickBot="1" x14ac:dyDescent="0.35">
      <c r="A197" s="1" t="s">
        <v>642</v>
      </c>
      <c r="I197" s="83">
        <f>SUMPRODUCT(D184:H184,D196:H196)/SUM(D196:H196)</f>
        <v>5</v>
      </c>
    </row>
  </sheetData>
  <mergeCells count="12">
    <mergeCell ref="C41:H41"/>
    <mergeCell ref="C93:D93"/>
    <mergeCell ref="E94:H94"/>
    <mergeCell ref="E93:H93"/>
    <mergeCell ref="J159:L159"/>
    <mergeCell ref="D187:G187"/>
    <mergeCell ref="C116:G116"/>
    <mergeCell ref="C63:H63"/>
    <mergeCell ref="C127:H127"/>
    <mergeCell ref="C94:D94"/>
    <mergeCell ref="C106:G106"/>
    <mergeCell ref="C155:G155"/>
  </mergeCells>
  <hyperlinks>
    <hyperlink ref="J1" r:id="rId1" xr:uid="{00000000-0004-0000-0000-000000000000}"/>
    <hyperlink ref="J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topLeftCell="A94" zoomScale="130" zoomScaleNormal="130" workbookViewId="0"/>
  </sheetViews>
  <sheetFormatPr defaultColWidth="8.88671875" defaultRowHeight="14.4" x14ac:dyDescent="0.3"/>
  <cols>
    <col min="1" max="1" width="51.5546875" style="1" customWidth="1"/>
    <col min="2" max="2" width="8.5546875" style="1" customWidth="1"/>
    <col min="3" max="8" width="12.6640625" style="1" customWidth="1"/>
    <col min="9" max="9" width="17.109375" style="1" customWidth="1"/>
    <col min="10" max="16384" width="8.88671875" style="1"/>
  </cols>
  <sheetData>
    <row r="1" spans="1:10" ht="28.8" x14ac:dyDescent="0.3">
      <c r="A1" s="221" t="s">
        <v>347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f>'Cash Flow уточненный'!D7</f>
        <v>75</v>
      </c>
      <c r="E7" s="7">
        <f>'Cash Flow уточненный'!E7</f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s="6" customFormat="1" ht="15.6" x14ac:dyDescent="0.3">
      <c r="A8" s="99" t="s">
        <v>348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8</v>
      </c>
    </row>
    <row r="10" spans="1:10" ht="15.6" x14ac:dyDescent="0.3">
      <c r="A10" s="4" t="s">
        <v>350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6" x14ac:dyDescent="0.3">
      <c r="A11" s="99" t="s">
        <v>351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9</v>
      </c>
    </row>
    <row r="16" spans="1:10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9</v>
      </c>
    </row>
    <row r="17" spans="1:9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3" customFormat="1" ht="15.6" x14ac:dyDescent="0.3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2" thickBot="1" x14ac:dyDescent="0.35">
      <c r="A19" s="99" t="s">
        <v>354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6" x14ac:dyDescent="0.3">
      <c r="A21" s="5" t="s">
        <v>247</v>
      </c>
      <c r="B21" s="16"/>
      <c r="C21" s="9">
        <v>0</v>
      </c>
      <c r="D21" s="9">
        <f>'Cash Flow уточненный'!D21</f>
        <v>-225</v>
      </c>
      <c r="E21" s="9">
        <f>'Cash Flow уточненный'!E21</f>
        <v>-1025</v>
      </c>
      <c r="F21" s="9">
        <f>'Cash Flow уточненный'!F21</f>
        <v>-1600.8333333333333</v>
      </c>
      <c r="G21" s="9">
        <f>'Cash Flow уточненный'!G21</f>
        <v>-1454.6666666666667</v>
      </c>
      <c r="H21" s="9">
        <f>'Cash Flow уточненный'!H21</f>
        <v>-1385.3</v>
      </c>
      <c r="I21" s="8">
        <f t="shared" si="7"/>
        <v>-5690.8</v>
      </c>
    </row>
    <row r="22" spans="1:9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0">E20+E21</f>
        <v>-1256</v>
      </c>
      <c r="F22" s="8">
        <f t="shared" si="10"/>
        <v>7055.166666666667</v>
      </c>
      <c r="G22" s="8">
        <f t="shared" si="10"/>
        <v>9790.5183333333352</v>
      </c>
      <c r="H22" s="8">
        <f t="shared" si="10"/>
        <v>12706.297712499992</v>
      </c>
      <c r="I22" s="8">
        <f t="shared" si="7"/>
        <v>32820.982712500001</v>
      </c>
    </row>
    <row r="23" spans="1:9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1">-E17*E19</f>
        <v>-420.00000000000006</v>
      </c>
      <c r="F23" s="144">
        <f t="shared" si="11"/>
        <v>-420</v>
      </c>
      <c r="G23" s="144">
        <f t="shared" si="11"/>
        <v>-400</v>
      </c>
      <c r="H23" s="144">
        <f t="shared" si="11"/>
        <v>-405</v>
      </c>
      <c r="I23" s="145">
        <f t="shared" si="7"/>
        <v>-2045</v>
      </c>
    </row>
    <row r="24" spans="1:9" s="5" customFormat="1" ht="16.2" thickBot="1" x14ac:dyDescent="0.35">
      <c r="A24" s="5" t="s">
        <v>249</v>
      </c>
      <c r="B24" s="16">
        <v>0.2</v>
      </c>
      <c r="C24" s="9">
        <f t="shared" ref="C24:D24" si="12">IF(C22+C23&lt;0,0,-(C22+C23)*$B$24)</f>
        <v>0</v>
      </c>
      <c r="D24" s="9">
        <f t="shared" si="12"/>
        <v>-825</v>
      </c>
      <c r="E24" s="9">
        <f>IF(E22+E23&lt;0,0,-(E22+E23)*$B$24)</f>
        <v>0</v>
      </c>
      <c r="F24" s="9">
        <f t="shared" ref="F24:H24" si="13">IF(F22+F23&lt;0,0,-(F22+F23)*$B$24)</f>
        <v>-1327.0333333333335</v>
      </c>
      <c r="G24" s="9">
        <f t="shared" si="13"/>
        <v>-1878.1036666666671</v>
      </c>
      <c r="H24" s="9">
        <f t="shared" si="13"/>
        <v>-2460.2595424999986</v>
      </c>
      <c r="I24" s="8">
        <f t="shared" si="7"/>
        <v>-6490.3965424999988</v>
      </c>
    </row>
    <row r="25" spans="1:9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4">E22+E23+E24</f>
        <v>-1676</v>
      </c>
      <c r="F25" s="8">
        <f t="shared" si="14"/>
        <v>5308.1333333333332</v>
      </c>
      <c r="G25" s="8">
        <f t="shared" si="14"/>
        <v>7512.4146666666684</v>
      </c>
      <c r="H25" s="8">
        <f t="shared" si="14"/>
        <v>9841.0381699999944</v>
      </c>
      <c r="I25" s="49">
        <f t="shared" si="7"/>
        <v>24285.586169999995</v>
      </c>
    </row>
    <row r="26" spans="1:9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5">D30</f>
        <v>3525</v>
      </c>
      <c r="F26" s="9">
        <f t="shared" si="15"/>
        <v>2874</v>
      </c>
      <c r="G26" s="9">
        <f t="shared" si="15"/>
        <v>9782.9666666666672</v>
      </c>
      <c r="H26" s="9">
        <f t="shared" si="15"/>
        <v>18750.048000000003</v>
      </c>
      <c r="I26" s="9">
        <f>C26</f>
        <v>5000</v>
      </c>
    </row>
    <row r="27" spans="1:9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6">E10+E5+E17</f>
        <v>17300</v>
      </c>
      <c r="F27" s="11">
        <f t="shared" si="16"/>
        <v>34431.25</v>
      </c>
      <c r="G27" s="11">
        <f t="shared" si="16"/>
        <v>42234.200000000004</v>
      </c>
      <c r="H27" s="11">
        <f t="shared" si="16"/>
        <v>50537.495999999999</v>
      </c>
      <c r="I27" s="11">
        <f t="shared" si="7"/>
        <v>166502.946</v>
      </c>
    </row>
    <row r="28" spans="1:9" s="4" customFormat="1" ht="15" thickBot="1" x14ac:dyDescent="0.35">
      <c r="A28" s="4" t="s">
        <v>251</v>
      </c>
      <c r="C28" s="11">
        <f t="shared" ref="C28" si="17">C6+C12+C23+C24</f>
        <v>-5000</v>
      </c>
      <c r="D28" s="11">
        <f>D6+D12+D23+D24+D18</f>
        <v>-18475</v>
      </c>
      <c r="E28" s="11">
        <f t="shared" ref="E28:H28" si="18">E6+E12+E23+E24+E18</f>
        <v>-17951</v>
      </c>
      <c r="F28" s="11">
        <f t="shared" si="18"/>
        <v>-27522.283333333333</v>
      </c>
      <c r="G28" s="11">
        <f t="shared" si="18"/>
        <v>-33267.118666666669</v>
      </c>
      <c r="H28" s="11">
        <f t="shared" si="18"/>
        <v>-39311.157830000011</v>
      </c>
      <c r="I28" s="11">
        <f>SUM(C28:H28)</f>
        <v>-141526.55983000001</v>
      </c>
    </row>
    <row r="29" spans="1:9" s="4" customFormat="1" ht="29.4" thickBot="1" x14ac:dyDescent="0.35">
      <c r="A29" s="258" t="s">
        <v>253</v>
      </c>
      <c r="C29" s="11">
        <f>C28+C27</f>
        <v>-5000</v>
      </c>
      <c r="D29" s="11">
        <f>D28+D27</f>
        <v>3525</v>
      </c>
      <c r="E29" s="11">
        <f t="shared" ref="E29:H29" si="19">E28+E27</f>
        <v>-651</v>
      </c>
      <c r="F29" s="11">
        <f t="shared" si="19"/>
        <v>6908.9666666666672</v>
      </c>
      <c r="G29" s="11">
        <f t="shared" si="19"/>
        <v>8967.0813333333354</v>
      </c>
      <c r="H29" s="11">
        <f t="shared" si="19"/>
        <v>11226.338169999988</v>
      </c>
      <c r="I29" s="42">
        <f>SUM(C29:H29)</f>
        <v>24976.386169999991</v>
      </c>
    </row>
    <row r="30" spans="1:9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0">E29+E26</f>
        <v>2874</v>
      </c>
      <c r="F30" s="9">
        <f t="shared" si="20"/>
        <v>9782.9666666666672</v>
      </c>
      <c r="G30" s="9">
        <f t="shared" si="20"/>
        <v>18750.048000000003</v>
      </c>
      <c r="H30" s="9">
        <f t="shared" si="20"/>
        <v>29976.386169999991</v>
      </c>
      <c r="I30" s="9">
        <f>H30</f>
        <v>29976.386169999991</v>
      </c>
    </row>
    <row r="31" spans="1:9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1">D31+E29</f>
        <v>-2126</v>
      </c>
      <c r="F31" s="9">
        <f t="shared" si="21"/>
        <v>4782.9666666666672</v>
      </c>
      <c r="G31" s="9">
        <f t="shared" si="21"/>
        <v>13750.048000000003</v>
      </c>
      <c r="H31" s="9">
        <f t="shared" si="21"/>
        <v>24976.386169999991</v>
      </c>
      <c r="I31" s="46">
        <f>H31</f>
        <v>24976.386169999991</v>
      </c>
    </row>
    <row r="32" spans="1:9" ht="31.8" thickBot="1" x14ac:dyDescent="0.35">
      <c r="A32" s="265" t="s">
        <v>355</v>
      </c>
      <c r="B32" s="107">
        <v>0.25</v>
      </c>
      <c r="C32" s="108"/>
      <c r="D32" s="109">
        <f>IF(D25&gt;0,D25*$B$32,0)</f>
        <v>825</v>
      </c>
      <c r="E32" s="109">
        <f>IF(E25&gt;0,E25*$B$32,0)</f>
        <v>0</v>
      </c>
      <c r="F32" s="109">
        <f>IF(F25&gt;0,F25*$B$32,0)</f>
        <v>1327.0333333333333</v>
      </c>
      <c r="G32" s="109">
        <f>IF(G25&gt;0,G25*$B$32,0)</f>
        <v>1878.1036666666671</v>
      </c>
      <c r="H32" s="109">
        <f>IF(H25&gt;0,H25*$B$32,0)</f>
        <v>2460.2595424999986</v>
      </c>
      <c r="I32" s="110">
        <f>SUM(C32:H32)</f>
        <v>6490.3965424999988</v>
      </c>
    </row>
    <row r="33" spans="1:11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-1.2775690607734806</v>
      </c>
      <c r="F35" s="125">
        <f t="shared" ref="F35:H35" si="22">(F22-E22)/E22</f>
        <v>-6.6171709129511687</v>
      </c>
      <c r="G35" s="125">
        <f t="shared" si="22"/>
        <v>0.38770900758309534</v>
      </c>
      <c r="H35" s="125">
        <f t="shared" si="22"/>
        <v>0.29781665075274255</v>
      </c>
      <c r="I35" s="127">
        <f t="shared" ref="I35:I36" si="23">AVERAGE(E35:H35)</f>
        <v>-1.8023035788472028</v>
      </c>
    </row>
    <row r="36" spans="1:11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-1.5078787878787878</v>
      </c>
      <c r="F36" s="116">
        <f t="shared" ref="F36:H36" si="24">(F25-E25)/E25</f>
        <v>-4.1671439936356407</v>
      </c>
      <c r="G36" s="116">
        <f t="shared" si="24"/>
        <v>0.41526487654165972</v>
      </c>
      <c r="H36" s="116">
        <f t="shared" si="24"/>
        <v>0.30997004380837234</v>
      </c>
      <c r="I36" s="126">
        <f t="shared" si="23"/>
        <v>-1.2374469652910993</v>
      </c>
    </row>
    <row r="37" spans="1:11" s="64" customFormat="1" ht="78.599999999999994" thickBot="1" x14ac:dyDescent="0.35">
      <c r="A37" s="147" t="s">
        <v>370</v>
      </c>
      <c r="B37" s="53" t="s">
        <v>231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232</v>
      </c>
    </row>
    <row r="38" spans="1:11" s="64" customFormat="1" ht="36.6" thickBot="1" x14ac:dyDescent="0.35">
      <c r="A38" s="18" t="s">
        <v>257</v>
      </c>
      <c r="B38" s="51"/>
      <c r="C38" s="8">
        <f>C29</f>
        <v>-5000</v>
      </c>
      <c r="D38" s="8">
        <f t="shared" ref="D38:H38" si="25">D29</f>
        <v>3525</v>
      </c>
      <c r="E38" s="8">
        <f t="shared" si="25"/>
        <v>-651</v>
      </c>
      <c r="F38" s="8">
        <f t="shared" si="25"/>
        <v>6908.9666666666672</v>
      </c>
      <c r="G38" s="8">
        <f t="shared" si="25"/>
        <v>8967.0813333333354</v>
      </c>
      <c r="H38" s="8">
        <f t="shared" si="25"/>
        <v>11226.338169999988</v>
      </c>
      <c r="I38" s="21">
        <f>SUM(C38:H38)</f>
        <v>24976.386169999991</v>
      </c>
    </row>
    <row r="39" spans="1:11" s="64" customFormat="1" ht="15.6" x14ac:dyDescent="0.3">
      <c r="A39" s="48" t="s">
        <v>267</v>
      </c>
      <c r="B39" s="16">
        <v>0.12</v>
      </c>
      <c r="C39" s="23">
        <f>1</f>
        <v>1</v>
      </c>
      <c r="D39" s="23">
        <f>(1+$B$39)^(D4-1)</f>
        <v>1.1200000000000001</v>
      </c>
      <c r="E39" s="23">
        <f>(1+$B$39)^(E4-1)</f>
        <v>1.2544000000000002</v>
      </c>
      <c r="F39" s="23">
        <f>(1+$B$39)^(F4-1)</f>
        <v>1.4049280000000004</v>
      </c>
      <c r="G39" s="23">
        <f>(1+$B$39)^(G4-1)</f>
        <v>1.5735193600000004</v>
      </c>
      <c r="H39" s="23">
        <f>(1+$B$39)^(H4-1)</f>
        <v>1.7623416832000005</v>
      </c>
      <c r="I39" s="1"/>
    </row>
    <row r="40" spans="1:11" s="64" customFormat="1" ht="31.8" thickBot="1" x14ac:dyDescent="0.35">
      <c r="A40" s="260" t="s">
        <v>288</v>
      </c>
      <c r="B40" s="16"/>
      <c r="C40" s="23">
        <f>1/C39</f>
        <v>1</v>
      </c>
      <c r="D40" s="23">
        <f t="shared" ref="D40:H40" si="26">1/D39</f>
        <v>0.89285714285714279</v>
      </c>
      <c r="E40" s="23">
        <f t="shared" si="26"/>
        <v>0.79719387755102034</v>
      </c>
      <c r="F40" s="23">
        <f t="shared" si="26"/>
        <v>0.71178024781341087</v>
      </c>
      <c r="G40" s="23">
        <f t="shared" si="26"/>
        <v>0.63551807840483121</v>
      </c>
      <c r="H40" s="23">
        <f t="shared" si="26"/>
        <v>0.56742685571859919</v>
      </c>
      <c r="I40" s="1"/>
    </row>
    <row r="41" spans="1:11" s="64" customFormat="1" ht="54.6" thickBot="1" x14ac:dyDescent="0.35">
      <c r="A41" s="18" t="s">
        <v>361</v>
      </c>
      <c r="B41" s="111"/>
      <c r="C41" s="8">
        <f>C38*C40</f>
        <v>-5000</v>
      </c>
      <c r="D41" s="8">
        <f t="shared" ref="D41:H41" si="27">D38*D40</f>
        <v>3147.3214285714284</v>
      </c>
      <c r="E41" s="8">
        <f t="shared" si="27"/>
        <v>-518.97321428571422</v>
      </c>
      <c r="F41" s="8">
        <f t="shared" si="27"/>
        <v>4917.6660061345956</v>
      </c>
      <c r="G41" s="8">
        <f t="shared" si="27"/>
        <v>5698.7422978598333</v>
      </c>
      <c r="H41" s="8">
        <f t="shared" si="27"/>
        <v>6370.1257690367866</v>
      </c>
      <c r="I41" s="83">
        <f>SUM(C41:H41)</f>
        <v>14614.88228731693</v>
      </c>
    </row>
    <row r="42" spans="1:11" ht="78.599999999999994" thickBot="1" x14ac:dyDescent="0.35">
      <c r="A42" s="147" t="s">
        <v>369</v>
      </c>
      <c r="B42" s="53" t="s">
        <v>231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232</v>
      </c>
    </row>
    <row r="43" spans="1:11" ht="33" thickBot="1" x14ac:dyDescent="0.35">
      <c r="A43" s="18" t="s">
        <v>362</v>
      </c>
      <c r="B43" s="14"/>
      <c r="C43" s="8">
        <f>IF(C31&lt;0,0,1)</f>
        <v>0</v>
      </c>
      <c r="D43" s="8">
        <f t="shared" ref="D43:H43" si="28">IF(D31&lt;0,0,1)</f>
        <v>0</v>
      </c>
      <c r="E43" s="8">
        <f t="shared" si="28"/>
        <v>0</v>
      </c>
      <c r="F43" s="8">
        <f t="shared" si="28"/>
        <v>1</v>
      </c>
      <c r="G43" s="8">
        <f t="shared" si="28"/>
        <v>1</v>
      </c>
      <c r="H43" s="8">
        <f t="shared" si="28"/>
        <v>1</v>
      </c>
      <c r="I43" s="82">
        <f>I4-SUM(C43:H43)-SUM(C44:H44)</f>
        <v>2.3077160598063386</v>
      </c>
      <c r="K43"/>
    </row>
    <row r="44" spans="1:11" ht="15" thickBot="1" x14ac:dyDescent="0.35">
      <c r="A44" s="19" t="s">
        <v>363</v>
      </c>
      <c r="C44" s="20">
        <f>IF(AND(B43=0,C43=1),C35/E12,0)</f>
        <v>0</v>
      </c>
      <c r="D44" s="20">
        <f>IF(AND(C43=0,D43=1),D35/F12,0)</f>
        <v>0</v>
      </c>
      <c r="E44" s="20">
        <f>IF(AND(D43=0,E43=1),E35/G12,0)</f>
        <v>0</v>
      </c>
      <c r="F44" s="20">
        <f>IF(AND(E43=0,F43=1),F31/F29,0)</f>
        <v>0.69228394019366135</v>
      </c>
      <c r="G44" s="20">
        <f>IF(AND(F43=0,G43=1),G35/G33,0)</f>
        <v>0</v>
      </c>
      <c r="H44" s="20">
        <f>IF(AND(G43=0,H43=1),H35/J12,0)</f>
        <v>0</v>
      </c>
    </row>
    <row r="45" spans="1:11" ht="55.2" thickBot="1" x14ac:dyDescent="0.35">
      <c r="A45" s="147" t="s">
        <v>368</v>
      </c>
      <c r="B45" s="53" t="s">
        <v>231</v>
      </c>
      <c r="C45" s="58" t="s">
        <v>5</v>
      </c>
      <c r="D45" s="59" t="s">
        <v>0</v>
      </c>
      <c r="E45" s="59" t="s">
        <v>1</v>
      </c>
      <c r="F45" s="59" t="s">
        <v>2</v>
      </c>
      <c r="G45" s="59" t="s">
        <v>3</v>
      </c>
      <c r="H45" s="59" t="s">
        <v>4</v>
      </c>
      <c r="I45" s="60" t="s">
        <v>232</v>
      </c>
    </row>
    <row r="46" spans="1:11" ht="54.6" thickBot="1" x14ac:dyDescent="0.35">
      <c r="A46" s="18" t="s">
        <v>364</v>
      </c>
      <c r="C46" s="75"/>
      <c r="D46" s="75"/>
      <c r="E46" s="75"/>
      <c r="F46" s="75"/>
      <c r="G46" s="75"/>
      <c r="H46" s="75"/>
      <c r="I46" s="63">
        <f>H41</f>
        <v>6370.1257690367866</v>
      </c>
    </row>
    <row r="47" spans="1:11" ht="18" x14ac:dyDescent="0.3">
      <c r="A47" s="96" t="s">
        <v>267</v>
      </c>
      <c r="B47" s="16">
        <v>0.12</v>
      </c>
      <c r="C47" s="75"/>
      <c r="D47" s="75"/>
      <c r="E47" s="75"/>
      <c r="F47" s="75"/>
      <c r="G47" s="75"/>
      <c r="H47" s="75"/>
      <c r="I47" s="26"/>
      <c r="J47"/>
    </row>
    <row r="48" spans="1:11" ht="18.600000000000001" thickBot="1" x14ac:dyDescent="0.35">
      <c r="A48" s="96" t="s">
        <v>365</v>
      </c>
      <c r="B48" s="16">
        <f>B33</f>
        <v>0.05</v>
      </c>
      <c r="C48" s="75"/>
      <c r="D48" s="75"/>
      <c r="E48" s="75"/>
      <c r="F48" s="75"/>
      <c r="G48" s="75"/>
      <c r="H48" s="75"/>
      <c r="I48" s="26"/>
    </row>
    <row r="49" spans="1:10" ht="36.6" thickBot="1" x14ac:dyDescent="0.35">
      <c r="A49" s="18" t="s">
        <v>366</v>
      </c>
      <c r="C49" s="75"/>
      <c r="D49" s="75"/>
      <c r="E49" s="75"/>
      <c r="F49" s="75"/>
      <c r="G49" s="75"/>
      <c r="H49" s="75"/>
      <c r="I49" s="83">
        <f>(I46*(1+$B$48))/($B$47-$B$48)</f>
        <v>95551.886535551806</v>
      </c>
    </row>
    <row r="50" spans="1:10" ht="104.4" thickBot="1" x14ac:dyDescent="0.35">
      <c r="A50" s="147" t="s">
        <v>367</v>
      </c>
      <c r="B50" s="53" t="s">
        <v>231</v>
      </c>
      <c r="C50" s="58" t="s">
        <v>5</v>
      </c>
      <c r="D50" s="59" t="s">
        <v>0</v>
      </c>
      <c r="E50" s="59" t="s">
        <v>1</v>
      </c>
      <c r="F50" s="59" t="s">
        <v>2</v>
      </c>
      <c r="G50" s="59" t="s">
        <v>3</v>
      </c>
      <c r="H50" s="59" t="s">
        <v>4</v>
      </c>
      <c r="I50" s="60" t="s">
        <v>232</v>
      </c>
    </row>
    <row r="51" spans="1:10" ht="18" x14ac:dyDescent="0.3">
      <c r="A51" s="18" t="s">
        <v>388</v>
      </c>
      <c r="C51" s="75">
        <f>C5</f>
        <v>5000</v>
      </c>
      <c r="D51" s="75">
        <f>C51+D5</f>
        <v>7000</v>
      </c>
      <c r="E51" s="75">
        <f>D51+E5</f>
        <v>12000</v>
      </c>
      <c r="F51" s="75">
        <f>E51+F5</f>
        <v>12000</v>
      </c>
      <c r="G51" s="75">
        <f>F51+G5</f>
        <v>12000</v>
      </c>
      <c r="H51" s="75">
        <f>G51+H5</f>
        <v>12000</v>
      </c>
    </row>
    <row r="52" spans="1:10" ht="18" x14ac:dyDescent="0.3">
      <c r="A52" s="18" t="s">
        <v>389</v>
      </c>
      <c r="C52" s="75">
        <f t="shared" ref="C52:H52" si="29">C17*360/365</f>
        <v>0</v>
      </c>
      <c r="D52" s="75">
        <f t="shared" si="29"/>
        <v>4931.5068493150684</v>
      </c>
      <c r="E52" s="75">
        <f t="shared" si="29"/>
        <v>5917.8082191780823</v>
      </c>
      <c r="F52" s="75">
        <f t="shared" si="29"/>
        <v>6904.1095890410961</v>
      </c>
      <c r="G52" s="75">
        <f t="shared" si="29"/>
        <v>7890.41095890411</v>
      </c>
      <c r="H52" s="75">
        <f t="shared" si="29"/>
        <v>8876.7123287671238</v>
      </c>
      <c r="I52" s="26"/>
    </row>
    <row r="53" spans="1:10" ht="39" x14ac:dyDescent="0.3">
      <c r="A53" s="18" t="s">
        <v>390</v>
      </c>
      <c r="C53" s="75">
        <f>C51+C52</f>
        <v>5000</v>
      </c>
      <c r="D53" s="75">
        <f t="shared" ref="D53:H53" si="30">D51+D52</f>
        <v>11931.506849315068</v>
      </c>
      <c r="E53" s="75">
        <f t="shared" si="30"/>
        <v>17917.808219178081</v>
      </c>
      <c r="F53" s="75">
        <f t="shared" si="30"/>
        <v>18904.109589041094</v>
      </c>
      <c r="G53" s="75">
        <f t="shared" si="30"/>
        <v>19890.410958904111</v>
      </c>
      <c r="H53" s="75">
        <f t="shared" si="30"/>
        <v>20876.712328767124</v>
      </c>
      <c r="I53" s="26"/>
      <c r="J53"/>
    </row>
    <row r="54" spans="1:10" ht="31.2" x14ac:dyDescent="0.3">
      <c r="A54" s="96" t="s">
        <v>391</v>
      </c>
      <c r="B54" s="16">
        <f>B32</f>
        <v>0.25</v>
      </c>
      <c r="C54" s="238">
        <f>B54</f>
        <v>0.25</v>
      </c>
      <c r="D54" s="238">
        <f t="shared" ref="D54:H54" si="31">C54</f>
        <v>0.25</v>
      </c>
      <c r="E54" s="238">
        <f t="shared" si="31"/>
        <v>0.25</v>
      </c>
      <c r="F54" s="238">
        <f t="shared" si="31"/>
        <v>0.25</v>
      </c>
      <c r="G54" s="238">
        <f t="shared" si="31"/>
        <v>0.25</v>
      </c>
      <c r="H54" s="238">
        <f t="shared" si="31"/>
        <v>0.25</v>
      </c>
      <c r="I54" s="26"/>
    </row>
    <row r="55" spans="1:10" ht="18" x14ac:dyDescent="0.3">
      <c r="A55" s="96" t="s">
        <v>354</v>
      </c>
      <c r="B55" s="130">
        <f>AVERAGEIF(C55:H55,"&gt;0")</f>
        <v>6.0999999999999999E-2</v>
      </c>
      <c r="C55" s="238">
        <f t="shared" ref="C55:H55" si="32">C19</f>
        <v>0</v>
      </c>
      <c r="D55" s="238">
        <f t="shared" si="32"/>
        <v>0.08</v>
      </c>
      <c r="E55" s="238">
        <f t="shared" si="32"/>
        <v>7.0000000000000007E-2</v>
      </c>
      <c r="F55" s="238">
        <f t="shared" si="32"/>
        <v>0.06</v>
      </c>
      <c r="G55" s="238">
        <f t="shared" si="32"/>
        <v>0.05</v>
      </c>
      <c r="H55" s="238">
        <f t="shared" si="32"/>
        <v>4.4999999999999998E-2</v>
      </c>
      <c r="I55" s="26"/>
    </row>
    <row r="56" spans="1:10" ht="18.600000000000001" thickBot="1" x14ac:dyDescent="0.35">
      <c r="A56" s="96" t="s">
        <v>392</v>
      </c>
      <c r="B56" s="16">
        <f>B24</f>
        <v>0.2</v>
      </c>
      <c r="C56" s="75"/>
      <c r="D56" s="75"/>
      <c r="E56" s="75"/>
      <c r="F56" s="75"/>
      <c r="G56" s="75"/>
      <c r="H56" s="75"/>
      <c r="I56" s="26"/>
    </row>
    <row r="57" spans="1:10" ht="36.6" thickBot="1" x14ac:dyDescent="0.35">
      <c r="A57" s="18" t="s">
        <v>393</v>
      </c>
      <c r="C57" s="128">
        <f>(C51/C53)*C54+(C52/C53)*C55*(1-$B$56)</f>
        <v>0.25</v>
      </c>
      <c r="D57" s="128">
        <f t="shared" ref="D57:H57" si="33">(D51/D53)*D54+(D52/D53)*D55*(1-$B$56)</f>
        <v>0.17312284730195179</v>
      </c>
      <c r="E57" s="128">
        <f t="shared" si="33"/>
        <v>0.18592660550458714</v>
      </c>
      <c r="F57" s="128">
        <f t="shared" si="33"/>
        <v>0.17622608695652175</v>
      </c>
      <c r="G57" s="128">
        <f t="shared" si="33"/>
        <v>0.16669421487603306</v>
      </c>
      <c r="H57" s="128">
        <f t="shared" si="33"/>
        <v>0.15900787401574804</v>
      </c>
      <c r="I57" s="239">
        <f>AVERAGE(C57:H57)</f>
        <v>0.18516293810914031</v>
      </c>
      <c r="J57" s="1" t="s">
        <v>394</v>
      </c>
    </row>
    <row r="58" spans="1:10" ht="85.8" thickBot="1" x14ac:dyDescent="0.35">
      <c r="A58" s="134" t="s">
        <v>401</v>
      </c>
      <c r="B58" s="53" t="s">
        <v>231</v>
      </c>
      <c r="C58" s="131" t="s">
        <v>5</v>
      </c>
      <c r="D58" s="132" t="s">
        <v>0</v>
      </c>
      <c r="E58" s="132" t="s">
        <v>1</v>
      </c>
      <c r="F58" s="132" t="s">
        <v>2</v>
      </c>
      <c r="G58" s="132" t="s">
        <v>3</v>
      </c>
      <c r="H58" s="132" t="s">
        <v>4</v>
      </c>
      <c r="I58" s="133" t="s">
        <v>232</v>
      </c>
    </row>
    <row r="59" spans="1:10" ht="36.6" thickBot="1" x14ac:dyDescent="0.35">
      <c r="A59" s="18" t="s">
        <v>393</v>
      </c>
      <c r="B59" s="130">
        <f>I57</f>
        <v>0.18516293810914031</v>
      </c>
      <c r="C59" s="128"/>
      <c r="D59" s="128"/>
      <c r="E59" s="128"/>
      <c r="F59" s="128"/>
      <c r="G59" s="128"/>
      <c r="H59" s="128"/>
      <c r="I59" s="129"/>
    </row>
    <row r="60" spans="1:10" ht="78.599999999999994" thickBot="1" x14ac:dyDescent="0.35">
      <c r="A60" s="134" t="s">
        <v>395</v>
      </c>
      <c r="B60" s="53" t="s">
        <v>231</v>
      </c>
      <c r="C60" s="131" t="s">
        <v>5</v>
      </c>
      <c r="D60" s="132" t="s">
        <v>0</v>
      </c>
      <c r="E60" s="132" t="s">
        <v>1</v>
      </c>
      <c r="F60" s="132" t="s">
        <v>2</v>
      </c>
      <c r="G60" s="132" t="s">
        <v>3</v>
      </c>
      <c r="H60" s="132" t="s">
        <v>4</v>
      </c>
      <c r="I60" s="133" t="s">
        <v>232</v>
      </c>
    </row>
    <row r="61" spans="1:10" ht="36.6" thickBot="1" x14ac:dyDescent="0.35">
      <c r="A61" s="18" t="s">
        <v>257</v>
      </c>
      <c r="B61" s="51"/>
      <c r="C61" s="8">
        <f t="shared" ref="C61:H61" si="34">C29</f>
        <v>-5000</v>
      </c>
      <c r="D61" s="8">
        <f t="shared" si="34"/>
        <v>3525</v>
      </c>
      <c r="E61" s="8">
        <f t="shared" si="34"/>
        <v>-651</v>
      </c>
      <c r="F61" s="8">
        <f t="shared" si="34"/>
        <v>6908.9666666666672</v>
      </c>
      <c r="G61" s="8">
        <f t="shared" si="34"/>
        <v>8967.0813333333354</v>
      </c>
      <c r="H61" s="8">
        <f t="shared" si="34"/>
        <v>11226.338169999988</v>
      </c>
      <c r="I61" s="95">
        <f>SUM(C61:H61)</f>
        <v>24976.386169999991</v>
      </c>
    </row>
    <row r="62" spans="1:10" ht="15.6" x14ac:dyDescent="0.3">
      <c r="A62" s="48" t="s">
        <v>267</v>
      </c>
      <c r="B62" s="130">
        <f>B59</f>
        <v>0.18516293810914031</v>
      </c>
      <c r="C62" s="23">
        <v>1</v>
      </c>
      <c r="D62" s="23">
        <f>(1+$B$62)^(D4-1)</f>
        <v>1.1851629381091402</v>
      </c>
      <c r="E62" s="23">
        <f>(1+$B$62)^(E4-1)</f>
        <v>1.4046111898674898</v>
      </c>
      <c r="F62" s="23">
        <f>(1+$B$62)^(F4-1)</f>
        <v>1.6646931246843295</v>
      </c>
      <c r="G62" s="23">
        <f>(1+$B$62)^(G4-1)</f>
        <v>1.9729325947009655</v>
      </c>
      <c r="H62" s="23">
        <f>(1+$B$62)^(H4-1)</f>
        <v>2.3382465906270857</v>
      </c>
    </row>
    <row r="63" spans="1:10" ht="16.2" thickBot="1" x14ac:dyDescent="0.35">
      <c r="A63" s="48" t="s">
        <v>402</v>
      </c>
      <c r="B63" s="16"/>
      <c r="C63" s="23">
        <f>1/C62</f>
        <v>1</v>
      </c>
      <c r="D63" s="23">
        <f t="shared" ref="D63:H63" si="35">1/D62</f>
        <v>0.84376583830358631</v>
      </c>
      <c r="E63" s="23">
        <f t="shared" si="35"/>
        <v>0.71194078988815357</v>
      </c>
      <c r="F63" s="23">
        <f t="shared" si="35"/>
        <v>0.60071131740249528</v>
      </c>
      <c r="G63" s="23">
        <f t="shared" si="35"/>
        <v>0.50685968830656813</v>
      </c>
      <c r="H63" s="23">
        <f t="shared" si="35"/>
        <v>0.42767088980628587</v>
      </c>
    </row>
    <row r="64" spans="1:10" ht="36.6" thickBot="1" x14ac:dyDescent="0.35">
      <c r="A64" s="18" t="s">
        <v>360</v>
      </c>
      <c r="B64" s="111"/>
      <c r="C64" s="8">
        <f>C61*C63</f>
        <v>-5000</v>
      </c>
      <c r="D64" s="8">
        <f t="shared" ref="D64" si="36">D61*D63</f>
        <v>2974.2745800201419</v>
      </c>
      <c r="E64" s="8">
        <f t="shared" ref="E64" si="37">E61*E63</f>
        <v>-463.47345421718796</v>
      </c>
      <c r="F64" s="8">
        <f t="shared" ref="F64" si="38">F61*F63</f>
        <v>4150.2944682232601</v>
      </c>
      <c r="G64" s="8">
        <f t="shared" ref="G64" si="39">G61*G63</f>
        <v>4545.05204963298</v>
      </c>
      <c r="H64" s="8">
        <f t="shared" ref="H64" si="40">H61*H63</f>
        <v>4801.178034430166</v>
      </c>
      <c r="I64" s="83">
        <f>SUM(C64:H64)</f>
        <v>11007.325678089361</v>
      </c>
    </row>
    <row r="65" spans="1:9" ht="55.2" thickBot="1" x14ac:dyDescent="0.35">
      <c r="A65" s="134" t="s">
        <v>396</v>
      </c>
      <c r="B65" s="53" t="s">
        <v>231</v>
      </c>
      <c r="C65" s="131" t="s">
        <v>5</v>
      </c>
      <c r="D65" s="132" t="s">
        <v>0</v>
      </c>
      <c r="E65" s="132" t="s">
        <v>1</v>
      </c>
      <c r="F65" s="132" t="s">
        <v>2</v>
      </c>
      <c r="G65" s="132" t="s">
        <v>3</v>
      </c>
      <c r="H65" s="132" t="s">
        <v>4</v>
      </c>
      <c r="I65" s="133" t="s">
        <v>232</v>
      </c>
    </row>
    <row r="66" spans="1:9" ht="52.2" thickBot="1" x14ac:dyDescent="0.35">
      <c r="A66" s="18" t="s">
        <v>403</v>
      </c>
      <c r="I66" s="84">
        <f>IRR(C29:H29,0.0001)</f>
        <v>0.71462228398451022</v>
      </c>
    </row>
    <row r="67" spans="1:9" ht="104.4" thickBot="1" x14ac:dyDescent="0.35">
      <c r="A67" s="134" t="s">
        <v>397</v>
      </c>
      <c r="B67" s="53" t="s">
        <v>231</v>
      </c>
      <c r="C67" s="131" t="s">
        <v>5</v>
      </c>
      <c r="D67" s="132" t="s">
        <v>0</v>
      </c>
      <c r="E67" s="132" t="s">
        <v>1</v>
      </c>
      <c r="F67" s="132" t="s">
        <v>2</v>
      </c>
      <c r="G67" s="132" t="s">
        <v>3</v>
      </c>
      <c r="H67" s="132" t="s">
        <v>4</v>
      </c>
      <c r="I67" s="133" t="s">
        <v>232</v>
      </c>
    </row>
    <row r="68" spans="1:9" ht="33" thickBot="1" x14ac:dyDescent="0.35">
      <c r="A68" s="18" t="s">
        <v>404</v>
      </c>
      <c r="C68" s="8">
        <f t="shared" ref="C68:H68" si="41">IF(C69&lt;0,0,1)</f>
        <v>0</v>
      </c>
      <c r="D68" s="8">
        <f t="shared" si="41"/>
        <v>0</v>
      </c>
      <c r="E68" s="8">
        <f t="shared" si="41"/>
        <v>0</v>
      </c>
      <c r="F68" s="8">
        <f t="shared" si="41"/>
        <v>1</v>
      </c>
      <c r="G68" s="8">
        <f t="shared" si="41"/>
        <v>1</v>
      </c>
      <c r="H68" s="8">
        <f t="shared" si="41"/>
        <v>1</v>
      </c>
      <c r="I68" s="135">
        <f>I4-SUM(C68:H68)-SUM(C70:H70)</f>
        <v>2.5997644006360523</v>
      </c>
    </row>
    <row r="69" spans="1:9" ht="36" x14ac:dyDescent="0.3">
      <c r="A69" s="261" t="s">
        <v>296</v>
      </c>
      <c r="C69" s="24">
        <f>C64</f>
        <v>-5000</v>
      </c>
      <c r="D69" s="24">
        <f>C69+D64</f>
        <v>-2025.7254199798581</v>
      </c>
      <c r="E69" s="24">
        <f t="shared" ref="E69:H69" si="42">D69+E64</f>
        <v>-2489.1988741970463</v>
      </c>
      <c r="F69" s="24">
        <f t="shared" si="42"/>
        <v>1661.0955940262138</v>
      </c>
      <c r="G69" s="24">
        <f t="shared" si="42"/>
        <v>6206.1476436591938</v>
      </c>
      <c r="H69" s="24">
        <f t="shared" si="42"/>
        <v>11007.325678089361</v>
      </c>
      <c r="I69" s="129"/>
    </row>
    <row r="70" spans="1:9" ht="29.4" thickBot="1" x14ac:dyDescent="0.35">
      <c r="A70" s="262" t="s">
        <v>297</v>
      </c>
      <c r="C70" s="20">
        <f t="shared" ref="C70:H70" si="43">IF(AND(B68=0,C68=1),C69/C64,0)</f>
        <v>0</v>
      </c>
      <c r="D70" s="20">
        <f t="shared" si="43"/>
        <v>0</v>
      </c>
      <c r="E70" s="20">
        <f t="shared" si="43"/>
        <v>0</v>
      </c>
      <c r="F70" s="20">
        <f t="shared" si="43"/>
        <v>0.40023559936394787</v>
      </c>
      <c r="G70" s="20">
        <f t="shared" si="43"/>
        <v>0</v>
      </c>
      <c r="H70" s="20">
        <f t="shared" si="43"/>
        <v>0</v>
      </c>
      <c r="I70" s="129"/>
    </row>
    <row r="71" spans="1:9" ht="104.4" thickBot="1" x14ac:dyDescent="0.35">
      <c r="A71" s="134" t="s">
        <v>398</v>
      </c>
      <c r="B71" s="53" t="s">
        <v>231</v>
      </c>
      <c r="C71" s="131" t="s">
        <v>5</v>
      </c>
      <c r="D71" s="132" t="s">
        <v>0</v>
      </c>
      <c r="E71" s="132" t="s">
        <v>1</v>
      </c>
      <c r="F71" s="132" t="s">
        <v>2</v>
      </c>
      <c r="G71" s="132" t="s">
        <v>3</v>
      </c>
      <c r="H71" s="132" t="s">
        <v>4</v>
      </c>
      <c r="I71" s="133" t="s">
        <v>232</v>
      </c>
    </row>
    <row r="72" spans="1:9" ht="36.6" thickBot="1" x14ac:dyDescent="0.35">
      <c r="A72" s="18" t="s">
        <v>257</v>
      </c>
      <c r="B72" s="51"/>
      <c r="C72" s="8">
        <f t="shared" ref="C72:H72" si="44">C29</f>
        <v>-5000</v>
      </c>
      <c r="D72" s="8">
        <f t="shared" si="44"/>
        <v>3525</v>
      </c>
      <c r="E72" s="8">
        <f t="shared" si="44"/>
        <v>-651</v>
      </c>
      <c r="F72" s="8">
        <f t="shared" si="44"/>
        <v>6908.9666666666672</v>
      </c>
      <c r="G72" s="8">
        <f t="shared" si="44"/>
        <v>8967.0813333333354</v>
      </c>
      <c r="H72" s="8">
        <f t="shared" si="44"/>
        <v>11226.338169999988</v>
      </c>
      <c r="I72" s="95">
        <f>SUM(C72:H72)</f>
        <v>24976.386169999991</v>
      </c>
    </row>
    <row r="73" spans="1:9" ht="18" x14ac:dyDescent="0.3">
      <c r="A73" s="48" t="s">
        <v>405</v>
      </c>
      <c r="B73" s="130">
        <v>0.1</v>
      </c>
      <c r="C73" s="20">
        <f t="shared" ref="C73:H73" si="45">(1+$B$73)^($H$4-C4)</f>
        <v>1.6105100000000006</v>
      </c>
      <c r="D73" s="20">
        <f t="shared" si="45"/>
        <v>1.4641000000000004</v>
      </c>
      <c r="E73" s="20">
        <f t="shared" si="45"/>
        <v>1.3310000000000004</v>
      </c>
      <c r="F73" s="20">
        <f t="shared" si="45"/>
        <v>1.2100000000000002</v>
      </c>
      <c r="G73" s="20">
        <f t="shared" si="45"/>
        <v>1.1000000000000001</v>
      </c>
      <c r="H73" s="20">
        <f t="shared" si="45"/>
        <v>1</v>
      </c>
      <c r="I73" s="129"/>
    </row>
    <row r="74" spans="1:9" ht="18.600000000000001" thickBot="1" x14ac:dyDescent="0.35">
      <c r="A74" s="267" t="s">
        <v>402</v>
      </c>
      <c r="B74" s="130">
        <f>B62</f>
        <v>0.18516293810914031</v>
      </c>
      <c r="C74" s="30">
        <f>C63</f>
        <v>1</v>
      </c>
      <c r="D74" s="30">
        <f t="shared" ref="D74:H74" si="46">D63</f>
        <v>0.84376583830358631</v>
      </c>
      <c r="E74" s="30">
        <f t="shared" si="46"/>
        <v>0.71194078988815357</v>
      </c>
      <c r="F74" s="30">
        <f t="shared" si="46"/>
        <v>0.60071131740249528</v>
      </c>
      <c r="G74" s="30">
        <f t="shared" si="46"/>
        <v>0.50685968830656813</v>
      </c>
      <c r="H74" s="30">
        <f t="shared" si="46"/>
        <v>0.42767088980628587</v>
      </c>
      <c r="I74" s="129"/>
    </row>
    <row r="75" spans="1:9" ht="54.6" thickBot="1" x14ac:dyDescent="0.35">
      <c r="A75" s="263" t="s">
        <v>312</v>
      </c>
      <c r="B75" s="16"/>
      <c r="C75" s="24">
        <f>IF(C72&gt;0,C72*C73,0)</f>
        <v>0</v>
      </c>
      <c r="D75" s="24">
        <f>IF(D72&gt;0,D72*D73,0)</f>
        <v>5160.9525000000012</v>
      </c>
      <c r="E75" s="24">
        <f t="shared" ref="E75:H75" si="47">IF(E72&gt;0,E72*E73,0)</f>
        <v>0</v>
      </c>
      <c r="F75" s="24">
        <f t="shared" si="47"/>
        <v>8359.8496666666688</v>
      </c>
      <c r="G75" s="24">
        <f t="shared" si="47"/>
        <v>9863.7894666666689</v>
      </c>
      <c r="H75" s="24">
        <f t="shared" si="47"/>
        <v>11226.338169999988</v>
      </c>
      <c r="I75" s="21">
        <f>SUM(C75:H75)</f>
        <v>34610.929803333325</v>
      </c>
    </row>
    <row r="76" spans="1:9" ht="63.6" thickBot="1" x14ac:dyDescent="0.35">
      <c r="A76" s="52" t="s">
        <v>313</v>
      </c>
      <c r="C76" s="97">
        <f>IF(C72&lt;0,-C72*C74,0)</f>
        <v>5000</v>
      </c>
      <c r="D76" s="97">
        <f>IF(D72&lt;0,-D72*D74,0)</f>
        <v>0</v>
      </c>
      <c r="E76" s="97">
        <f>IF(E72&lt;0,-E72*E74,0)</f>
        <v>463.47345421718796</v>
      </c>
      <c r="F76" s="97">
        <f t="shared" ref="F76:H76" si="48">IF(F72&lt;0,-F72*F74,0)</f>
        <v>0</v>
      </c>
      <c r="G76" s="97">
        <f t="shared" si="48"/>
        <v>0</v>
      </c>
      <c r="H76" s="97">
        <f t="shared" si="48"/>
        <v>0</v>
      </c>
      <c r="I76" s="21">
        <f>SUM(C76:H76)</f>
        <v>5463.4734542171882</v>
      </c>
    </row>
    <row r="77" spans="1:9" s="64" customFormat="1" ht="31.8" thickBot="1" x14ac:dyDescent="0.35">
      <c r="A77" s="96" t="s">
        <v>406</v>
      </c>
      <c r="B77" s="111"/>
      <c r="C77" s="90"/>
      <c r="D77" s="112"/>
      <c r="E77" s="112"/>
      <c r="F77" s="112"/>
      <c r="G77" s="112"/>
      <c r="H77" s="112"/>
      <c r="I77" s="136">
        <f>I75/((1+B74)^G4)</f>
        <v>14802.087146014463</v>
      </c>
    </row>
    <row r="78" spans="1:9" s="64" customFormat="1" ht="54.6" thickBot="1" x14ac:dyDescent="0.35">
      <c r="A78" s="18" t="s">
        <v>321</v>
      </c>
      <c r="B78" s="1"/>
      <c r="C78" s="1"/>
      <c r="D78" s="1"/>
      <c r="E78" s="1"/>
      <c r="F78" s="1"/>
      <c r="G78" s="1"/>
      <c r="H78" s="1"/>
      <c r="I78" s="83">
        <f>I77-I76</f>
        <v>9338.6136917972744</v>
      </c>
    </row>
    <row r="79" spans="1:9" ht="104.4" thickBot="1" x14ac:dyDescent="0.35">
      <c r="A79" s="134" t="s">
        <v>399</v>
      </c>
      <c r="B79" s="53" t="s">
        <v>231</v>
      </c>
      <c r="C79" s="131" t="s">
        <v>5</v>
      </c>
      <c r="D79" s="132" t="s">
        <v>0</v>
      </c>
      <c r="E79" s="132" t="s">
        <v>1</v>
      </c>
      <c r="F79" s="132" t="s">
        <v>2</v>
      </c>
      <c r="G79" s="132" t="s">
        <v>3</v>
      </c>
      <c r="H79" s="132" t="s">
        <v>4</v>
      </c>
      <c r="I79" s="133" t="s">
        <v>232</v>
      </c>
    </row>
    <row r="80" spans="1:9" s="64" customFormat="1" ht="54.6" thickBot="1" x14ac:dyDescent="0.35">
      <c r="A80" s="18" t="s">
        <v>315</v>
      </c>
      <c r="B80" s="1"/>
      <c r="C80" s="3"/>
      <c r="D80" s="3"/>
      <c r="E80" s="3"/>
      <c r="F80" s="3"/>
      <c r="G80" s="3"/>
      <c r="H80" s="3"/>
      <c r="I80" s="88">
        <f>MIRR(C29:H29,B74,B73)</f>
        <v>0.44660141593824876</v>
      </c>
    </row>
    <row r="81" spans="1:9" s="64" customFormat="1" ht="16.2" thickBot="1" x14ac:dyDescent="0.35">
      <c r="A81" s="29"/>
      <c r="B81" s="111"/>
      <c r="C81" s="90"/>
      <c r="D81" s="112"/>
      <c r="E81" s="112"/>
      <c r="F81" s="112"/>
      <c r="G81" s="112"/>
      <c r="H81" s="112"/>
      <c r="I81" s="113"/>
    </row>
    <row r="82" spans="1:9" ht="85.8" thickBot="1" x14ac:dyDescent="0.35">
      <c r="A82" s="134" t="s">
        <v>400</v>
      </c>
      <c r="B82" s="53" t="s">
        <v>231</v>
      </c>
      <c r="C82" s="131" t="s">
        <v>5</v>
      </c>
      <c r="D82" s="132" t="s">
        <v>0</v>
      </c>
      <c r="E82" s="132" t="s">
        <v>1</v>
      </c>
      <c r="F82" s="132" t="s">
        <v>2</v>
      </c>
      <c r="G82" s="132" t="s">
        <v>3</v>
      </c>
      <c r="H82" s="132" t="s">
        <v>4</v>
      </c>
      <c r="I82" s="133" t="s">
        <v>232</v>
      </c>
    </row>
    <row r="83" spans="1:9" ht="36.6" thickBot="1" x14ac:dyDescent="0.35">
      <c r="A83" s="18" t="s">
        <v>393</v>
      </c>
      <c r="B83" s="130">
        <f>B59</f>
        <v>0.18516293810914031</v>
      </c>
      <c r="C83" s="128">
        <f t="shared" ref="C83:H83" si="49">C57</f>
        <v>0.25</v>
      </c>
      <c r="D83" s="128">
        <f t="shared" si="49"/>
        <v>0.17312284730195179</v>
      </c>
      <c r="E83" s="128">
        <f t="shared" si="49"/>
        <v>0.18592660550458714</v>
      </c>
      <c r="F83" s="128">
        <f t="shared" si="49"/>
        <v>0.17622608695652175</v>
      </c>
      <c r="G83" s="128">
        <f t="shared" si="49"/>
        <v>0.16669421487603306</v>
      </c>
      <c r="H83" s="128">
        <f t="shared" si="49"/>
        <v>0.15900787401574804</v>
      </c>
      <c r="I83" s="129"/>
    </row>
    <row r="84" spans="1:9" ht="78.599999999999994" thickBot="1" x14ac:dyDescent="0.35">
      <c r="A84" s="134" t="s">
        <v>395</v>
      </c>
      <c r="B84" s="53" t="s">
        <v>231</v>
      </c>
      <c r="C84" s="131" t="s">
        <v>5</v>
      </c>
      <c r="D84" s="132" t="s">
        <v>0</v>
      </c>
      <c r="E84" s="132" t="s">
        <v>1</v>
      </c>
      <c r="F84" s="132" t="s">
        <v>2</v>
      </c>
      <c r="G84" s="132" t="s">
        <v>3</v>
      </c>
      <c r="H84" s="132" t="s">
        <v>4</v>
      </c>
      <c r="I84" s="133" t="s">
        <v>232</v>
      </c>
    </row>
    <row r="85" spans="1:9" ht="36.6" thickBot="1" x14ac:dyDescent="0.35">
      <c r="A85" s="18" t="s">
        <v>257</v>
      </c>
      <c r="B85" s="51"/>
      <c r="C85" s="8">
        <f>C61</f>
        <v>-5000</v>
      </c>
      <c r="D85" s="8">
        <f t="shared" ref="D85:H85" si="50">D61</f>
        <v>3525</v>
      </c>
      <c r="E85" s="8">
        <f t="shared" si="50"/>
        <v>-651</v>
      </c>
      <c r="F85" s="8">
        <f t="shared" si="50"/>
        <v>6908.9666666666672</v>
      </c>
      <c r="G85" s="8">
        <f t="shared" si="50"/>
        <v>8967.0813333333354</v>
      </c>
      <c r="H85" s="8">
        <f t="shared" si="50"/>
        <v>11226.338169999988</v>
      </c>
      <c r="I85" s="95">
        <f>SUM(C85:H85)</f>
        <v>24976.386169999991</v>
      </c>
    </row>
    <row r="86" spans="1:9" ht="15.6" x14ac:dyDescent="0.3">
      <c r="A86" s="48" t="s">
        <v>267</v>
      </c>
      <c r="B86" s="130"/>
      <c r="C86" s="98">
        <v>0</v>
      </c>
      <c r="D86" s="98">
        <f t="shared" ref="D86:H86" si="51">D83</f>
        <v>0.17312284730195179</v>
      </c>
      <c r="E86" s="98">
        <f t="shared" si="51"/>
        <v>0.18592660550458714</v>
      </c>
      <c r="F86" s="98">
        <f t="shared" si="51"/>
        <v>0.17622608695652175</v>
      </c>
      <c r="G86" s="98">
        <f t="shared" si="51"/>
        <v>0.16669421487603306</v>
      </c>
      <c r="H86" s="98">
        <f t="shared" si="51"/>
        <v>0.15900787401574804</v>
      </c>
    </row>
    <row r="87" spans="1:9" ht="16.2" thickBot="1" x14ac:dyDescent="0.35">
      <c r="A87" s="48" t="s">
        <v>402</v>
      </c>
      <c r="B87" s="16"/>
      <c r="C87" s="23">
        <f>1/(1+C86)</f>
        <v>1</v>
      </c>
      <c r="D87" s="23">
        <f>C87*(1/(1+D86))</f>
        <v>0.85242564519128206</v>
      </c>
      <c r="E87" s="23">
        <f t="shared" ref="E87:H87" si="52">D87*(1/(1+E86))</f>
        <v>0.71878448567952702</v>
      </c>
      <c r="F87" s="23">
        <f t="shared" si="52"/>
        <v>0.61109381406373819</v>
      </c>
      <c r="G87" s="23">
        <f t="shared" si="52"/>
        <v>0.52378232982724604</v>
      </c>
      <c r="H87" s="23">
        <f t="shared" si="52"/>
        <v>0.45192301240580618</v>
      </c>
    </row>
    <row r="88" spans="1:9" ht="36.6" thickBot="1" x14ac:dyDescent="0.35">
      <c r="A88" s="18" t="s">
        <v>360</v>
      </c>
      <c r="B88" s="111"/>
      <c r="C88" s="8">
        <f>C85*C87</f>
        <v>-5000</v>
      </c>
      <c r="D88" s="8">
        <f t="shared" ref="D88" si="53">D85*D87</f>
        <v>3004.8003992992694</v>
      </c>
      <c r="E88" s="8">
        <f t="shared" ref="E88" si="54">E85*E87</f>
        <v>-467.92870017737209</v>
      </c>
      <c r="F88" s="8">
        <f t="shared" ref="F88" si="55">F85*F87</f>
        <v>4222.0267915725653</v>
      </c>
      <c r="G88" s="8">
        <f t="shared" ref="G88" si="56">G85*G87</f>
        <v>4696.7987525237422</v>
      </c>
      <c r="H88" s="8">
        <f t="shared" ref="H88" si="57">H85*H87</f>
        <v>5073.44056407268</v>
      </c>
      <c r="I88" s="83">
        <f>SUM(C88:H88)</f>
        <v>11529.137807290885</v>
      </c>
    </row>
    <row r="89" spans="1:9" ht="104.4" thickBot="1" x14ac:dyDescent="0.35">
      <c r="A89" s="134" t="s">
        <v>397</v>
      </c>
      <c r="B89" s="53" t="s">
        <v>231</v>
      </c>
      <c r="C89" s="131" t="s">
        <v>5</v>
      </c>
      <c r="D89" s="132" t="s">
        <v>0</v>
      </c>
      <c r="E89" s="132" t="s">
        <v>1</v>
      </c>
      <c r="F89" s="132" t="s">
        <v>2</v>
      </c>
      <c r="G89" s="132" t="s">
        <v>3</v>
      </c>
      <c r="H89" s="132" t="s">
        <v>4</v>
      </c>
      <c r="I89" s="133" t="s">
        <v>232</v>
      </c>
    </row>
    <row r="90" spans="1:9" ht="33" thickBot="1" x14ac:dyDescent="0.35">
      <c r="A90" s="18" t="s">
        <v>404</v>
      </c>
      <c r="C90" s="8">
        <f>IF(C91&lt;0,0,1)</f>
        <v>0</v>
      </c>
      <c r="D90" s="8">
        <f t="shared" ref="D90:H90" si="58">IF(D91&lt;0,0,1)</f>
        <v>0</v>
      </c>
      <c r="E90" s="8">
        <f t="shared" si="58"/>
        <v>0</v>
      </c>
      <c r="F90" s="8">
        <f t="shared" si="58"/>
        <v>1</v>
      </c>
      <c r="G90" s="8">
        <f t="shared" si="58"/>
        <v>1</v>
      </c>
      <c r="H90" s="8">
        <f t="shared" si="58"/>
        <v>1</v>
      </c>
      <c r="I90" s="135">
        <f>I4-SUM(C90:H90)-SUM(C92:H92)</f>
        <v>2.5833994956627619</v>
      </c>
    </row>
    <row r="91" spans="1:9" ht="36" x14ac:dyDescent="0.3">
      <c r="A91" s="261" t="s">
        <v>296</v>
      </c>
      <c r="C91" s="24">
        <f>C88</f>
        <v>-5000</v>
      </c>
      <c r="D91" s="24">
        <f>C91+D88</f>
        <v>-1995.1996007007306</v>
      </c>
      <c r="E91" s="24">
        <f t="shared" ref="E91:H91" si="59">D91+E88</f>
        <v>-2463.1283008781029</v>
      </c>
      <c r="F91" s="24">
        <f t="shared" si="59"/>
        <v>1758.8984906944625</v>
      </c>
      <c r="G91" s="24">
        <f t="shared" si="59"/>
        <v>6455.6972432182047</v>
      </c>
      <c r="H91" s="24">
        <f t="shared" si="59"/>
        <v>11529.137807290885</v>
      </c>
      <c r="I91" s="129"/>
    </row>
    <row r="92" spans="1:9" ht="29.4" thickBot="1" x14ac:dyDescent="0.35">
      <c r="A92" s="262" t="s">
        <v>297</v>
      </c>
      <c r="C92" s="20">
        <f t="shared" ref="C92:H92" si="60">IF(AND(B90=0,C90=1),C91/C88,0)</f>
        <v>0</v>
      </c>
      <c r="D92" s="20">
        <f t="shared" si="60"/>
        <v>0</v>
      </c>
      <c r="E92" s="20">
        <f t="shared" si="60"/>
        <v>0</v>
      </c>
      <c r="F92" s="20">
        <f t="shared" si="60"/>
        <v>0.41660050433723822</v>
      </c>
      <c r="G92" s="20">
        <f t="shared" si="60"/>
        <v>0</v>
      </c>
      <c r="H92" s="20">
        <f t="shared" si="60"/>
        <v>0</v>
      </c>
      <c r="I92" s="129"/>
    </row>
    <row r="93" spans="1:9" ht="104.4" thickBot="1" x14ac:dyDescent="0.35">
      <c r="A93" s="134" t="s">
        <v>398</v>
      </c>
      <c r="B93" s="53" t="s">
        <v>231</v>
      </c>
      <c r="C93" s="131" t="s">
        <v>5</v>
      </c>
      <c r="D93" s="132" t="s">
        <v>0</v>
      </c>
      <c r="E93" s="132" t="s">
        <v>1</v>
      </c>
      <c r="F93" s="132" t="s">
        <v>2</v>
      </c>
      <c r="G93" s="132" t="s">
        <v>3</v>
      </c>
      <c r="H93" s="132" t="s">
        <v>4</v>
      </c>
      <c r="I93" s="133" t="s">
        <v>232</v>
      </c>
    </row>
    <row r="94" spans="1:9" ht="36.6" thickBot="1" x14ac:dyDescent="0.35">
      <c r="A94" s="18" t="s">
        <v>257</v>
      </c>
      <c r="B94" s="51"/>
      <c r="C94" s="8">
        <f>C85</f>
        <v>-5000</v>
      </c>
      <c r="D94" s="8">
        <f t="shared" ref="D94:H94" si="61">D85</f>
        <v>3525</v>
      </c>
      <c r="E94" s="8">
        <f t="shared" si="61"/>
        <v>-651</v>
      </c>
      <c r="F94" s="8">
        <f t="shared" si="61"/>
        <v>6908.9666666666672</v>
      </c>
      <c r="G94" s="8">
        <f t="shared" si="61"/>
        <v>8967.0813333333354</v>
      </c>
      <c r="H94" s="8">
        <f t="shared" si="61"/>
        <v>11226.338169999988</v>
      </c>
      <c r="I94" s="95">
        <f>SUM(C94:H94)</f>
        <v>24976.386169999991</v>
      </c>
    </row>
    <row r="95" spans="1:9" ht="18" x14ac:dyDescent="0.3">
      <c r="A95" s="48" t="s">
        <v>405</v>
      </c>
      <c r="B95" s="130">
        <f>B73</f>
        <v>0.1</v>
      </c>
      <c r="C95" s="20">
        <f>C73</f>
        <v>1.6105100000000006</v>
      </c>
      <c r="D95" s="20">
        <f t="shared" ref="D95:H95" si="62">D73</f>
        <v>1.4641000000000004</v>
      </c>
      <c r="E95" s="20">
        <f t="shared" si="62"/>
        <v>1.3310000000000004</v>
      </c>
      <c r="F95" s="20">
        <f t="shared" si="62"/>
        <v>1.2100000000000002</v>
      </c>
      <c r="G95" s="20">
        <f t="shared" si="62"/>
        <v>1.1000000000000001</v>
      </c>
      <c r="H95" s="20">
        <f t="shared" si="62"/>
        <v>1</v>
      </c>
      <c r="I95" s="129"/>
    </row>
    <row r="96" spans="1:9" ht="18.600000000000001" thickBot="1" x14ac:dyDescent="0.35">
      <c r="A96" s="267" t="s">
        <v>402</v>
      </c>
      <c r="B96" s="130">
        <f>B104</f>
        <v>0.18516293810914031</v>
      </c>
      <c r="C96" s="139">
        <f>C87</f>
        <v>1</v>
      </c>
      <c r="D96" s="139">
        <f t="shared" ref="D96:H96" si="63">D87</f>
        <v>0.85242564519128206</v>
      </c>
      <c r="E96" s="139">
        <f t="shared" si="63"/>
        <v>0.71878448567952702</v>
      </c>
      <c r="F96" s="139">
        <f t="shared" si="63"/>
        <v>0.61109381406373819</v>
      </c>
      <c r="G96" s="139">
        <f t="shared" si="63"/>
        <v>0.52378232982724604</v>
      </c>
      <c r="H96" s="139">
        <f t="shared" si="63"/>
        <v>0.45192301240580618</v>
      </c>
      <c r="I96" s="129"/>
    </row>
    <row r="97" spans="1:10" ht="54.6" thickBot="1" x14ac:dyDescent="0.35">
      <c r="A97" s="263" t="s">
        <v>312</v>
      </c>
      <c r="B97" s="16"/>
      <c r="C97" s="24">
        <f>IF(C94&gt;0,C94*C95,0)</f>
        <v>0</v>
      </c>
      <c r="D97" s="24">
        <f>IF(D94&gt;0,D94*D95,0)</f>
        <v>5160.9525000000012</v>
      </c>
      <c r="E97" s="24">
        <f t="shared" ref="E97:H97" si="64">IF(E94&gt;0,E94*E95,0)</f>
        <v>0</v>
      </c>
      <c r="F97" s="24">
        <f t="shared" si="64"/>
        <v>8359.8496666666688</v>
      </c>
      <c r="G97" s="24">
        <f t="shared" si="64"/>
        <v>9863.7894666666689</v>
      </c>
      <c r="H97" s="24">
        <f t="shared" si="64"/>
        <v>11226.338169999988</v>
      </c>
      <c r="I97" s="21">
        <f>SUM(C97:H97)</f>
        <v>34610.929803333325</v>
      </c>
    </row>
    <row r="98" spans="1:10" ht="63.6" thickBot="1" x14ac:dyDescent="0.35">
      <c r="A98" s="52" t="s">
        <v>313</v>
      </c>
      <c r="C98" s="97">
        <f>IF(C94&lt;0,-C94*C96,0)</f>
        <v>5000</v>
      </c>
      <c r="D98" s="97">
        <f>IF(D94&lt;0,-D94*D96,0)</f>
        <v>0</v>
      </c>
      <c r="E98" s="97">
        <f>IF(E94&lt;0,-E94*E96,0)</f>
        <v>467.92870017737209</v>
      </c>
      <c r="F98" s="97">
        <f t="shared" ref="F98:H98" si="65">IF(F94&lt;0,-F94*F96,0)</f>
        <v>0</v>
      </c>
      <c r="G98" s="97">
        <f t="shared" si="65"/>
        <v>0</v>
      </c>
      <c r="H98" s="97">
        <f t="shared" si="65"/>
        <v>0</v>
      </c>
      <c r="I98" s="21">
        <f>SUM(C98:H98)</f>
        <v>5467.9287001773719</v>
      </c>
    </row>
    <row r="99" spans="1:10" s="64" customFormat="1" ht="31.8" thickBot="1" x14ac:dyDescent="0.35">
      <c r="A99" s="96" t="s">
        <v>406</v>
      </c>
      <c r="B99" s="111"/>
      <c r="C99" s="90"/>
      <c r="D99" s="112"/>
      <c r="E99" s="112"/>
      <c r="F99" s="112"/>
      <c r="G99" s="112"/>
      <c r="H99" s="112"/>
      <c r="I99" s="136">
        <f>I97/((1+B96)^G4)</f>
        <v>14802.087146014463</v>
      </c>
    </row>
    <row r="100" spans="1:10" s="64" customFormat="1" ht="54.6" thickBot="1" x14ac:dyDescent="0.35">
      <c r="A100" s="18" t="s">
        <v>321</v>
      </c>
      <c r="B100" s="1"/>
      <c r="C100" s="1"/>
      <c r="D100" s="1"/>
      <c r="E100" s="1"/>
      <c r="F100" s="1"/>
      <c r="G100" s="1"/>
      <c r="H100" s="1"/>
      <c r="I100" s="83">
        <f>I99-I98</f>
        <v>9334.1584458370908</v>
      </c>
    </row>
    <row r="101" spans="1:10" s="64" customFormat="1" ht="104.4" thickBot="1" x14ac:dyDescent="0.35">
      <c r="A101" s="134" t="s">
        <v>399</v>
      </c>
      <c r="B101" s="53" t="s">
        <v>231</v>
      </c>
      <c r="C101" s="131" t="s">
        <v>5</v>
      </c>
      <c r="D101" s="132" t="s">
        <v>0</v>
      </c>
      <c r="E101" s="132" t="s">
        <v>1</v>
      </c>
      <c r="F101" s="132" t="s">
        <v>2</v>
      </c>
      <c r="G101" s="132" t="s">
        <v>3</v>
      </c>
      <c r="H101" s="132" t="s">
        <v>4</v>
      </c>
      <c r="I101" s="133" t="s">
        <v>232</v>
      </c>
    </row>
    <row r="102" spans="1:10" s="64" customFormat="1" ht="36.6" thickBot="1" x14ac:dyDescent="0.35">
      <c r="A102" s="18" t="s">
        <v>257</v>
      </c>
      <c r="B102" s="1"/>
      <c r="C102" s="8">
        <f>C94</f>
        <v>-5000</v>
      </c>
      <c r="D102" s="8">
        <f t="shared" ref="D102:H102" si="66">D94</f>
        <v>3525</v>
      </c>
      <c r="E102" s="8">
        <f t="shared" si="66"/>
        <v>-651</v>
      </c>
      <c r="F102" s="8">
        <f t="shared" si="66"/>
        <v>6908.9666666666672</v>
      </c>
      <c r="G102" s="8">
        <f t="shared" si="66"/>
        <v>8967.0813333333354</v>
      </c>
      <c r="H102" s="8">
        <f t="shared" si="66"/>
        <v>11226.338169999988</v>
      </c>
      <c r="I102" s="95">
        <f>SUM(C102:H102)</f>
        <v>24976.386169999991</v>
      </c>
    </row>
    <row r="103" spans="1:10" s="64" customFormat="1" ht="18" x14ac:dyDescent="0.3">
      <c r="A103" s="29" t="s">
        <v>307</v>
      </c>
      <c r="B103" s="1"/>
      <c r="C103" s="5">
        <f t="shared" ref="C103:H103" si="67">C4-1</f>
        <v>0</v>
      </c>
      <c r="D103" s="5">
        <f t="shared" si="67"/>
        <v>1</v>
      </c>
      <c r="E103" s="5">
        <f t="shared" si="67"/>
        <v>2</v>
      </c>
      <c r="F103" s="5">
        <f t="shared" si="67"/>
        <v>3</v>
      </c>
      <c r="G103" s="5">
        <f t="shared" si="67"/>
        <v>4</v>
      </c>
      <c r="H103" s="5">
        <f t="shared" si="67"/>
        <v>5</v>
      </c>
      <c r="I103" s="140"/>
    </row>
    <row r="104" spans="1:10" s="64" customFormat="1" ht="31.2" x14ac:dyDescent="0.3">
      <c r="A104" s="52" t="s">
        <v>407</v>
      </c>
      <c r="B104" s="130">
        <f>B83</f>
        <v>0.18516293810914031</v>
      </c>
      <c r="C104" s="141">
        <f>C83</f>
        <v>0.25</v>
      </c>
      <c r="D104" s="141">
        <f t="shared" ref="D104:H104" si="68">D83</f>
        <v>0.17312284730195179</v>
      </c>
      <c r="E104" s="141">
        <f t="shared" si="68"/>
        <v>0.18592660550458714</v>
      </c>
      <c r="F104" s="141">
        <f t="shared" si="68"/>
        <v>0.17622608695652175</v>
      </c>
      <c r="G104" s="141">
        <f t="shared" si="68"/>
        <v>0.16669421487603306</v>
      </c>
      <c r="H104" s="141">
        <f t="shared" si="68"/>
        <v>0.15900787401574804</v>
      </c>
      <c r="I104" s="140"/>
      <c r="J104"/>
    </row>
    <row r="105" spans="1:10" s="64" customFormat="1" ht="18" x14ac:dyDescent="0.3">
      <c r="A105" s="267" t="s">
        <v>402</v>
      </c>
      <c r="B105" s="1"/>
      <c r="C105" s="139">
        <f>C96</f>
        <v>1</v>
      </c>
      <c r="D105" s="139">
        <f>C105*(1/(1+D104))</f>
        <v>0.85242564519128206</v>
      </c>
      <c r="E105" s="139">
        <f t="shared" ref="E105:H105" si="69">D105*(1/(1+E104))</f>
        <v>0.71878448567952702</v>
      </c>
      <c r="F105" s="139">
        <f t="shared" si="69"/>
        <v>0.61109381406373819</v>
      </c>
      <c r="G105" s="139">
        <f t="shared" si="69"/>
        <v>0.52378232982724604</v>
      </c>
      <c r="H105" s="139">
        <f t="shared" si="69"/>
        <v>0.45192301240580618</v>
      </c>
      <c r="I105" s="140"/>
      <c r="J105"/>
    </row>
    <row r="106" spans="1:10" s="64" customFormat="1" ht="18.600000000000001" thickBot="1" x14ac:dyDescent="0.35">
      <c r="A106" s="48" t="s">
        <v>408</v>
      </c>
      <c r="B106" s="1"/>
      <c r="C106" s="139"/>
      <c r="D106" s="139">
        <f t="shared" ref="D106:F106" si="70">E106*(1+D104)</f>
        <v>2.2127662733449074</v>
      </c>
      <c r="E106" s="139">
        <f t="shared" si="70"/>
        <v>1.8862187182135413</v>
      </c>
      <c r="F106" s="139">
        <f t="shared" si="70"/>
        <v>1.5905020677152228</v>
      </c>
      <c r="G106" s="139">
        <f>H106*(1+G104)</f>
        <v>1.3522077816099436</v>
      </c>
      <c r="H106" s="139">
        <f>(1+H104)</f>
        <v>1.1590078740157481</v>
      </c>
      <c r="I106" s="140"/>
    </row>
    <row r="107" spans="1:10" s="64" customFormat="1" ht="54.6" thickBot="1" x14ac:dyDescent="0.35">
      <c r="A107" s="263" t="s">
        <v>312</v>
      </c>
      <c r="B107" s="16"/>
      <c r="C107" s="142">
        <f>IF(C94&gt;0,C94*C106,0)</f>
        <v>0</v>
      </c>
      <c r="D107" s="142">
        <f t="shared" ref="D107:H107" si="71">IF(D94&gt;0,D94*D106,0)</f>
        <v>7800.0011135407985</v>
      </c>
      <c r="E107" s="142">
        <f t="shared" si="71"/>
        <v>0</v>
      </c>
      <c r="F107" s="142">
        <f t="shared" si="71"/>
        <v>10988.725769108885</v>
      </c>
      <c r="G107" s="142">
        <f t="shared" si="71"/>
        <v>12125.357157262604</v>
      </c>
      <c r="H107" s="142">
        <f t="shared" si="71"/>
        <v>13011.414335393531</v>
      </c>
      <c r="I107" s="95">
        <f>SUM(C107:H107)</f>
        <v>43925.498375305819</v>
      </c>
    </row>
    <row r="108" spans="1:10" s="64" customFormat="1" ht="63.6" thickBot="1" x14ac:dyDescent="0.35">
      <c r="A108" s="52" t="s">
        <v>313</v>
      </c>
      <c r="B108" s="16"/>
      <c r="C108" s="142">
        <f>IF(C102&lt;0,C105*C102,0)</f>
        <v>-5000</v>
      </c>
      <c r="D108" s="142">
        <f t="shared" ref="D108:H108" si="72">IF(D102&lt;0,D105*D102,0)</f>
        <v>0</v>
      </c>
      <c r="E108" s="142">
        <f t="shared" si="72"/>
        <v>-467.92870017737209</v>
      </c>
      <c r="F108" s="142">
        <f t="shared" si="72"/>
        <v>0</v>
      </c>
      <c r="G108" s="142">
        <f t="shared" si="72"/>
        <v>0</v>
      </c>
      <c r="H108" s="142">
        <f t="shared" si="72"/>
        <v>0</v>
      </c>
      <c r="I108" s="95">
        <f>SUM(C108:H108)</f>
        <v>-5467.9287001773719</v>
      </c>
    </row>
    <row r="109" spans="1:10" s="64" customFormat="1" ht="54.6" thickBot="1" x14ac:dyDescent="0.35">
      <c r="A109" s="18" t="s">
        <v>315</v>
      </c>
      <c r="B109" s="16"/>
      <c r="C109" s="142"/>
      <c r="D109" s="142"/>
      <c r="E109" s="142"/>
      <c r="F109" s="142"/>
      <c r="G109" s="142"/>
      <c r="H109" s="142"/>
      <c r="I109" s="88">
        <f>(I107/-I108)^(1/H103)</f>
        <v>1.516976213299307</v>
      </c>
    </row>
    <row r="110" spans="1:10" s="64" customFormat="1" ht="18.600000000000001" thickBot="1" x14ac:dyDescent="0.35">
      <c r="A110" s="18"/>
      <c r="B110" s="16"/>
      <c r="C110" s="142"/>
      <c r="D110" s="142"/>
      <c r="E110" s="142"/>
      <c r="F110" s="142"/>
      <c r="G110" s="142"/>
      <c r="H110" s="142"/>
      <c r="I110" s="113"/>
    </row>
    <row r="111" spans="1:10" ht="78.599999999999994" thickBot="1" x14ac:dyDescent="0.35">
      <c r="A111" s="147" t="s">
        <v>410</v>
      </c>
    </row>
    <row r="112" spans="1:10" ht="36.6" thickBot="1" x14ac:dyDescent="0.35">
      <c r="A112" s="18" t="s">
        <v>409</v>
      </c>
      <c r="C112" s="75">
        <f t="shared" ref="C112:H112" si="73">C38</f>
        <v>-5000</v>
      </c>
      <c r="D112" s="75">
        <f t="shared" si="73"/>
        <v>3525</v>
      </c>
      <c r="E112" s="75">
        <f t="shared" si="73"/>
        <v>-651</v>
      </c>
      <c r="F112" s="75">
        <f t="shared" si="73"/>
        <v>6908.9666666666672</v>
      </c>
      <c r="G112" s="75">
        <f t="shared" si="73"/>
        <v>8967.0813333333354</v>
      </c>
      <c r="H112" s="75">
        <f t="shared" si="73"/>
        <v>11226.338169999988</v>
      </c>
      <c r="I112" s="21">
        <f>SUM(C112:H112)</f>
        <v>24976.386169999991</v>
      </c>
    </row>
    <row r="113" spans="1:9" ht="36.6" thickBot="1" x14ac:dyDescent="0.35">
      <c r="A113" s="18" t="s">
        <v>393</v>
      </c>
      <c r="C113" s="128">
        <f t="shared" ref="C113:I113" si="74">C57</f>
        <v>0.25</v>
      </c>
      <c r="D113" s="128">
        <f t="shared" si="74"/>
        <v>0.17312284730195179</v>
      </c>
      <c r="E113" s="128">
        <f t="shared" si="74"/>
        <v>0.18592660550458714</v>
      </c>
      <c r="F113" s="128">
        <f t="shared" si="74"/>
        <v>0.17622608695652175</v>
      </c>
      <c r="G113" s="128">
        <f t="shared" si="74"/>
        <v>0.16669421487603306</v>
      </c>
      <c r="H113" s="128">
        <f t="shared" si="74"/>
        <v>0.15900787401574804</v>
      </c>
      <c r="I113" s="148">
        <f t="shared" si="74"/>
        <v>0.18516293810914031</v>
      </c>
    </row>
    <row r="114" spans="1:9" ht="36.6" thickBot="1" x14ac:dyDescent="0.35">
      <c r="A114" s="18" t="s">
        <v>366</v>
      </c>
      <c r="I114" s="149">
        <f>(I46*(1+$B$116))/($B$115-$B$116)</f>
        <v>49485.695938983961</v>
      </c>
    </row>
    <row r="115" spans="1:9" ht="15.6" x14ac:dyDescent="0.3">
      <c r="A115" s="96" t="s">
        <v>267</v>
      </c>
      <c r="B115" s="130">
        <f>I113</f>
        <v>0.18516293810914031</v>
      </c>
    </row>
    <row r="116" spans="1:9" ht="15.6" x14ac:dyDescent="0.3">
      <c r="A116" s="96" t="s">
        <v>365</v>
      </c>
      <c r="B116" s="16">
        <f>B48</f>
        <v>0.05</v>
      </c>
    </row>
    <row r="117" spans="1:9" ht="15.6" x14ac:dyDescent="0.3">
      <c r="A117" s="29" t="s">
        <v>307</v>
      </c>
      <c r="C117" s="5">
        <f>C103+1</f>
        <v>1</v>
      </c>
      <c r="D117" s="5">
        <f t="shared" ref="D117:H117" si="75">D103+1</f>
        <v>2</v>
      </c>
      <c r="E117" s="5">
        <f t="shared" si="75"/>
        <v>3</v>
      </c>
      <c r="F117" s="5">
        <f t="shared" si="75"/>
        <v>4</v>
      </c>
      <c r="G117" s="5">
        <f t="shared" si="75"/>
        <v>5</v>
      </c>
      <c r="H117" s="5">
        <f t="shared" si="75"/>
        <v>6</v>
      </c>
    </row>
    <row r="118" spans="1:9" ht="16.2" thickBot="1" x14ac:dyDescent="0.35">
      <c r="A118" s="96" t="s">
        <v>411</v>
      </c>
      <c r="B118" s="16"/>
      <c r="C118" s="23">
        <f>1/((1+$B$115)^(C117-0.5))</f>
        <v>0.9185672747837178</v>
      </c>
      <c r="D118" s="23">
        <f t="shared" ref="D118:H118" si="76">1/((1+$B$115)^(D117-0.5))</f>
        <v>0.77505568664612434</v>
      </c>
      <c r="E118" s="23">
        <f t="shared" si="76"/>
        <v>0.65396551117492885</v>
      </c>
      <c r="F118" s="23">
        <f t="shared" si="76"/>
        <v>0.5517937577581471</v>
      </c>
      <c r="G118" s="23">
        <f t="shared" si="76"/>
        <v>0.465584722585489</v>
      </c>
      <c r="H118" s="23">
        <f t="shared" si="76"/>
        <v>0.3928444837536878</v>
      </c>
    </row>
    <row r="119" spans="1:9" ht="33" thickBot="1" x14ac:dyDescent="0.35">
      <c r="A119" s="18" t="s">
        <v>412</v>
      </c>
      <c r="B119" s="16"/>
      <c r="C119" s="24">
        <f>C118*C112</f>
        <v>-4592.8363739185888</v>
      </c>
      <c r="D119" s="24">
        <f t="shared" ref="D119:H119" si="77">D118*D112</f>
        <v>2732.0712954275882</v>
      </c>
      <c r="E119" s="24">
        <f t="shared" si="77"/>
        <v>-425.73154777487866</v>
      </c>
      <c r="F119" s="24">
        <f t="shared" si="77"/>
        <v>3812.3246792257801</v>
      </c>
      <c r="G119" s="24">
        <f t="shared" si="77"/>
        <v>4174.9360749815178</v>
      </c>
      <c r="H119" s="24">
        <f t="shared" si="77"/>
        <v>4410.2050228379658</v>
      </c>
      <c r="I119" s="21">
        <f>SUM(C119:H119)</f>
        <v>10110.969150779383</v>
      </c>
    </row>
    <row r="120" spans="1:9" ht="24" thickBot="1" x14ac:dyDescent="0.35">
      <c r="A120" s="150" t="s">
        <v>413</v>
      </c>
      <c r="I120" s="172">
        <f>I119+I114/((1+B115)^(H117-0.5))</f>
        <v>29551.151825121502</v>
      </c>
    </row>
    <row r="122" spans="1:9" x14ac:dyDescent="0.3">
      <c r="G122" s="65"/>
    </row>
    <row r="124" spans="1:9" ht="29.4" customHeight="1" x14ac:dyDescent="0.3"/>
    <row r="126" spans="1:9" x14ac:dyDescent="0.3">
      <c r="A126" s="19"/>
      <c r="E126"/>
    </row>
    <row r="127" spans="1:9" x14ac:dyDescent="0.3">
      <c r="A127" s="74"/>
      <c r="E127"/>
      <c r="G127" s="65"/>
    </row>
    <row r="128" spans="1:9" x14ac:dyDescent="0.3">
      <c r="A128" s="44"/>
      <c r="E128" s="65"/>
      <c r="G128" s="66"/>
    </row>
    <row r="129" spans="1:11" ht="30.6" customHeight="1" x14ac:dyDescent="0.3">
      <c r="A129" s="14"/>
      <c r="E129" s="65"/>
      <c r="G129" s="65"/>
    </row>
    <row r="130" spans="1:11" x14ac:dyDescent="0.3">
      <c r="G130" s="65"/>
      <c r="J130" s="65"/>
      <c r="K130" s="6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7"/>
  <sheetViews>
    <sheetView topLeftCell="A193" zoomScale="130" zoomScaleNormal="130" workbookViewId="0">
      <selection activeCell="A71" sqref="A71"/>
    </sheetView>
  </sheetViews>
  <sheetFormatPr defaultColWidth="8.88671875" defaultRowHeight="14.4" x14ac:dyDescent="0.3"/>
  <cols>
    <col min="1" max="1" width="51.5546875" style="1" customWidth="1"/>
    <col min="2" max="2" width="10.441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0" ht="28.8" x14ac:dyDescent="0.3">
      <c r="A1" s="221" t="s">
        <v>414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7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v>75</v>
      </c>
      <c r="E7" s="7">
        <v>30</v>
      </c>
      <c r="F7" s="7">
        <v>125</v>
      </c>
      <c r="G7" s="7">
        <v>150</v>
      </c>
      <c r="H7" s="7">
        <v>175</v>
      </c>
      <c r="I7" s="8">
        <f t="shared" ref="I7" si="1">SUM(D7:H7)</f>
        <v>555</v>
      </c>
    </row>
    <row r="8" spans="1:10" s="6" customFormat="1" ht="15.6" x14ac:dyDescent="0.3">
      <c r="A8" s="99" t="s">
        <v>348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240</v>
      </c>
    </row>
    <row r="10" spans="1:10" ht="15.6" x14ac:dyDescent="0.3">
      <c r="A10" s="4" t="s">
        <v>350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6" x14ac:dyDescent="0.3">
      <c r="A11" s="99" t="s">
        <v>351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550</v>
      </c>
    </row>
    <row r="16" spans="1:10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550</v>
      </c>
    </row>
    <row r="17" spans="1:9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3" customFormat="1" ht="15.6" x14ac:dyDescent="0.3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2" thickBot="1" x14ac:dyDescent="0.35">
      <c r="A19" s="99" t="s">
        <v>354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6" x14ac:dyDescent="0.3">
      <c r="A21" s="5" t="s">
        <v>247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-1600.8333333333333</v>
      </c>
      <c r="G21" s="9">
        <f t="shared" si="10"/>
        <v>-1454.6666666666667</v>
      </c>
      <c r="H21" s="9">
        <f t="shared" si="10"/>
        <v>-1385.3</v>
      </c>
      <c r="I21" s="8">
        <f t="shared" si="7"/>
        <v>-5690.8</v>
      </c>
    </row>
    <row r="22" spans="1:9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</v>
      </c>
      <c r="F22" s="8">
        <f t="shared" si="11"/>
        <v>7055.166666666667</v>
      </c>
      <c r="G22" s="8">
        <f t="shared" si="11"/>
        <v>9790.5183333333352</v>
      </c>
      <c r="H22" s="8">
        <f t="shared" si="11"/>
        <v>12706.297712499992</v>
      </c>
      <c r="I22" s="8">
        <f t="shared" si="7"/>
        <v>32820.982712500001</v>
      </c>
    </row>
    <row r="23" spans="1:9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2">-E17*E19</f>
        <v>-420.00000000000006</v>
      </c>
      <c r="F23" s="144">
        <f t="shared" si="12"/>
        <v>-420</v>
      </c>
      <c r="G23" s="144">
        <f t="shared" si="12"/>
        <v>-400</v>
      </c>
      <c r="H23" s="144">
        <f t="shared" si="12"/>
        <v>-405</v>
      </c>
      <c r="I23" s="145">
        <f t="shared" si="7"/>
        <v>-2045</v>
      </c>
    </row>
    <row r="24" spans="1:9" s="5" customFormat="1" ht="16.2" thickBot="1" x14ac:dyDescent="0.35">
      <c r="A24" s="5" t="s">
        <v>249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-1327.0333333333335</v>
      </c>
      <c r="G24" s="9">
        <f t="shared" si="14"/>
        <v>-1878.1036666666671</v>
      </c>
      <c r="H24" s="9">
        <f t="shared" si="14"/>
        <v>-2460.2595424999986</v>
      </c>
      <c r="I24" s="8">
        <f t="shared" si="7"/>
        <v>-6490.3965424999988</v>
      </c>
    </row>
    <row r="25" spans="1:9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5">E22+E23+E24</f>
        <v>-1676</v>
      </c>
      <c r="F25" s="8">
        <f t="shared" si="15"/>
        <v>5308.1333333333332</v>
      </c>
      <c r="G25" s="8">
        <f t="shared" si="15"/>
        <v>7512.4146666666684</v>
      </c>
      <c r="H25" s="8">
        <f t="shared" si="15"/>
        <v>9841.0381699999944</v>
      </c>
      <c r="I25" s="49">
        <f t="shared" si="7"/>
        <v>24285.586169999995</v>
      </c>
    </row>
    <row r="26" spans="1:9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2874</v>
      </c>
      <c r="G26" s="9">
        <f t="shared" si="16"/>
        <v>9782.9666666666672</v>
      </c>
      <c r="H26" s="9">
        <f t="shared" si="16"/>
        <v>18750.048000000003</v>
      </c>
      <c r="I26" s="9">
        <f>C26</f>
        <v>5000</v>
      </c>
    </row>
    <row r="27" spans="1:9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7">E10+E5+E17</f>
        <v>17300</v>
      </c>
      <c r="F27" s="11">
        <f t="shared" si="17"/>
        <v>34431.25</v>
      </c>
      <c r="G27" s="11">
        <f t="shared" si="17"/>
        <v>42234.200000000004</v>
      </c>
      <c r="H27" s="11">
        <f t="shared" si="17"/>
        <v>50537.495999999999</v>
      </c>
      <c r="I27" s="11">
        <f t="shared" si="7"/>
        <v>166502.946</v>
      </c>
    </row>
    <row r="28" spans="1:9" s="4" customFormat="1" ht="15" thickBot="1" x14ac:dyDescent="0.35">
      <c r="A28" s="4" t="s">
        <v>251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-27522.283333333333</v>
      </c>
      <c r="G28" s="11">
        <f t="shared" si="19"/>
        <v>-33267.118666666669</v>
      </c>
      <c r="H28" s="11">
        <f t="shared" si="19"/>
        <v>-39311.157830000011</v>
      </c>
      <c r="I28" s="11">
        <f>SUM(C28:H28)</f>
        <v>-141526.55983000001</v>
      </c>
    </row>
    <row r="29" spans="1:9" s="4" customFormat="1" ht="29.4" thickBot="1" x14ac:dyDescent="0.35">
      <c r="A29" s="258" t="s">
        <v>253</v>
      </c>
      <c r="C29" s="11">
        <f>C6</f>
        <v>-5000</v>
      </c>
      <c r="D29" s="11">
        <f>D28+D27</f>
        <v>3525</v>
      </c>
      <c r="E29" s="11">
        <f t="shared" ref="E29:H29" si="20">E28+E27</f>
        <v>-651</v>
      </c>
      <c r="F29" s="11">
        <f t="shared" si="20"/>
        <v>6908.9666666666672</v>
      </c>
      <c r="G29" s="11">
        <f t="shared" si="20"/>
        <v>8967.0813333333354</v>
      </c>
      <c r="H29" s="11">
        <f t="shared" si="20"/>
        <v>11226.338169999988</v>
      </c>
      <c r="I29" s="42">
        <f>SUM(C29:H29)</f>
        <v>24976.386169999991</v>
      </c>
    </row>
    <row r="30" spans="1:9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1">E29+E26</f>
        <v>2874</v>
      </c>
      <c r="F30" s="9">
        <f t="shared" si="21"/>
        <v>9782.9666666666672</v>
      </c>
      <c r="G30" s="9">
        <f t="shared" si="21"/>
        <v>18750.048000000003</v>
      </c>
      <c r="H30" s="9">
        <f t="shared" si="21"/>
        <v>29976.386169999991</v>
      </c>
      <c r="I30" s="9">
        <f>H30</f>
        <v>29976.386169999991</v>
      </c>
    </row>
    <row r="31" spans="1:9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2">D31+E29</f>
        <v>-2126</v>
      </c>
      <c r="F31" s="9">
        <f t="shared" si="22"/>
        <v>4782.9666666666672</v>
      </c>
      <c r="G31" s="9">
        <f t="shared" si="22"/>
        <v>13750.048000000003</v>
      </c>
      <c r="H31" s="9">
        <f t="shared" si="22"/>
        <v>24976.386169999991</v>
      </c>
      <c r="I31" s="46">
        <f>H31</f>
        <v>24976.386169999991</v>
      </c>
    </row>
    <row r="32" spans="1:9" ht="31.8" thickBot="1" x14ac:dyDescent="0.35">
      <c r="A32" s="265" t="s">
        <v>355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1327.0333333333333</v>
      </c>
      <c r="H32" s="109">
        <f t="shared" si="23"/>
        <v>1878.1036666666671</v>
      </c>
      <c r="I32" s="110">
        <f>SUM(C32:H32)</f>
        <v>4030.1370000000006</v>
      </c>
    </row>
    <row r="33" spans="1:11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-1.2775690607734806</v>
      </c>
      <c r="F35" s="125">
        <f t="shared" ref="F35:H35" si="24">(F22-E22)/E22</f>
        <v>-6.6171709129511687</v>
      </c>
      <c r="G35" s="125">
        <f t="shared" si="24"/>
        <v>0.38770900758309534</v>
      </c>
      <c r="H35" s="125">
        <f t="shared" si="24"/>
        <v>0.29781665075274255</v>
      </c>
      <c r="I35" s="127">
        <f t="shared" ref="I35:I36" si="25">AVERAGE(E35:H35)</f>
        <v>-1.8023035788472028</v>
      </c>
    </row>
    <row r="36" spans="1:11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-1.5078787878787878</v>
      </c>
      <c r="F36" s="116">
        <f t="shared" ref="F36:H36" si="26">(F25-E25)/E25</f>
        <v>-4.1671439936356407</v>
      </c>
      <c r="G36" s="116">
        <f t="shared" si="26"/>
        <v>0.41526487654165972</v>
      </c>
      <c r="H36" s="116">
        <f t="shared" si="26"/>
        <v>0.30997004380837234</v>
      </c>
      <c r="I36" s="126">
        <f t="shared" si="25"/>
        <v>-1.2374469652910993</v>
      </c>
    </row>
    <row r="37" spans="1:11" s="64" customFormat="1" ht="55.2" thickBot="1" x14ac:dyDescent="0.35">
      <c r="A37" s="147" t="s">
        <v>416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271" t="s">
        <v>4</v>
      </c>
      <c r="I37" s="60" t="s">
        <v>232</v>
      </c>
    </row>
    <row r="38" spans="1:11" s="64" customFormat="1" ht="21.6" thickBot="1" x14ac:dyDescent="0.35">
      <c r="A38" s="161" t="s">
        <v>417</v>
      </c>
      <c r="E38" s="154"/>
      <c r="F38" s="154"/>
      <c r="G38" s="154"/>
      <c r="H38" s="154"/>
      <c r="I38" s="155"/>
    </row>
    <row r="39" spans="1:11" s="64" customFormat="1" ht="15.6" x14ac:dyDescent="0.3">
      <c r="A39" s="181" t="s">
        <v>424</v>
      </c>
      <c r="B39" s="159">
        <f>C5</f>
        <v>5000</v>
      </c>
      <c r="C39" s="168">
        <f>B39</f>
        <v>5000</v>
      </c>
      <c r="D39" s="168">
        <f>C39-D46</f>
        <v>4775</v>
      </c>
      <c r="E39" s="168">
        <f t="shared" ref="E39:H39" si="27">D39-E46</f>
        <v>4550</v>
      </c>
      <c r="F39" s="168">
        <f t="shared" si="27"/>
        <v>4325</v>
      </c>
      <c r="G39" s="168">
        <f t="shared" si="27"/>
        <v>4100</v>
      </c>
      <c r="H39" s="168">
        <f t="shared" si="27"/>
        <v>3875</v>
      </c>
      <c r="I39" s="155"/>
    </row>
    <row r="40" spans="1:11" s="64" customFormat="1" ht="15.6" x14ac:dyDescent="0.3">
      <c r="A40" s="181" t="s">
        <v>427</v>
      </c>
      <c r="B40" s="159" t="s">
        <v>0</v>
      </c>
      <c r="E40" s="154"/>
      <c r="F40" s="154"/>
      <c r="G40" s="154"/>
      <c r="H40" s="154"/>
      <c r="I40" s="155"/>
    </row>
    <row r="41" spans="1:11" s="64" customFormat="1" ht="41.4" x14ac:dyDescent="0.3">
      <c r="A41" s="181" t="s">
        <v>421</v>
      </c>
      <c r="B41" s="269" t="s">
        <v>422</v>
      </c>
      <c r="C41" s="177" t="s">
        <v>423</v>
      </c>
      <c r="D41" s="146"/>
      <c r="E41" s="165"/>
      <c r="F41" s="165"/>
      <c r="G41" s="165"/>
      <c r="H41" s="165"/>
      <c r="I41"/>
    </row>
    <row r="42" spans="1:11" s="64" customFormat="1" ht="15.6" x14ac:dyDescent="0.3">
      <c r="A42" s="182" t="s">
        <v>425</v>
      </c>
      <c r="B42" s="159">
        <v>20</v>
      </c>
      <c r="E42" s="154"/>
      <c r="F42" s="154"/>
      <c r="G42" s="154"/>
      <c r="H42" s="154"/>
      <c r="I42" s="155"/>
    </row>
    <row r="43" spans="1:11" s="64" customFormat="1" ht="25.8" x14ac:dyDescent="0.3">
      <c r="A43" s="182" t="s">
        <v>426</v>
      </c>
      <c r="B43" s="159">
        <v>500</v>
      </c>
      <c r="E43" s="154"/>
      <c r="F43" s="154"/>
      <c r="G43" s="154"/>
      <c r="H43" s="154"/>
      <c r="I43" s="155"/>
    </row>
    <row r="44" spans="1:11" s="64" customFormat="1" ht="15.6" x14ac:dyDescent="0.3">
      <c r="A44" s="181" t="s">
        <v>428</v>
      </c>
      <c r="B44" s="159">
        <f>B39-B43</f>
        <v>4500</v>
      </c>
      <c r="E44" s="154"/>
      <c r="F44" s="154"/>
      <c r="G44" s="154"/>
      <c r="H44" s="154"/>
      <c r="I44" s="155"/>
      <c r="K44"/>
    </row>
    <row r="45" spans="1:11" s="64" customFormat="1" ht="16.2" thickBot="1" x14ac:dyDescent="0.35">
      <c r="A45" s="181" t="s">
        <v>429</v>
      </c>
      <c r="B45" s="160">
        <f>1/B42</f>
        <v>0.05</v>
      </c>
      <c r="E45" s="154"/>
      <c r="F45" s="154"/>
      <c r="G45" s="154"/>
      <c r="H45" s="154"/>
      <c r="I45" s="155"/>
    </row>
    <row r="46" spans="1:11" s="64" customFormat="1" ht="18.600000000000001" thickBot="1" x14ac:dyDescent="0.35">
      <c r="A46" s="181" t="s">
        <v>430</v>
      </c>
      <c r="B46" s="163">
        <f>(B39-B43)/B42</f>
        <v>225</v>
      </c>
      <c r="D46" s="168">
        <f>B46</f>
        <v>225</v>
      </c>
      <c r="E46" s="168">
        <f>D46</f>
        <v>225</v>
      </c>
      <c r="F46" s="168">
        <f t="shared" ref="F46:H46" si="28">E46</f>
        <v>225</v>
      </c>
      <c r="G46" s="168">
        <f t="shared" si="28"/>
        <v>225</v>
      </c>
      <c r="H46" s="168">
        <f t="shared" si="28"/>
        <v>225</v>
      </c>
      <c r="I46" s="169">
        <f>SUM(D46:H46)</f>
        <v>1125</v>
      </c>
    </row>
    <row r="47" spans="1:11" s="64" customFormat="1" ht="36.6" thickBot="1" x14ac:dyDescent="0.35">
      <c r="A47" s="161" t="s">
        <v>420</v>
      </c>
      <c r="B47" s="159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271" t="s">
        <v>4</v>
      </c>
      <c r="I47" s="60" t="s">
        <v>232</v>
      </c>
    </row>
    <row r="48" spans="1:11" s="64" customFormat="1" ht="15.6" x14ac:dyDescent="0.3">
      <c r="A48" s="181" t="s">
        <v>424</v>
      </c>
      <c r="B48" s="174">
        <f>D5</f>
        <v>2000</v>
      </c>
      <c r="D48" s="168">
        <f>B48</f>
        <v>2000</v>
      </c>
      <c r="E48" s="168">
        <f>D48-E54</f>
        <v>1200</v>
      </c>
      <c r="F48" s="168">
        <f>E48-F54</f>
        <v>720</v>
      </c>
      <c r="G48" s="168">
        <f>F48-G54</f>
        <v>432</v>
      </c>
      <c r="H48" s="168">
        <f>G48-H54</f>
        <v>259.2</v>
      </c>
      <c r="I48" s="155"/>
    </row>
    <row r="49" spans="1:17" s="64" customFormat="1" ht="15.6" x14ac:dyDescent="0.3">
      <c r="A49" s="181" t="s">
        <v>427</v>
      </c>
      <c r="B49" s="174" t="s">
        <v>1</v>
      </c>
      <c r="E49" s="154"/>
      <c r="F49" s="154"/>
      <c r="G49" s="154"/>
      <c r="H49" s="154"/>
      <c r="I49" s="155"/>
    </row>
    <row r="50" spans="1:17" s="64" customFormat="1" ht="106.5" customHeight="1" x14ac:dyDescent="0.3">
      <c r="A50" s="181" t="s">
        <v>421</v>
      </c>
      <c r="B50" s="269" t="s">
        <v>434</v>
      </c>
      <c r="C50" s="365" t="s">
        <v>433</v>
      </c>
      <c r="D50" s="365"/>
      <c r="E50" s="365"/>
      <c r="F50" s="365"/>
      <c r="G50" s="365"/>
      <c r="H50" s="365"/>
      <c r="J50" s="367" t="s">
        <v>551</v>
      </c>
      <c r="K50" s="367"/>
      <c r="L50" s="367"/>
      <c r="M50" s="367"/>
      <c r="N50" s="367"/>
      <c r="O50" s="367"/>
      <c r="P50" s="367"/>
      <c r="Q50" s="367"/>
    </row>
    <row r="51" spans="1:17" s="64" customFormat="1" ht="30.6" customHeight="1" x14ac:dyDescent="0.3">
      <c r="A51" s="182" t="s">
        <v>425</v>
      </c>
      <c r="B51" s="174">
        <v>5</v>
      </c>
      <c r="E51" s="154"/>
      <c r="F51" s="154"/>
      <c r="G51" s="154"/>
      <c r="H51" s="154"/>
      <c r="J51" s="366" t="s">
        <v>553</v>
      </c>
      <c r="K51" s="366"/>
      <c r="L51" s="366"/>
      <c r="M51" s="366"/>
      <c r="N51" s="366"/>
      <c r="O51" s="366"/>
      <c r="P51" s="366"/>
    </row>
    <row r="52" spans="1:17" s="64" customFormat="1" ht="25.8" x14ac:dyDescent="0.3">
      <c r="A52" s="182" t="s">
        <v>426</v>
      </c>
      <c r="B52" s="174">
        <v>200</v>
      </c>
      <c r="D52"/>
      <c r="E52" s="154"/>
      <c r="F52" s="154"/>
      <c r="G52" s="154"/>
      <c r="H52" s="154"/>
      <c r="I52"/>
    </row>
    <row r="53" spans="1:17" s="64" customFormat="1" ht="16.2" thickBot="1" x14ac:dyDescent="0.35">
      <c r="A53" s="181" t="s">
        <v>428</v>
      </c>
      <c r="B53" s="174">
        <f>B48-B52</f>
        <v>1800</v>
      </c>
      <c r="E53" s="154"/>
      <c r="F53" s="154"/>
      <c r="G53" s="154"/>
      <c r="H53" s="154"/>
      <c r="I53" s="155"/>
    </row>
    <row r="54" spans="1:17" s="64" customFormat="1" ht="68.25" customHeight="1" thickBot="1" x14ac:dyDescent="0.35">
      <c r="A54" s="181" t="s">
        <v>429</v>
      </c>
      <c r="B54" s="175">
        <f>2*1/B51</f>
        <v>0.4</v>
      </c>
      <c r="E54" s="168">
        <f>$B$54*B48</f>
        <v>800</v>
      </c>
      <c r="F54" s="168">
        <f>$B$54*E48</f>
        <v>480</v>
      </c>
      <c r="G54" s="168">
        <f>$B$54*F48</f>
        <v>288</v>
      </c>
      <c r="H54" s="168">
        <f>$B$54*G48</f>
        <v>172.8</v>
      </c>
      <c r="I54" s="169">
        <f>H48-B52</f>
        <v>59.199999999999989</v>
      </c>
      <c r="J54" s="363" t="s">
        <v>552</v>
      </c>
      <c r="K54" s="364"/>
      <c r="L54" s="364"/>
    </row>
    <row r="55" spans="1:17" s="64" customFormat="1" ht="50.25" customHeight="1" thickBot="1" x14ac:dyDescent="0.35">
      <c r="A55" s="181" t="s">
        <v>430</v>
      </c>
      <c r="B55" s="164">
        <f>1-(B52/B48)^(1/B51)</f>
        <v>0.36904265551980675</v>
      </c>
      <c r="E55" s="166">
        <f>(B48-B52)/B51</f>
        <v>360</v>
      </c>
      <c r="F55" s="166">
        <f>E55</f>
        <v>360</v>
      </c>
      <c r="G55" s="166">
        <f t="shared" ref="G55:H55" si="29">F55</f>
        <v>360</v>
      </c>
      <c r="H55" s="166">
        <f t="shared" si="29"/>
        <v>360</v>
      </c>
      <c r="I55" s="167">
        <f>H55</f>
        <v>360</v>
      </c>
      <c r="J55" s="363" t="s">
        <v>554</v>
      </c>
      <c r="K55" s="364"/>
      <c r="L55" s="364"/>
      <c r="M55"/>
    </row>
    <row r="56" spans="1:17" s="64" customFormat="1" ht="42.6" thickBot="1" x14ac:dyDescent="0.35">
      <c r="A56" s="229" t="s">
        <v>418</v>
      </c>
      <c r="B56" s="159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271" t="s">
        <v>4</v>
      </c>
      <c r="I56" s="60" t="s">
        <v>232</v>
      </c>
    </row>
    <row r="57" spans="1:17" s="64" customFormat="1" ht="15.6" x14ac:dyDescent="0.3">
      <c r="A57" s="181" t="s">
        <v>424</v>
      </c>
      <c r="B57" s="174">
        <v>1000</v>
      </c>
      <c r="E57" s="174">
        <f>B57</f>
        <v>1000</v>
      </c>
      <c r="F57" s="174">
        <f>E57-F65</f>
        <v>666.66666666666674</v>
      </c>
      <c r="G57" s="174">
        <f t="shared" ref="G57:J57" si="30">F57-G65</f>
        <v>400.00000000000006</v>
      </c>
      <c r="H57" s="174">
        <f t="shared" si="30"/>
        <v>200.00000000000006</v>
      </c>
      <c r="I57" s="174">
        <f>H57-I65</f>
        <v>66.666666666666714</v>
      </c>
      <c r="J57" s="174">
        <f t="shared" si="30"/>
        <v>0</v>
      </c>
    </row>
    <row r="58" spans="1:17" s="64" customFormat="1" ht="15.6" x14ac:dyDescent="0.3">
      <c r="A58" s="181" t="s">
        <v>427</v>
      </c>
      <c r="B58" s="174" t="s">
        <v>2</v>
      </c>
      <c r="E58" s="154"/>
      <c r="F58" s="154"/>
      <c r="G58" s="154"/>
      <c r="H58" s="154"/>
      <c r="I58" s="155"/>
    </row>
    <row r="59" spans="1:17" s="64" customFormat="1" ht="55.2" x14ac:dyDescent="0.3">
      <c r="A59" s="181" t="s">
        <v>421</v>
      </c>
      <c r="B59" s="269" t="s">
        <v>435</v>
      </c>
      <c r="E59" s="365" t="s">
        <v>432</v>
      </c>
      <c r="F59" s="365"/>
      <c r="G59" s="365"/>
      <c r="H59" s="365"/>
      <c r="I59" s="365"/>
      <c r="J59" s="365"/>
    </row>
    <row r="60" spans="1:17" s="64" customFormat="1" ht="15.6" x14ac:dyDescent="0.3">
      <c r="A60" s="182" t="s">
        <v>425</v>
      </c>
      <c r="B60" s="174">
        <v>5</v>
      </c>
    </row>
    <row r="61" spans="1:17" s="64" customFormat="1" ht="25.8" x14ac:dyDescent="0.3">
      <c r="A61" s="182" t="s">
        <v>426</v>
      </c>
      <c r="B61" s="174">
        <v>0</v>
      </c>
      <c r="E61" s="154"/>
      <c r="F61" s="154"/>
      <c r="G61" s="154"/>
      <c r="H61" s="154"/>
      <c r="I61" s="155"/>
      <c r="L61"/>
    </row>
    <row r="62" spans="1:17" s="64" customFormat="1" ht="15.6" x14ac:dyDescent="0.3">
      <c r="A62" s="181" t="s">
        <v>428</v>
      </c>
      <c r="B62" s="174">
        <f>B57-B61</f>
        <v>1000</v>
      </c>
      <c r="E62" s="154"/>
      <c r="F62" s="154"/>
      <c r="G62" s="154"/>
      <c r="H62" s="154"/>
      <c r="I62" s="155"/>
    </row>
    <row r="63" spans="1:17" s="64" customFormat="1" ht="15.6" x14ac:dyDescent="0.3">
      <c r="A63" s="181" t="s">
        <v>307</v>
      </c>
      <c r="B63" s="174" t="s">
        <v>144</v>
      </c>
      <c r="E63" s="154"/>
      <c r="F63" s="174">
        <v>1</v>
      </c>
      <c r="G63" s="174">
        <v>2</v>
      </c>
      <c r="H63" s="174">
        <v>3</v>
      </c>
      <c r="I63" s="174">
        <v>4</v>
      </c>
      <c r="J63" s="174">
        <v>5</v>
      </c>
    </row>
    <row r="64" spans="1:17" s="64" customFormat="1" ht="16.2" thickBot="1" x14ac:dyDescent="0.35">
      <c r="A64" s="181" t="s">
        <v>431</v>
      </c>
      <c r="B64" s="174" t="s">
        <v>145</v>
      </c>
      <c r="E64" s="154"/>
      <c r="F64" s="180">
        <f>($J$63-F63+1)/(($J$63^2+$J$63)/2)</f>
        <v>0.33333333333333331</v>
      </c>
      <c r="G64" s="180">
        <f t="shared" ref="G64:J64" si="31">($J$63-G63+1)/(($J$63^2+$J$63)/2)</f>
        <v>0.26666666666666666</v>
      </c>
      <c r="H64" s="180">
        <f t="shared" si="31"/>
        <v>0.2</v>
      </c>
      <c r="I64" s="180">
        <f t="shared" si="31"/>
        <v>0.13333333333333333</v>
      </c>
      <c r="J64" s="180">
        <f t="shared" si="31"/>
        <v>6.6666666666666666E-2</v>
      </c>
    </row>
    <row r="65" spans="1:10" s="64" customFormat="1" ht="16.2" thickBot="1" x14ac:dyDescent="0.35">
      <c r="A65" s="181" t="s">
        <v>430</v>
      </c>
      <c r="B65" s="170" t="s">
        <v>146</v>
      </c>
      <c r="C65" s="171"/>
      <c r="E65" s="154"/>
      <c r="F65" s="168">
        <f>$B$62*F64</f>
        <v>333.33333333333331</v>
      </c>
      <c r="G65" s="168">
        <f t="shared" ref="G65:J65" si="32">$B$62*G64</f>
        <v>266.66666666666669</v>
      </c>
      <c r="H65" s="168">
        <f t="shared" si="32"/>
        <v>200</v>
      </c>
      <c r="I65" s="168">
        <f t="shared" si="32"/>
        <v>133.33333333333334</v>
      </c>
      <c r="J65" s="168">
        <f t="shared" si="32"/>
        <v>66.666666666666671</v>
      </c>
    </row>
    <row r="66" spans="1:10" s="64" customFormat="1" ht="36.6" thickBot="1" x14ac:dyDescent="0.35">
      <c r="A66" s="161" t="s">
        <v>419</v>
      </c>
      <c r="B66" s="159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271" t="s">
        <v>4</v>
      </c>
      <c r="I66" s="60" t="s">
        <v>232</v>
      </c>
    </row>
    <row r="67" spans="1:10" s="64" customFormat="1" ht="16.2" thickBot="1" x14ac:dyDescent="0.35">
      <c r="A67" s="181" t="s">
        <v>424</v>
      </c>
      <c r="B67" s="174">
        <v>4000</v>
      </c>
      <c r="E67" s="174">
        <f>B67</f>
        <v>4000</v>
      </c>
      <c r="F67" s="174">
        <f>E67-F75</f>
        <v>3437.5</v>
      </c>
      <c r="G67" s="174">
        <f t="shared" ref="G67:H67" si="33">F67-G75</f>
        <v>2762.5</v>
      </c>
      <c r="H67" s="174">
        <f t="shared" si="33"/>
        <v>1975</v>
      </c>
      <c r="I67" s="176">
        <f>I75</f>
        <v>900</v>
      </c>
      <c r="J67" s="174"/>
    </row>
    <row r="68" spans="1:10" s="64" customFormat="1" ht="15.6" x14ac:dyDescent="0.3">
      <c r="A68" s="181" t="s">
        <v>427</v>
      </c>
      <c r="B68" s="174" t="s">
        <v>2</v>
      </c>
      <c r="E68" s="154"/>
      <c r="F68" s="154"/>
      <c r="G68" s="154"/>
      <c r="H68" s="154"/>
      <c r="I68" s="155"/>
    </row>
    <row r="69" spans="1:10" s="64" customFormat="1" ht="69" x14ac:dyDescent="0.3">
      <c r="A69" s="181" t="s">
        <v>421</v>
      </c>
      <c r="B69" s="269" t="s">
        <v>436</v>
      </c>
      <c r="C69" s="365" t="s">
        <v>437</v>
      </c>
      <c r="D69" s="365"/>
      <c r="E69" s="365"/>
      <c r="F69" s="365"/>
      <c r="G69" s="365"/>
      <c r="H69" s="365"/>
    </row>
    <row r="70" spans="1:10" s="64" customFormat="1" ht="25.8" x14ac:dyDescent="0.3">
      <c r="A70" s="182" t="s">
        <v>438</v>
      </c>
      <c r="B70" s="174">
        <v>800</v>
      </c>
      <c r="I70"/>
    </row>
    <row r="71" spans="1:10" s="64" customFormat="1" ht="25.8" x14ac:dyDescent="0.3">
      <c r="A71" s="182" t="s">
        <v>426</v>
      </c>
      <c r="B71" s="174">
        <v>400</v>
      </c>
      <c r="E71" s="154"/>
      <c r="F71" s="154"/>
      <c r="G71" s="154"/>
      <c r="H71" s="154"/>
      <c r="I71" s="155"/>
    </row>
    <row r="72" spans="1:10" s="64" customFormat="1" ht="15.6" x14ac:dyDescent="0.3">
      <c r="A72" s="181" t="s">
        <v>428</v>
      </c>
      <c r="B72" s="174">
        <f>B67-B71</f>
        <v>3600</v>
      </c>
      <c r="E72" s="154"/>
      <c r="F72" s="154"/>
      <c r="G72" s="154"/>
      <c r="H72" s="154"/>
      <c r="I72" s="155"/>
    </row>
    <row r="73" spans="1:10" s="64" customFormat="1" ht="25.8" x14ac:dyDescent="0.3">
      <c r="A73" s="182" t="s">
        <v>439</v>
      </c>
      <c r="B73" s="174"/>
      <c r="C73" s="168"/>
      <c r="D73" s="168"/>
      <c r="E73" s="178"/>
      <c r="F73" s="168">
        <f>F7</f>
        <v>125</v>
      </c>
      <c r="G73" s="168">
        <f>G7</f>
        <v>150</v>
      </c>
      <c r="H73" s="168">
        <f>H7</f>
        <v>175</v>
      </c>
      <c r="I73" s="168">
        <v>200</v>
      </c>
    </row>
    <row r="74" spans="1:10" s="64" customFormat="1" ht="16.2" thickBot="1" x14ac:dyDescent="0.35">
      <c r="A74" s="29" t="s">
        <v>440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</v>
      </c>
      <c r="G74" s="29">
        <f>G7+F74</f>
        <v>380</v>
      </c>
      <c r="H74" s="29">
        <f>H7+G74</f>
        <v>555</v>
      </c>
      <c r="I74" s="168">
        <f>H74+I73</f>
        <v>755</v>
      </c>
    </row>
    <row r="75" spans="1:10" s="64" customFormat="1" ht="16.2" thickBot="1" x14ac:dyDescent="0.35">
      <c r="A75" s="181" t="s">
        <v>430</v>
      </c>
      <c r="B75" s="174"/>
      <c r="C75" s="168"/>
      <c r="D75" s="168"/>
      <c r="E75" s="178"/>
      <c r="F75" s="168">
        <f>IF(F74&lt;$B$70,$B$72*F73/$B$70,"write-off")</f>
        <v>562.5</v>
      </c>
      <c r="G75" s="168">
        <f t="shared" ref="G75:I75" si="34">IF(G74&lt;$B$70,$B$72*G73/$B$70,"write-off")</f>
        <v>675</v>
      </c>
      <c r="H75" s="168">
        <f t="shared" si="34"/>
        <v>787.5</v>
      </c>
      <c r="I75" s="179">
        <f t="shared" si="34"/>
        <v>900</v>
      </c>
      <c r="J75" s="162"/>
    </row>
    <row r="76" spans="1:10" s="64" customFormat="1" ht="36.6" thickBot="1" x14ac:dyDescent="0.35">
      <c r="A76" s="183" t="s">
        <v>441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232</v>
      </c>
    </row>
    <row r="77" spans="1:10" s="64" customFormat="1" ht="36" x14ac:dyDescent="0.3">
      <c r="A77" s="270" t="s">
        <v>442</v>
      </c>
      <c r="B77" s="159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9149.1666666666679</v>
      </c>
      <c r="G77" s="75">
        <f t="shared" si="35"/>
        <v>7694.5</v>
      </c>
      <c r="H77" s="75">
        <f t="shared" si="35"/>
        <v>6309.2</v>
      </c>
      <c r="I77" s="155"/>
    </row>
    <row r="78" spans="1:10" s="64" customFormat="1" x14ac:dyDescent="0.3">
      <c r="A78" s="157" t="s">
        <v>443</v>
      </c>
      <c r="B78" s="159"/>
      <c r="E78" s="154"/>
      <c r="F78" s="154"/>
      <c r="G78" s="154"/>
      <c r="H78" s="154"/>
      <c r="I78" s="155"/>
    </row>
    <row r="79" spans="1:10" s="64" customFormat="1" ht="15.6" x14ac:dyDescent="0.3">
      <c r="A79" s="181" t="s">
        <v>417</v>
      </c>
      <c r="B79" s="159"/>
      <c r="C79" s="174">
        <f>C39</f>
        <v>5000</v>
      </c>
      <c r="D79" s="174">
        <f t="shared" ref="D79:H79" si="36">D39</f>
        <v>4775</v>
      </c>
      <c r="E79" s="174">
        <f t="shared" si="36"/>
        <v>4550</v>
      </c>
      <c r="F79" s="174">
        <f t="shared" si="36"/>
        <v>4325</v>
      </c>
      <c r="G79" s="174">
        <f t="shared" si="36"/>
        <v>4100</v>
      </c>
      <c r="H79" s="174">
        <f t="shared" si="36"/>
        <v>3875</v>
      </c>
      <c r="I79" s="155"/>
    </row>
    <row r="80" spans="1:10" s="64" customFormat="1" ht="15.6" x14ac:dyDescent="0.3">
      <c r="A80" s="181" t="s">
        <v>420</v>
      </c>
      <c r="B80" s="159"/>
      <c r="C80" s="174">
        <f>C48</f>
        <v>0</v>
      </c>
      <c r="D80" s="174">
        <f t="shared" ref="D80:H80" si="37">D48</f>
        <v>2000</v>
      </c>
      <c r="E80" s="174">
        <f t="shared" si="37"/>
        <v>1200</v>
      </c>
      <c r="F80" s="174">
        <f t="shared" si="37"/>
        <v>720</v>
      </c>
      <c r="G80" s="174">
        <f t="shared" si="37"/>
        <v>432</v>
      </c>
      <c r="H80" s="174">
        <f t="shared" si="37"/>
        <v>259.2</v>
      </c>
      <c r="I80" s="155"/>
    </row>
    <row r="81" spans="1:9" s="64" customFormat="1" ht="15.6" x14ac:dyDescent="0.3">
      <c r="A81" s="181" t="s">
        <v>444</v>
      </c>
      <c r="B81" s="159"/>
      <c r="C81" s="174">
        <f>C57</f>
        <v>0</v>
      </c>
      <c r="D81" s="174">
        <f t="shared" ref="D81:H81" si="38">D57</f>
        <v>0</v>
      </c>
      <c r="E81" s="174">
        <f t="shared" si="38"/>
        <v>1000</v>
      </c>
      <c r="F81" s="174">
        <f t="shared" si="38"/>
        <v>666.66666666666674</v>
      </c>
      <c r="G81" s="174">
        <f t="shared" si="38"/>
        <v>400.00000000000006</v>
      </c>
      <c r="H81" s="174">
        <f t="shared" si="38"/>
        <v>200.00000000000006</v>
      </c>
      <c r="I81" s="155"/>
    </row>
    <row r="82" spans="1:9" s="64" customFormat="1" ht="16.2" thickBot="1" x14ac:dyDescent="0.35">
      <c r="A82" s="181" t="s">
        <v>419</v>
      </c>
      <c r="B82" s="159"/>
      <c r="C82" s="174">
        <f>C67</f>
        <v>0</v>
      </c>
      <c r="D82" s="174">
        <f t="shared" ref="D82:H82" si="39">D67</f>
        <v>0</v>
      </c>
      <c r="E82" s="174">
        <f t="shared" si="39"/>
        <v>4000</v>
      </c>
      <c r="F82" s="174">
        <f t="shared" si="39"/>
        <v>3437.5</v>
      </c>
      <c r="G82" s="174">
        <f t="shared" si="39"/>
        <v>2762.5</v>
      </c>
      <c r="H82" s="174">
        <f t="shared" si="39"/>
        <v>1975</v>
      </c>
      <c r="I82" s="155"/>
    </row>
    <row r="83" spans="1:9" s="64" customFormat="1" ht="18.600000000000001" thickBot="1" x14ac:dyDescent="0.35">
      <c r="A83" s="156" t="s">
        <v>445</v>
      </c>
      <c r="B83" s="159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1600.8333333333333</v>
      </c>
      <c r="G83" s="75">
        <f t="shared" si="40"/>
        <v>1454.6666666666667</v>
      </c>
      <c r="H83" s="75">
        <f t="shared" si="40"/>
        <v>1385.3</v>
      </c>
      <c r="I83" s="184">
        <f>SUM(C83:H83)</f>
        <v>5690.8</v>
      </c>
    </row>
    <row r="84" spans="1:9" s="64" customFormat="1" x14ac:dyDescent="0.3">
      <c r="A84" s="157" t="s">
        <v>443</v>
      </c>
      <c r="B84" s="159"/>
      <c r="E84" s="154"/>
      <c r="F84" s="154"/>
      <c r="G84" s="154"/>
      <c r="H84" s="154"/>
      <c r="I84" s="155"/>
    </row>
    <row r="85" spans="1:9" s="64" customFormat="1" ht="15.6" x14ac:dyDescent="0.3">
      <c r="A85" s="181" t="s">
        <v>417</v>
      </c>
      <c r="B85" s="159"/>
      <c r="C85" s="174">
        <f t="shared" ref="C85:H85" si="41">C46</f>
        <v>0</v>
      </c>
      <c r="D85" s="174">
        <f t="shared" si="41"/>
        <v>225</v>
      </c>
      <c r="E85" s="174">
        <f t="shared" si="41"/>
        <v>225</v>
      </c>
      <c r="F85" s="174">
        <f t="shared" si="41"/>
        <v>225</v>
      </c>
      <c r="G85" s="174">
        <f t="shared" si="41"/>
        <v>225</v>
      </c>
      <c r="H85" s="174">
        <f t="shared" si="41"/>
        <v>225</v>
      </c>
      <c r="I85" s="155"/>
    </row>
    <row r="86" spans="1:9" s="64" customFormat="1" ht="15.6" x14ac:dyDescent="0.3">
      <c r="A86" s="181" t="s">
        <v>420</v>
      </c>
      <c r="B86" s="159"/>
      <c r="C86" s="174">
        <f t="shared" ref="C86:H86" si="42">C54</f>
        <v>0</v>
      </c>
      <c r="D86" s="174">
        <f t="shared" si="42"/>
        <v>0</v>
      </c>
      <c r="E86" s="174">
        <f t="shared" si="42"/>
        <v>800</v>
      </c>
      <c r="F86" s="174">
        <f t="shared" si="42"/>
        <v>480</v>
      </c>
      <c r="G86" s="174">
        <f t="shared" si="42"/>
        <v>288</v>
      </c>
      <c r="H86" s="174">
        <f t="shared" si="42"/>
        <v>172.8</v>
      </c>
      <c r="I86" s="155"/>
    </row>
    <row r="87" spans="1:9" s="64" customFormat="1" ht="15.6" x14ac:dyDescent="0.3">
      <c r="A87" s="181" t="s">
        <v>444</v>
      </c>
      <c r="B87" s="159"/>
      <c r="C87" s="174">
        <f t="shared" ref="C87:H87" si="43">C65</f>
        <v>0</v>
      </c>
      <c r="D87" s="174">
        <f t="shared" si="43"/>
        <v>0</v>
      </c>
      <c r="E87" s="174">
        <f t="shared" si="43"/>
        <v>0</v>
      </c>
      <c r="F87" s="174">
        <f t="shared" si="43"/>
        <v>333.33333333333331</v>
      </c>
      <c r="G87" s="174">
        <f t="shared" si="43"/>
        <v>266.66666666666669</v>
      </c>
      <c r="H87" s="174">
        <f t="shared" si="43"/>
        <v>200</v>
      </c>
      <c r="I87" s="155"/>
    </row>
    <row r="88" spans="1:9" s="64" customFormat="1" ht="16.2" thickBot="1" x14ac:dyDescent="0.35">
      <c r="A88" s="181" t="s">
        <v>419</v>
      </c>
      <c r="B88" s="159"/>
      <c r="C88" s="174">
        <f t="shared" ref="C88:H88" si="44">C75</f>
        <v>0</v>
      </c>
      <c r="D88" s="174">
        <f t="shared" si="44"/>
        <v>0</v>
      </c>
      <c r="E88" s="174">
        <f t="shared" si="44"/>
        <v>0</v>
      </c>
      <c r="F88" s="174">
        <f t="shared" si="44"/>
        <v>562.5</v>
      </c>
      <c r="G88" s="174">
        <f t="shared" si="44"/>
        <v>675</v>
      </c>
      <c r="H88" s="174">
        <f t="shared" si="44"/>
        <v>787.5</v>
      </c>
      <c r="I88" s="155"/>
    </row>
    <row r="89" spans="1:9" s="64" customFormat="1" ht="87" thickBot="1" x14ac:dyDescent="0.35">
      <c r="A89" s="173" t="s">
        <v>446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232</v>
      </c>
    </row>
    <row r="90" spans="1:9" s="64" customFormat="1" ht="21.6" thickBot="1" x14ac:dyDescent="0.35">
      <c r="A90" s="229" t="s">
        <v>482</v>
      </c>
      <c r="B90" s="159"/>
      <c r="E90" s="154"/>
      <c r="F90" s="154"/>
      <c r="G90" s="154"/>
      <c r="H90" s="154"/>
      <c r="I90" s="155"/>
    </row>
    <row r="91" spans="1:9" s="64" customFormat="1" ht="15.6" x14ac:dyDescent="0.3">
      <c r="A91" s="181" t="s">
        <v>447</v>
      </c>
      <c r="B91" s="159"/>
      <c r="C91" s="174">
        <f t="shared" ref="C91:H91" si="45">C7</f>
        <v>0</v>
      </c>
      <c r="D91" s="174">
        <f t="shared" si="45"/>
        <v>75</v>
      </c>
      <c r="E91" s="174">
        <f t="shared" si="45"/>
        <v>30</v>
      </c>
      <c r="F91" s="174">
        <f t="shared" si="45"/>
        <v>125</v>
      </c>
      <c r="G91" s="174">
        <f t="shared" si="45"/>
        <v>150</v>
      </c>
      <c r="H91" s="174">
        <f t="shared" si="45"/>
        <v>175</v>
      </c>
      <c r="I91" s="185">
        <f>SUM(C91:H91)</f>
        <v>555</v>
      </c>
    </row>
    <row r="92" spans="1:9" s="64" customFormat="1" ht="15.6" x14ac:dyDescent="0.3">
      <c r="A92" s="181" t="s">
        <v>448</v>
      </c>
      <c r="B92" s="159"/>
      <c r="C92" s="186">
        <f>C91/365</f>
        <v>0</v>
      </c>
      <c r="D92" s="186">
        <f t="shared" ref="D92:H92" si="46">D91/365</f>
        <v>0.20547945205479451</v>
      </c>
      <c r="E92" s="186">
        <f t="shared" si="46"/>
        <v>8.2191780821917804E-2</v>
      </c>
      <c r="F92" s="186">
        <f t="shared" si="46"/>
        <v>0.34246575342465752</v>
      </c>
      <c r="G92" s="186">
        <f t="shared" si="46"/>
        <v>0.41095890410958902</v>
      </c>
      <c r="H92" s="186">
        <f t="shared" si="46"/>
        <v>0.47945205479452052</v>
      </c>
      <c r="I92" s="155"/>
    </row>
    <row r="93" spans="1:9" s="64" customFormat="1" ht="31.2" x14ac:dyDescent="0.3">
      <c r="A93" s="182" t="s">
        <v>449</v>
      </c>
      <c r="B93" s="159"/>
      <c r="C93" s="188">
        <f>C92*12</f>
        <v>0</v>
      </c>
      <c r="D93" s="189">
        <f t="shared" ref="D93:H93" si="47">D92*12</f>
        <v>2.4657534246575343</v>
      </c>
      <c r="E93" s="189">
        <f t="shared" si="47"/>
        <v>0.98630136986301364</v>
      </c>
      <c r="F93" s="189">
        <f t="shared" si="47"/>
        <v>4.10958904109589</v>
      </c>
      <c r="G93" s="189">
        <f t="shared" si="47"/>
        <v>4.9315068493150687</v>
      </c>
      <c r="H93" s="189">
        <f t="shared" si="47"/>
        <v>5.7534246575342465</v>
      </c>
      <c r="I93" s="155"/>
    </row>
    <row r="94" spans="1:9" s="64" customFormat="1" ht="31.2" x14ac:dyDescent="0.3">
      <c r="A94" s="182" t="s">
        <v>452</v>
      </c>
      <c r="B94" s="159"/>
      <c r="C94" s="188">
        <f t="shared" ref="C94:H94" si="48">C16</f>
        <v>0</v>
      </c>
      <c r="D94" s="188">
        <f t="shared" si="48"/>
        <v>136.66666666666666</v>
      </c>
      <c r="E94" s="188">
        <f t="shared" si="48"/>
        <v>217.7</v>
      </c>
      <c r="F94" s="188">
        <f t="shared" si="48"/>
        <v>150.202</v>
      </c>
      <c r="G94" s="188">
        <f t="shared" si="48"/>
        <v>153.26010000000002</v>
      </c>
      <c r="H94" s="188">
        <f t="shared" si="48"/>
        <v>156.83370450000004</v>
      </c>
      <c r="I94" s="155"/>
    </row>
    <row r="95" spans="1:9" s="64" customFormat="1" ht="31.8" thickBot="1" x14ac:dyDescent="0.35">
      <c r="A95" s="182" t="s">
        <v>453</v>
      </c>
      <c r="B95" s="159"/>
      <c r="C95" s="188">
        <f>C94*C93</f>
        <v>0</v>
      </c>
      <c r="D95" s="188">
        <f t="shared" ref="D95:H95" si="49">D94*D93</f>
        <v>336.98630136986299</v>
      </c>
      <c r="E95" s="188">
        <f t="shared" si="49"/>
        <v>214.71780821917807</v>
      </c>
      <c r="F95" s="188">
        <f t="shared" si="49"/>
        <v>617.26849315068489</v>
      </c>
      <c r="G95" s="188">
        <f t="shared" si="49"/>
        <v>755.80323287671251</v>
      </c>
      <c r="H95" s="188">
        <f t="shared" si="49"/>
        <v>902.33090260273991</v>
      </c>
      <c r="I95" s="155"/>
    </row>
    <row r="96" spans="1:9" s="64" customFormat="1" ht="26.4" thickBot="1" x14ac:dyDescent="0.35">
      <c r="A96" s="161" t="s">
        <v>455</v>
      </c>
      <c r="B96" s="159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271" t="s">
        <v>4</v>
      </c>
      <c r="I96" s="155"/>
    </row>
    <row r="97" spans="1:9" s="64" customFormat="1" ht="15.6" x14ac:dyDescent="0.3">
      <c r="A97" s="181" t="s">
        <v>613</v>
      </c>
      <c r="B97" s="159"/>
      <c r="C97" s="174">
        <f>C91</f>
        <v>0</v>
      </c>
      <c r="D97" s="174">
        <f t="shared" ref="D97:H97" si="50">D91</f>
        <v>75</v>
      </c>
      <c r="E97" s="174">
        <f t="shared" si="50"/>
        <v>30</v>
      </c>
      <c r="F97" s="174">
        <f t="shared" si="50"/>
        <v>125</v>
      </c>
      <c r="G97" s="174">
        <f t="shared" si="50"/>
        <v>150</v>
      </c>
      <c r="H97" s="174">
        <f t="shared" si="50"/>
        <v>175</v>
      </c>
      <c r="I97" s="185">
        <f>SUM(C97:H97)</f>
        <v>555</v>
      </c>
    </row>
    <row r="98" spans="1:9" s="64" customFormat="1" ht="15.6" x14ac:dyDescent="0.3">
      <c r="A98" s="181" t="s">
        <v>614</v>
      </c>
      <c r="B98" s="159"/>
      <c r="C98" s="186">
        <f>C92</f>
        <v>0</v>
      </c>
      <c r="D98" s="186">
        <f t="shared" ref="D98:H98" si="51">D92</f>
        <v>0.20547945205479451</v>
      </c>
      <c r="E98" s="186">
        <f t="shared" si="51"/>
        <v>8.2191780821917804E-2</v>
      </c>
      <c r="F98" s="186">
        <f t="shared" si="51"/>
        <v>0.34246575342465752</v>
      </c>
      <c r="G98" s="186">
        <f t="shared" si="51"/>
        <v>0.41095890410958902</v>
      </c>
      <c r="H98" s="186">
        <f t="shared" si="51"/>
        <v>0.47945205479452052</v>
      </c>
      <c r="I98" s="155"/>
    </row>
    <row r="99" spans="1:9" s="64" customFormat="1" ht="46.8" x14ac:dyDescent="0.3">
      <c r="A99" s="182" t="s">
        <v>615</v>
      </c>
      <c r="B99" s="159"/>
      <c r="C99" s="188">
        <f>C98*12</f>
        <v>0</v>
      </c>
      <c r="D99" s="189">
        <f t="shared" ref="D99" si="52">D98*12</f>
        <v>2.4657534246575343</v>
      </c>
      <c r="E99" s="189">
        <f t="shared" ref="E99" si="53">E98*12</f>
        <v>0.98630136986301364</v>
      </c>
      <c r="F99" s="189">
        <f t="shared" ref="F99" si="54">F98*12</f>
        <v>4.10958904109589</v>
      </c>
      <c r="G99" s="189">
        <f t="shared" ref="G99" si="55">G98*12</f>
        <v>4.9315068493150687</v>
      </c>
      <c r="H99" s="189">
        <f t="shared" ref="H99" si="56">H98*12</f>
        <v>5.7534246575342465</v>
      </c>
      <c r="I99" s="155"/>
    </row>
    <row r="100" spans="1:9" s="64" customFormat="1" ht="31.2" x14ac:dyDescent="0.3">
      <c r="A100" s="182" t="s">
        <v>616</v>
      </c>
      <c r="B100" s="159"/>
      <c r="C100" s="188">
        <f t="shared" ref="C100:H100" si="57">C15</f>
        <v>0</v>
      </c>
      <c r="D100" s="188">
        <f t="shared" si="57"/>
        <v>110</v>
      </c>
      <c r="E100" s="188">
        <f t="shared" si="57"/>
        <v>117.7</v>
      </c>
      <c r="F100" s="188">
        <f t="shared" si="57"/>
        <v>124.76200000000001</v>
      </c>
      <c r="G100" s="188">
        <f t="shared" si="57"/>
        <v>131.00010000000003</v>
      </c>
      <c r="H100" s="188">
        <f t="shared" si="57"/>
        <v>136.89510450000003</v>
      </c>
      <c r="I100" s="155"/>
    </row>
    <row r="101" spans="1:9" s="64" customFormat="1" ht="31.8" thickBot="1" x14ac:dyDescent="0.35">
      <c r="A101" s="182" t="s">
        <v>617</v>
      </c>
      <c r="B101" s="159"/>
      <c r="C101" s="188">
        <f>C100*C99</f>
        <v>0</v>
      </c>
      <c r="D101" s="188">
        <f t="shared" ref="D101" si="58">D100*D99</f>
        <v>271.23287671232879</v>
      </c>
      <c r="E101" s="188">
        <f t="shared" ref="E101" si="59">E100*E99</f>
        <v>116.08767123287672</v>
      </c>
      <c r="F101" s="188">
        <f t="shared" ref="F101" si="60">F100*F99</f>
        <v>512.72054794520545</v>
      </c>
      <c r="G101" s="188">
        <f t="shared" ref="G101" si="61">G100*G99</f>
        <v>646.02789041095912</v>
      </c>
      <c r="H101" s="188">
        <f t="shared" ref="H101" si="62">H100*H99</f>
        <v>787.61566972602759</v>
      </c>
      <c r="I101" s="155"/>
    </row>
    <row r="102" spans="1:9" s="64" customFormat="1" ht="26.4" thickBot="1" x14ac:dyDescent="0.35">
      <c r="A102" s="161" t="s">
        <v>456</v>
      </c>
      <c r="B102" s="159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271" t="s">
        <v>4</v>
      </c>
      <c r="I102" s="155"/>
    </row>
    <row r="103" spans="1:9" s="64" customFormat="1" ht="31.2" x14ac:dyDescent="0.3">
      <c r="A103" s="182" t="s">
        <v>457</v>
      </c>
      <c r="B103" s="187"/>
      <c r="C103" s="188">
        <f t="shared" ref="C103:H103" si="63">-C14/12</f>
        <v>0</v>
      </c>
      <c r="D103" s="188">
        <f t="shared" si="63"/>
        <v>687.5</v>
      </c>
      <c r="E103" s="188">
        <f t="shared" si="63"/>
        <v>294.25</v>
      </c>
      <c r="F103" s="188">
        <f t="shared" si="63"/>
        <v>1299.6041666666667</v>
      </c>
      <c r="G103" s="188">
        <f t="shared" si="63"/>
        <v>1637.5012500000003</v>
      </c>
      <c r="H103" s="188">
        <f t="shared" si="63"/>
        <v>1996.3869406250005</v>
      </c>
      <c r="I103" s="155"/>
    </row>
    <row r="104" spans="1:9" s="64" customFormat="1" ht="31.8" thickBot="1" x14ac:dyDescent="0.35">
      <c r="A104" s="182" t="s">
        <v>458</v>
      </c>
      <c r="B104" s="187" t="s">
        <v>459</v>
      </c>
      <c r="C104" s="188">
        <f>C103</f>
        <v>0</v>
      </c>
      <c r="D104" s="188">
        <f>D103</f>
        <v>687.5</v>
      </c>
      <c r="E104" s="188">
        <f t="shared" ref="E104:H104" si="64">E103</f>
        <v>294.25</v>
      </c>
      <c r="F104" s="188">
        <f t="shared" si="64"/>
        <v>1299.6041666666667</v>
      </c>
      <c r="G104" s="188">
        <f t="shared" si="64"/>
        <v>1637.5012500000003</v>
      </c>
      <c r="H104" s="188">
        <f t="shared" si="64"/>
        <v>1996.3869406250005</v>
      </c>
      <c r="I104" s="155"/>
    </row>
    <row r="105" spans="1:9" s="64" customFormat="1" ht="42.6" thickBot="1" x14ac:dyDescent="0.35">
      <c r="A105" s="229" t="s">
        <v>460</v>
      </c>
      <c r="B105" s="159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271" t="s">
        <v>4</v>
      </c>
      <c r="I105" s="155"/>
    </row>
    <row r="106" spans="1:9" s="64" customFormat="1" ht="15.6" x14ac:dyDescent="0.3">
      <c r="A106" s="181" t="s">
        <v>462</v>
      </c>
      <c r="B106" s="187"/>
      <c r="C106" s="188">
        <f t="shared" ref="C106:H106" si="65">C10</f>
        <v>0</v>
      </c>
      <c r="D106" s="188">
        <f t="shared" si="65"/>
        <v>15000</v>
      </c>
      <c r="E106" s="188">
        <f t="shared" si="65"/>
        <v>6300</v>
      </c>
      <c r="F106" s="188">
        <f t="shared" si="65"/>
        <v>27431.25</v>
      </c>
      <c r="G106" s="188">
        <f t="shared" si="65"/>
        <v>34234.200000000004</v>
      </c>
      <c r="H106" s="188">
        <f t="shared" si="65"/>
        <v>41537.495999999999</v>
      </c>
      <c r="I106" s="155"/>
    </row>
    <row r="107" spans="1:9" s="64" customFormat="1" ht="41.4" x14ac:dyDescent="0.3">
      <c r="A107" s="182" t="s">
        <v>463</v>
      </c>
      <c r="B107" s="111">
        <v>0.3</v>
      </c>
      <c r="C107" s="188">
        <f>$B$107*C106</f>
        <v>0</v>
      </c>
      <c r="D107" s="188">
        <f t="shared" ref="D107:H107" si="66">$B$107*D106</f>
        <v>4500</v>
      </c>
      <c r="E107" s="188">
        <f t="shared" si="66"/>
        <v>1890</v>
      </c>
      <c r="F107" s="188">
        <f t="shared" si="66"/>
        <v>8229.375</v>
      </c>
      <c r="G107" s="188">
        <f t="shared" si="66"/>
        <v>10270.26</v>
      </c>
      <c r="H107" s="188">
        <f t="shared" si="66"/>
        <v>12461.248799999999</v>
      </c>
      <c r="I107" s="190" t="s">
        <v>471</v>
      </c>
    </row>
    <row r="108" spans="1:9" ht="31.2" x14ac:dyDescent="0.3">
      <c r="A108" s="182" t="s">
        <v>464</v>
      </c>
      <c r="B108" s="111">
        <v>0.2</v>
      </c>
      <c r="C108" s="188">
        <f>$B$108*C106</f>
        <v>0</v>
      </c>
      <c r="D108" s="188">
        <f t="shared" ref="D108:H108" si="67">$B$108*D106</f>
        <v>3000</v>
      </c>
      <c r="E108" s="188">
        <f t="shared" si="67"/>
        <v>1260</v>
      </c>
      <c r="F108" s="188">
        <f t="shared" si="67"/>
        <v>5486.25</v>
      </c>
      <c r="G108" s="188">
        <f t="shared" si="67"/>
        <v>6846.8400000000011</v>
      </c>
      <c r="H108" s="188">
        <f t="shared" si="67"/>
        <v>8307.4992000000002</v>
      </c>
      <c r="I108" s="190" t="s">
        <v>470</v>
      </c>
    </row>
    <row r="109" spans="1:9" ht="29.4" customHeight="1" x14ac:dyDescent="0.3">
      <c r="A109" s="182" t="s">
        <v>465</v>
      </c>
      <c r="B109" s="111">
        <v>0.2</v>
      </c>
      <c r="C109" s="188">
        <f>C106*$B$109</f>
        <v>0</v>
      </c>
      <c r="D109" s="188">
        <f t="shared" ref="D109:H109" si="68">D106*$B$109</f>
        <v>3000</v>
      </c>
      <c r="E109" s="188">
        <f t="shared" si="68"/>
        <v>1260</v>
      </c>
      <c r="F109" s="188">
        <f t="shared" si="68"/>
        <v>5486.25</v>
      </c>
      <c r="G109" s="188">
        <f t="shared" si="68"/>
        <v>6846.8400000000011</v>
      </c>
      <c r="H109" s="188">
        <f t="shared" si="68"/>
        <v>8307.4992000000002</v>
      </c>
      <c r="I109" s="190" t="s">
        <v>469</v>
      </c>
    </row>
    <row r="110" spans="1:9" ht="29.4" customHeight="1" x14ac:dyDescent="0.3">
      <c r="A110" s="182" t="s">
        <v>466</v>
      </c>
      <c r="B110" s="193">
        <v>60</v>
      </c>
      <c r="C110" s="188">
        <f>C108*$B$110/365</f>
        <v>0</v>
      </c>
      <c r="D110" s="188">
        <f t="shared" ref="D110:H110" si="69">D108*$B$110/365</f>
        <v>493.15068493150687</v>
      </c>
      <c r="E110" s="188">
        <f t="shared" si="69"/>
        <v>207.12328767123287</v>
      </c>
      <c r="F110" s="188">
        <f t="shared" si="69"/>
        <v>901.84931506849318</v>
      </c>
      <c r="G110" s="188">
        <f t="shared" si="69"/>
        <v>1125.5079452054797</v>
      </c>
      <c r="H110" s="188">
        <f t="shared" si="69"/>
        <v>1365.6163068493152</v>
      </c>
      <c r="I110" s="190"/>
    </row>
    <row r="111" spans="1:9" ht="29.4" customHeight="1" x14ac:dyDescent="0.3">
      <c r="A111" s="182" t="s">
        <v>467</v>
      </c>
      <c r="B111" s="193">
        <v>30</v>
      </c>
      <c r="C111" s="188">
        <f>C108*$B$111/365</f>
        <v>0</v>
      </c>
      <c r="D111" s="188">
        <f t="shared" ref="D111:H111" si="70">D108*$B$111/365</f>
        <v>246.57534246575344</v>
      </c>
      <c r="E111" s="188">
        <f t="shared" si="70"/>
        <v>103.56164383561644</v>
      </c>
      <c r="F111" s="188">
        <f t="shared" si="70"/>
        <v>450.92465753424659</v>
      </c>
      <c r="G111" s="188">
        <f t="shared" si="70"/>
        <v>562.75397260273985</v>
      </c>
      <c r="H111" s="188">
        <f t="shared" si="70"/>
        <v>682.80815342465758</v>
      </c>
      <c r="I111" s="190"/>
    </row>
    <row r="112" spans="1:9" ht="31.8" thickBot="1" x14ac:dyDescent="0.35">
      <c r="A112" s="195" t="s">
        <v>468</v>
      </c>
      <c r="B112" s="4"/>
      <c r="C112" s="192">
        <f>C111+C110</f>
        <v>0</v>
      </c>
      <c r="D112" s="192">
        <f t="shared" ref="D112:H112" si="71">D111+D110</f>
        <v>739.72602739726028</v>
      </c>
      <c r="E112" s="192">
        <f t="shared" si="71"/>
        <v>310.6849315068493</v>
      </c>
      <c r="F112" s="192">
        <f t="shared" si="71"/>
        <v>1352.7739726027398</v>
      </c>
      <c r="G112" s="192">
        <f t="shared" si="71"/>
        <v>1688.2619178082196</v>
      </c>
      <c r="H112" s="192">
        <f t="shared" si="71"/>
        <v>2048.4244602739727</v>
      </c>
    </row>
    <row r="113" spans="1:9" ht="42.6" thickBot="1" x14ac:dyDescent="0.35">
      <c r="A113" s="229" t="s">
        <v>461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271" t="s">
        <v>4</v>
      </c>
    </row>
    <row r="114" spans="1:9" ht="15.6" x14ac:dyDescent="0.3">
      <c r="A114" s="191" t="s">
        <v>472</v>
      </c>
      <c r="D114" s="188"/>
      <c r="E114" s="188"/>
      <c r="F114" s="188"/>
      <c r="G114" s="188"/>
      <c r="H114" s="188"/>
    </row>
    <row r="115" spans="1:9" ht="25.8" x14ac:dyDescent="0.3">
      <c r="A115" s="182" t="s">
        <v>473</v>
      </c>
      <c r="B115" s="111">
        <v>0.3</v>
      </c>
      <c r="C115" s="188">
        <f>$B$115*C106</f>
        <v>0</v>
      </c>
      <c r="D115" s="188">
        <f t="shared" ref="D115:H115" si="72">$B$115*D106</f>
        <v>4500</v>
      </c>
      <c r="E115" s="188">
        <f t="shared" si="72"/>
        <v>1890</v>
      </c>
      <c r="F115" s="188">
        <f t="shared" si="72"/>
        <v>8229.375</v>
      </c>
      <c r="G115" s="188">
        <f t="shared" si="72"/>
        <v>10270.26</v>
      </c>
      <c r="H115" s="188">
        <f t="shared" si="72"/>
        <v>12461.248799999999</v>
      </c>
    </row>
    <row r="116" spans="1:9" ht="31.2" x14ac:dyDescent="0.3">
      <c r="A116" s="182" t="s">
        <v>474</v>
      </c>
      <c r="B116" s="193">
        <v>30</v>
      </c>
      <c r="C116" s="188">
        <f>C115*$B$116/365</f>
        <v>0</v>
      </c>
      <c r="D116" s="188">
        <f t="shared" ref="D116:H116" si="73">D115*$B$116/365</f>
        <v>369.86301369863014</v>
      </c>
      <c r="E116" s="188">
        <f t="shared" si="73"/>
        <v>155.34246575342465</v>
      </c>
      <c r="F116" s="188">
        <f t="shared" si="73"/>
        <v>676.38698630136992</v>
      </c>
      <c r="G116" s="188">
        <f t="shared" si="73"/>
        <v>844.13095890410955</v>
      </c>
      <c r="H116" s="188">
        <f t="shared" si="73"/>
        <v>1024.2122301369861</v>
      </c>
    </row>
    <row r="117" spans="1:9" ht="15.6" x14ac:dyDescent="0.3">
      <c r="A117" s="191" t="s">
        <v>238</v>
      </c>
      <c r="B117" s="193"/>
      <c r="C117" s="188"/>
      <c r="D117" s="188"/>
      <c r="E117" s="188"/>
      <c r="F117" s="188"/>
      <c r="G117" s="188"/>
      <c r="H117" s="188"/>
    </row>
    <row r="118" spans="1:9" ht="31.2" x14ac:dyDescent="0.3">
      <c r="A118" s="182" t="s">
        <v>475</v>
      </c>
      <c r="B118" s="111">
        <v>0.7</v>
      </c>
      <c r="C118" s="188">
        <f t="shared" ref="C118:H118" si="74">-$B$118*C13</f>
        <v>0</v>
      </c>
      <c r="D118" s="188">
        <f t="shared" si="74"/>
        <v>1400</v>
      </c>
      <c r="E118" s="188">
        <f t="shared" si="74"/>
        <v>2100</v>
      </c>
      <c r="F118" s="188">
        <f t="shared" si="74"/>
        <v>2226</v>
      </c>
      <c r="G118" s="188">
        <f t="shared" si="74"/>
        <v>2337.2999999999997</v>
      </c>
      <c r="H118" s="188">
        <f t="shared" si="74"/>
        <v>2442.4784999999997</v>
      </c>
    </row>
    <row r="119" spans="1:9" ht="31.2" x14ac:dyDescent="0.3">
      <c r="A119" s="182" t="s">
        <v>476</v>
      </c>
      <c r="B119" s="111">
        <v>0.3</v>
      </c>
      <c r="C119" s="188">
        <f t="shared" ref="C119:H119" si="75">-$B$119*C13</f>
        <v>0</v>
      </c>
      <c r="D119" s="188">
        <f t="shared" si="75"/>
        <v>600</v>
      </c>
      <c r="E119" s="188">
        <f t="shared" si="75"/>
        <v>900</v>
      </c>
      <c r="F119" s="188">
        <f t="shared" si="75"/>
        <v>954</v>
      </c>
      <c r="G119" s="188">
        <f t="shared" si="75"/>
        <v>1001.6999999999999</v>
      </c>
      <c r="H119" s="188">
        <f t="shared" si="75"/>
        <v>1046.7764999999999</v>
      </c>
    </row>
    <row r="120" spans="1:9" ht="31.2" x14ac:dyDescent="0.3">
      <c r="A120" s="182" t="s">
        <v>477</v>
      </c>
      <c r="B120" s="193">
        <v>15</v>
      </c>
      <c r="C120" s="188">
        <f>(C118/12)*($B$120/30)</f>
        <v>0</v>
      </c>
      <c r="D120" s="188">
        <f>(D118/12)*($B$120/30)</f>
        <v>58.333333333333336</v>
      </c>
      <c r="E120" s="188">
        <f t="shared" ref="E120:H120" si="76">(E118/12)*($B$120/30)</f>
        <v>87.5</v>
      </c>
      <c r="F120" s="188">
        <f t="shared" si="76"/>
        <v>92.75</v>
      </c>
      <c r="G120" s="188">
        <f t="shared" si="76"/>
        <v>97.387499999999989</v>
      </c>
      <c r="H120" s="188">
        <f t="shared" si="76"/>
        <v>101.76993749999998</v>
      </c>
    </row>
    <row r="121" spans="1:9" ht="31.2" x14ac:dyDescent="0.3">
      <c r="A121" s="182" t="s">
        <v>478</v>
      </c>
      <c r="B121" s="193">
        <v>20</v>
      </c>
      <c r="C121" s="188">
        <f>(C119/12)*($B$121/30)</f>
        <v>0</v>
      </c>
      <c r="D121" s="188">
        <f>(D119/12)*($B$121/30)</f>
        <v>33.333333333333329</v>
      </c>
      <c r="E121" s="188">
        <f t="shared" ref="E121:H121" si="77">(E119/12)*($B$121/30)</f>
        <v>50</v>
      </c>
      <c r="F121" s="188">
        <f t="shared" si="77"/>
        <v>53</v>
      </c>
      <c r="G121" s="188">
        <f t="shared" si="77"/>
        <v>55.649999999999991</v>
      </c>
      <c r="H121" s="188">
        <f t="shared" si="77"/>
        <v>58.154249999999998</v>
      </c>
    </row>
    <row r="122" spans="1:9" ht="31.8" thickBot="1" x14ac:dyDescent="0.35">
      <c r="A122" s="195" t="s">
        <v>479</v>
      </c>
      <c r="B122" s="193"/>
      <c r="C122" s="192">
        <f>C121+C120+C116</f>
        <v>0</v>
      </c>
      <c r="D122" s="192">
        <f t="shared" ref="D122:H122" si="78">D121+D120+D116</f>
        <v>461.52968036529683</v>
      </c>
      <c r="E122" s="192">
        <f t="shared" si="78"/>
        <v>292.84246575342468</v>
      </c>
      <c r="F122" s="192">
        <f t="shared" si="78"/>
        <v>822.13698630136992</v>
      </c>
      <c r="G122" s="192">
        <f t="shared" si="78"/>
        <v>997.16845890410946</v>
      </c>
      <c r="H122" s="192">
        <f t="shared" si="78"/>
        <v>1184.1364176369862</v>
      </c>
    </row>
    <row r="123" spans="1:9" ht="58.2" thickBot="1" x14ac:dyDescent="0.35">
      <c r="A123" s="173" t="s">
        <v>480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232</v>
      </c>
    </row>
    <row r="124" spans="1:9" ht="15.6" x14ac:dyDescent="0.3">
      <c r="A124" s="182" t="s">
        <v>481</v>
      </c>
      <c r="B124" s="193"/>
      <c r="C124" s="188">
        <f>C101</f>
        <v>0</v>
      </c>
      <c r="D124" s="188">
        <f t="shared" ref="D124:H124" si="79">D101</f>
        <v>271.23287671232879</v>
      </c>
      <c r="E124" s="188">
        <f t="shared" si="79"/>
        <v>116.08767123287672</v>
      </c>
      <c r="F124" s="188">
        <f t="shared" si="79"/>
        <v>512.72054794520545</v>
      </c>
      <c r="G124" s="188">
        <f t="shared" si="79"/>
        <v>646.02789041095912</v>
      </c>
      <c r="H124" s="188">
        <f t="shared" si="79"/>
        <v>787.61566972602759</v>
      </c>
      <c r="I124" s="188"/>
    </row>
    <row r="125" spans="1:9" ht="15.6" x14ac:dyDescent="0.3">
      <c r="A125" s="182" t="s">
        <v>483</v>
      </c>
      <c r="B125" s="193"/>
      <c r="C125" s="188">
        <f>C95</f>
        <v>0</v>
      </c>
      <c r="D125" s="188">
        <f t="shared" ref="D125:H125" si="80">D95</f>
        <v>336.98630136986299</v>
      </c>
      <c r="E125" s="188">
        <f t="shared" si="80"/>
        <v>214.71780821917807</v>
      </c>
      <c r="F125" s="188">
        <f t="shared" si="80"/>
        <v>617.26849315068489</v>
      </c>
      <c r="G125" s="188">
        <f t="shared" si="80"/>
        <v>755.80323287671251</v>
      </c>
      <c r="H125" s="188">
        <f t="shared" si="80"/>
        <v>902.33090260273991</v>
      </c>
      <c r="I125" s="188"/>
    </row>
    <row r="126" spans="1:9" ht="15.6" x14ac:dyDescent="0.3">
      <c r="A126" s="182" t="s">
        <v>484</v>
      </c>
      <c r="B126" s="193"/>
      <c r="C126" s="188">
        <f>C104</f>
        <v>0</v>
      </c>
      <c r="D126" s="188">
        <f t="shared" ref="D126:H126" si="81">D104</f>
        <v>687.5</v>
      </c>
      <c r="E126" s="188">
        <f t="shared" si="81"/>
        <v>294.25</v>
      </c>
      <c r="F126" s="188">
        <f t="shared" si="81"/>
        <v>1299.6041666666667</v>
      </c>
      <c r="G126" s="188">
        <f t="shared" si="81"/>
        <v>1637.5012500000003</v>
      </c>
      <c r="H126" s="188">
        <f t="shared" si="81"/>
        <v>1996.3869406250005</v>
      </c>
      <c r="I126" s="188"/>
    </row>
    <row r="127" spans="1:9" ht="15.6" x14ac:dyDescent="0.3">
      <c r="A127" s="182" t="s">
        <v>485</v>
      </c>
      <c r="B127" s="193"/>
      <c r="C127" s="188">
        <f>C112</f>
        <v>0</v>
      </c>
      <c r="D127" s="188">
        <f t="shared" ref="D127:H127" si="82">D112</f>
        <v>739.72602739726028</v>
      </c>
      <c r="E127" s="188">
        <f t="shared" si="82"/>
        <v>310.6849315068493</v>
      </c>
      <c r="F127" s="188">
        <f t="shared" si="82"/>
        <v>1352.7739726027398</v>
      </c>
      <c r="G127" s="188">
        <f t="shared" si="82"/>
        <v>1688.2619178082196</v>
      </c>
      <c r="H127" s="188">
        <f t="shared" si="82"/>
        <v>2048.4244602739727</v>
      </c>
      <c r="I127" s="188"/>
    </row>
    <row r="128" spans="1:9" ht="16.2" thickBot="1" x14ac:dyDescent="0.35">
      <c r="A128" s="182" t="s">
        <v>486</v>
      </c>
      <c r="B128" s="193"/>
      <c r="C128" s="188">
        <f>C122</f>
        <v>0</v>
      </c>
      <c r="D128" s="188">
        <f t="shared" ref="D128:H128" si="83">D122</f>
        <v>461.52968036529683</v>
      </c>
      <c r="E128" s="188">
        <f t="shared" si="83"/>
        <v>292.84246575342468</v>
      </c>
      <c r="F128" s="188">
        <f t="shared" si="83"/>
        <v>822.13698630136992</v>
      </c>
      <c r="G128" s="188">
        <f t="shared" si="83"/>
        <v>997.16845890410946</v>
      </c>
      <c r="H128" s="188">
        <f t="shared" si="83"/>
        <v>1184.1364176369862</v>
      </c>
      <c r="I128" s="188"/>
    </row>
    <row r="129" spans="1:11" ht="39.6" thickBot="1" x14ac:dyDescent="0.35">
      <c r="A129" s="229" t="s">
        <v>487</v>
      </c>
      <c r="B129" s="193"/>
      <c r="C129" s="194">
        <f>SUM(C124:C128)</f>
        <v>0</v>
      </c>
      <c r="D129" s="194">
        <f>SUM(D124:D127)-D128</f>
        <v>1573.9155251141551</v>
      </c>
      <c r="E129" s="194">
        <f t="shared" ref="E129:H129" si="84">SUM(E124:E127)-E128</f>
        <v>642.89794520547935</v>
      </c>
      <c r="F129" s="194">
        <f t="shared" si="84"/>
        <v>2960.2301940639272</v>
      </c>
      <c r="G129" s="194">
        <f t="shared" si="84"/>
        <v>3730.4258321917814</v>
      </c>
      <c r="H129" s="194">
        <f t="shared" si="84"/>
        <v>4550.6215555907547</v>
      </c>
      <c r="I129" s="188"/>
    </row>
    <row r="130" spans="1:11" ht="26.4" thickBot="1" x14ac:dyDescent="0.35">
      <c r="A130" s="195" t="s">
        <v>488</v>
      </c>
      <c r="B130" s="4"/>
      <c r="C130" s="192"/>
      <c r="D130" s="192">
        <f>D129-C129</f>
        <v>1573.9155251141551</v>
      </c>
      <c r="E130" s="192">
        <f t="shared" ref="E130:H130" si="85">E129-D129</f>
        <v>-931.01757990867577</v>
      </c>
      <c r="F130" s="192">
        <f t="shared" si="85"/>
        <v>2317.3322488584481</v>
      </c>
      <c r="G130" s="192">
        <f t="shared" si="85"/>
        <v>770.19563812785418</v>
      </c>
      <c r="H130" s="192">
        <f t="shared" si="85"/>
        <v>820.19572339897331</v>
      </c>
      <c r="I130" s="188"/>
      <c r="J130" s="65"/>
      <c r="K130" s="65"/>
    </row>
    <row r="131" spans="1:11" ht="58.2" thickBot="1" x14ac:dyDescent="0.35">
      <c r="A131" s="173" t="s">
        <v>489</v>
      </c>
      <c r="B131" s="64"/>
      <c r="C131" s="65"/>
      <c r="D131" s="65"/>
    </row>
    <row r="132" spans="1:11" ht="42.6" thickBot="1" x14ac:dyDescent="0.35">
      <c r="A132" s="229" t="s">
        <v>490</v>
      </c>
      <c r="B132" s="5"/>
      <c r="C132" s="58" t="s">
        <v>5</v>
      </c>
      <c r="D132" s="59" t="s">
        <v>0</v>
      </c>
      <c r="E132" s="59" t="s">
        <v>1</v>
      </c>
      <c r="F132" s="59" t="s">
        <v>2</v>
      </c>
      <c r="G132" s="59" t="s">
        <v>3</v>
      </c>
      <c r="H132" s="271" t="s">
        <v>4</v>
      </c>
      <c r="I132" s="9"/>
      <c r="J132" s="65"/>
      <c r="K132" s="65"/>
    </row>
    <row r="133" spans="1:11" ht="28.8" x14ac:dyDescent="0.3">
      <c r="A133" s="257" t="s">
        <v>250</v>
      </c>
      <c r="B133" s="5"/>
      <c r="C133" s="9">
        <f t="shared" ref="C133:H138" si="86">C26</f>
        <v>5000</v>
      </c>
      <c r="D133" s="9">
        <f t="shared" si="86"/>
        <v>0</v>
      </c>
      <c r="E133" s="9">
        <f t="shared" si="86"/>
        <v>3525</v>
      </c>
      <c r="F133" s="9">
        <f t="shared" si="86"/>
        <v>2874</v>
      </c>
      <c r="G133" s="9">
        <f t="shared" si="86"/>
        <v>9782.9666666666672</v>
      </c>
      <c r="H133" s="9">
        <f t="shared" si="86"/>
        <v>18750.048000000003</v>
      </c>
      <c r="I133" s="9"/>
      <c r="J133" s="65"/>
      <c r="K133" s="65"/>
    </row>
    <row r="134" spans="1:11" x14ac:dyDescent="0.3">
      <c r="A134" s="4" t="s">
        <v>252</v>
      </c>
      <c r="B134" s="4"/>
      <c r="C134" s="11">
        <f t="shared" si="86"/>
        <v>0</v>
      </c>
      <c r="D134" s="11">
        <f t="shared" si="86"/>
        <v>22000</v>
      </c>
      <c r="E134" s="11">
        <f t="shared" si="86"/>
        <v>17300</v>
      </c>
      <c r="F134" s="11">
        <f t="shared" si="86"/>
        <v>34431.25</v>
      </c>
      <c r="G134" s="11">
        <f t="shared" si="86"/>
        <v>42234.200000000004</v>
      </c>
      <c r="H134" s="11">
        <f t="shared" si="86"/>
        <v>50537.495999999999</v>
      </c>
      <c r="I134" s="11"/>
      <c r="J134" s="65"/>
      <c r="K134" s="65"/>
    </row>
    <row r="135" spans="1:11" x14ac:dyDescent="0.3">
      <c r="A135" s="4" t="s">
        <v>251</v>
      </c>
      <c r="B135" s="4"/>
      <c r="C135" s="11">
        <f t="shared" si="86"/>
        <v>-5000</v>
      </c>
      <c r="D135" s="11">
        <f t="shared" si="86"/>
        <v>-18475</v>
      </c>
      <c r="E135" s="11">
        <f t="shared" si="86"/>
        <v>-17951</v>
      </c>
      <c r="F135" s="11">
        <f t="shared" si="86"/>
        <v>-27522.283333333333</v>
      </c>
      <c r="G135" s="11">
        <f t="shared" si="86"/>
        <v>-33267.118666666669</v>
      </c>
      <c r="H135" s="11">
        <f t="shared" si="86"/>
        <v>-39311.157830000011</v>
      </c>
      <c r="I135" s="11"/>
      <c r="J135" s="65"/>
      <c r="K135" s="65"/>
    </row>
    <row r="136" spans="1:11" ht="28.8" x14ac:dyDescent="0.3">
      <c r="A136" s="258" t="s">
        <v>253</v>
      </c>
      <c r="B136" s="4"/>
      <c r="C136" s="11">
        <f t="shared" si="86"/>
        <v>-5000</v>
      </c>
      <c r="D136" s="11">
        <f t="shared" si="86"/>
        <v>3525</v>
      </c>
      <c r="E136" s="11">
        <f t="shared" si="86"/>
        <v>-651</v>
      </c>
      <c r="F136" s="11">
        <f t="shared" si="86"/>
        <v>6908.9666666666672</v>
      </c>
      <c r="G136" s="11">
        <f t="shared" si="86"/>
        <v>8967.0813333333354</v>
      </c>
      <c r="H136" s="11">
        <f t="shared" si="86"/>
        <v>11226.338169999988</v>
      </c>
      <c r="I136" s="11"/>
      <c r="J136" s="65"/>
      <c r="K136" s="65"/>
    </row>
    <row r="137" spans="1:11" ht="28.8" x14ac:dyDescent="0.3">
      <c r="A137" s="257" t="s">
        <v>254</v>
      </c>
      <c r="B137" s="5"/>
      <c r="C137" s="9">
        <f t="shared" si="86"/>
        <v>0</v>
      </c>
      <c r="D137" s="9">
        <f t="shared" si="86"/>
        <v>3525</v>
      </c>
      <c r="E137" s="9">
        <f t="shared" si="86"/>
        <v>2874</v>
      </c>
      <c r="F137" s="9">
        <f t="shared" si="86"/>
        <v>9782.9666666666672</v>
      </c>
      <c r="G137" s="9">
        <f t="shared" si="86"/>
        <v>18750.048000000003</v>
      </c>
      <c r="H137" s="9">
        <f t="shared" si="86"/>
        <v>29976.386169999991</v>
      </c>
      <c r="I137" s="9"/>
      <c r="J137" s="65"/>
      <c r="K137" s="65"/>
    </row>
    <row r="138" spans="1:11" ht="28.8" x14ac:dyDescent="0.3">
      <c r="A138" s="257" t="s">
        <v>255</v>
      </c>
      <c r="B138" s="5"/>
      <c r="C138" s="9">
        <f t="shared" si="86"/>
        <v>-5000</v>
      </c>
      <c r="D138" s="9">
        <f t="shared" si="86"/>
        <v>-1475</v>
      </c>
      <c r="E138" s="9">
        <f t="shared" si="86"/>
        <v>-2126</v>
      </c>
      <c r="F138" s="9">
        <f t="shared" si="86"/>
        <v>4782.9666666666672</v>
      </c>
      <c r="G138" s="9">
        <f t="shared" si="86"/>
        <v>13750.048000000003</v>
      </c>
      <c r="H138" s="9">
        <f t="shared" si="86"/>
        <v>24976.386169999991</v>
      </c>
      <c r="I138" s="9"/>
      <c r="J138" s="65"/>
      <c r="K138" s="65"/>
    </row>
    <row r="139" spans="1:11" ht="26.4" thickBot="1" x14ac:dyDescent="0.35">
      <c r="A139" s="195" t="s">
        <v>488</v>
      </c>
      <c r="B139" s="4"/>
      <c r="C139" s="192"/>
      <c r="D139" s="196">
        <f>D130</f>
        <v>1573.9155251141551</v>
      </c>
      <c r="E139" s="196">
        <f t="shared" ref="E139:H139" si="87">E130</f>
        <v>-931.01757990867577</v>
      </c>
      <c r="F139" s="196">
        <f t="shared" si="87"/>
        <v>2317.3322488584481</v>
      </c>
      <c r="G139" s="196">
        <f t="shared" si="87"/>
        <v>770.19563812785418</v>
      </c>
      <c r="H139" s="196">
        <f t="shared" si="87"/>
        <v>820.19572339897331</v>
      </c>
      <c r="I139" s="9"/>
      <c r="J139" s="65"/>
      <c r="K139" s="65"/>
    </row>
    <row r="140" spans="1:11" ht="26.4" thickBot="1" x14ac:dyDescent="0.35">
      <c r="A140" s="229" t="s">
        <v>491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1" t="s">
        <v>4</v>
      </c>
      <c r="I140" s="9"/>
      <c r="J140" s="65"/>
      <c r="K140" s="65"/>
    </row>
    <row r="141" spans="1:11" ht="28.8" x14ac:dyDescent="0.3">
      <c r="A141" s="257" t="s">
        <v>250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2231.1020547945191</v>
      </c>
      <c r="G141" s="9">
        <f>F145+G5</f>
        <v>6822.7364726027372</v>
      </c>
      <c r="H141" s="9">
        <f>G145+H5</f>
        <v>15019.622167808222</v>
      </c>
      <c r="I141" s="9"/>
      <c r="J141" s="65"/>
      <c r="K141" s="65"/>
    </row>
    <row r="142" spans="1:11" x14ac:dyDescent="0.3">
      <c r="A142" s="4" t="s">
        <v>252</v>
      </c>
      <c r="B142" s="5"/>
      <c r="C142" s="9">
        <f>C134</f>
        <v>0</v>
      </c>
      <c r="D142" s="9">
        <f>D134</f>
        <v>22000</v>
      </c>
      <c r="E142" s="9">
        <f t="shared" ref="E142:H142" si="88">E134</f>
        <v>17300</v>
      </c>
      <c r="F142" s="9">
        <f t="shared" si="88"/>
        <v>34431.25</v>
      </c>
      <c r="G142" s="9">
        <f t="shared" si="88"/>
        <v>42234.200000000004</v>
      </c>
      <c r="H142" s="9">
        <f t="shared" si="88"/>
        <v>50537.495999999999</v>
      </c>
      <c r="I142" s="9"/>
      <c r="J142" s="65"/>
      <c r="K142" s="65"/>
    </row>
    <row r="143" spans="1:11" x14ac:dyDescent="0.3">
      <c r="A143" s="4" t="s">
        <v>251</v>
      </c>
      <c r="B143" s="5"/>
      <c r="C143" s="11">
        <f t="shared" ref="C143:H143" si="89">C135-C139</f>
        <v>-5000</v>
      </c>
      <c r="D143" s="11">
        <f t="shared" si="89"/>
        <v>-20048.915525114156</v>
      </c>
      <c r="E143" s="11">
        <f t="shared" si="89"/>
        <v>-17019.982420091324</v>
      </c>
      <c r="F143" s="11">
        <f t="shared" si="89"/>
        <v>-29839.615582191782</v>
      </c>
      <c r="G143" s="11">
        <f t="shared" si="89"/>
        <v>-34037.31430479452</v>
      </c>
      <c r="H143" s="11">
        <f t="shared" si="89"/>
        <v>-40131.353553398985</v>
      </c>
      <c r="I143" s="9"/>
      <c r="J143" s="65"/>
      <c r="K143" s="65"/>
    </row>
    <row r="144" spans="1:11" ht="28.8" x14ac:dyDescent="0.3">
      <c r="A144" s="258" t="s">
        <v>253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90">E142+E143</f>
        <v>280.01757990867554</v>
      </c>
      <c r="F144" s="11">
        <f t="shared" si="90"/>
        <v>4591.6344178082181</v>
      </c>
      <c r="G144" s="11">
        <f t="shared" si="90"/>
        <v>8196.8856952054848</v>
      </c>
      <c r="H144" s="11">
        <f t="shared" si="90"/>
        <v>10406.142446601014</v>
      </c>
      <c r="I144" s="9"/>
      <c r="J144" s="65"/>
      <c r="K144" s="65"/>
    </row>
    <row r="145" spans="1:11" s="14" customFormat="1" ht="28.8" x14ac:dyDescent="0.3">
      <c r="A145" s="257" t="s">
        <v>254</v>
      </c>
      <c r="C145" s="199">
        <f>C141+C144</f>
        <v>0</v>
      </c>
      <c r="D145" s="199">
        <f>D141+D144</f>
        <v>1951.0844748858435</v>
      </c>
      <c r="E145" s="199">
        <f t="shared" ref="E145:H145" si="91">E141+E144</f>
        <v>2231.1020547945191</v>
      </c>
      <c r="F145" s="199">
        <f t="shared" si="91"/>
        <v>6822.7364726027372</v>
      </c>
      <c r="G145" s="199">
        <f t="shared" si="91"/>
        <v>15019.622167808222</v>
      </c>
      <c r="H145" s="199">
        <f t="shared" si="91"/>
        <v>25425.764614409236</v>
      </c>
      <c r="I145" s="197"/>
      <c r="J145" s="198"/>
      <c r="K145" s="198"/>
    </row>
    <row r="146" spans="1:11" ht="29.4" thickBot="1" x14ac:dyDescent="0.35">
      <c r="A146" s="257" t="s">
        <v>255</v>
      </c>
      <c r="B146" s="5"/>
      <c r="C146" s="9">
        <f>C145</f>
        <v>0</v>
      </c>
      <c r="D146" s="9">
        <f>C146+D145</f>
        <v>1951.0844748858435</v>
      </c>
      <c r="E146" s="9">
        <f t="shared" ref="E146:H146" si="92">D146+E145</f>
        <v>4182.1865296803626</v>
      </c>
      <c r="F146" s="9">
        <f t="shared" si="92"/>
        <v>11004.9230022831</v>
      </c>
      <c r="G146" s="9">
        <f t="shared" si="92"/>
        <v>26024.545170091322</v>
      </c>
      <c r="H146" s="9">
        <f t="shared" si="92"/>
        <v>51450.309784500554</v>
      </c>
      <c r="I146" s="9"/>
      <c r="J146" s="65"/>
      <c r="K146" s="65"/>
    </row>
    <row r="147" spans="1:11" s="64" customFormat="1" ht="26.4" thickBot="1" x14ac:dyDescent="0.35">
      <c r="A147" s="272" t="s">
        <v>492</v>
      </c>
      <c r="C147" s="216" t="s">
        <v>5</v>
      </c>
      <c r="D147" s="217" t="s">
        <v>0</v>
      </c>
      <c r="E147" s="217" t="s">
        <v>1</v>
      </c>
      <c r="F147" s="217" t="s">
        <v>2</v>
      </c>
      <c r="G147" s="217" t="s">
        <v>3</v>
      </c>
      <c r="H147" s="217" t="s">
        <v>4</v>
      </c>
      <c r="I147" s="155"/>
    </row>
    <row r="148" spans="1:11" s="64" customFormat="1" ht="23.4" x14ac:dyDescent="0.3">
      <c r="A148" s="220" t="s">
        <v>493</v>
      </c>
      <c r="B148" s="200"/>
      <c r="C148" s="200"/>
      <c r="D148" s="200"/>
      <c r="E148" s="201"/>
      <c r="F148" s="201"/>
      <c r="G148" s="201"/>
      <c r="H148" s="202"/>
      <c r="I148" s="155"/>
    </row>
    <row r="149" spans="1:11" s="64" customFormat="1" ht="18" x14ac:dyDescent="0.3">
      <c r="A149" s="203" t="s">
        <v>494</v>
      </c>
      <c r="B149" s="218"/>
      <c r="C149" s="205">
        <f>SUM(C151:C153)</f>
        <v>5000</v>
      </c>
      <c r="D149" s="205">
        <f t="shared" ref="D149:H149" si="93">SUM(D151:D153)</f>
        <v>6775</v>
      </c>
      <c r="E149" s="205">
        <f t="shared" si="93"/>
        <v>10750</v>
      </c>
      <c r="F149" s="205">
        <f t="shared" si="93"/>
        <v>9149.1666666666661</v>
      </c>
      <c r="G149" s="205">
        <f t="shared" si="93"/>
        <v>7694.5</v>
      </c>
      <c r="H149" s="206">
        <f t="shared" si="93"/>
        <v>6309.2</v>
      </c>
      <c r="I149" s="155"/>
    </row>
    <row r="150" spans="1:11" s="64" customFormat="1" x14ac:dyDescent="0.3">
      <c r="A150" s="207" t="s">
        <v>495</v>
      </c>
      <c r="B150" s="204"/>
      <c r="C150" s="204"/>
      <c r="D150" s="204"/>
      <c r="E150" s="208"/>
      <c r="F150" s="208"/>
      <c r="G150" s="208"/>
      <c r="H150" s="209"/>
      <c r="I150" s="155"/>
    </row>
    <row r="151" spans="1:11" s="64" customFormat="1" ht="15.6" x14ac:dyDescent="0.3">
      <c r="A151" s="210" t="s">
        <v>496</v>
      </c>
      <c r="B151" s="204"/>
      <c r="C151" s="204">
        <f t="shared" ref="C151:H151" si="94">C79+C80+C82</f>
        <v>5000</v>
      </c>
      <c r="D151" s="204">
        <f t="shared" si="94"/>
        <v>6775</v>
      </c>
      <c r="E151" s="204">
        <f t="shared" si="94"/>
        <v>9750</v>
      </c>
      <c r="F151" s="204">
        <f t="shared" si="94"/>
        <v>8482.5</v>
      </c>
      <c r="G151" s="204">
        <f t="shared" si="94"/>
        <v>7294.5</v>
      </c>
      <c r="H151" s="211">
        <f t="shared" si="94"/>
        <v>6109.2</v>
      </c>
      <c r="I151" s="155"/>
    </row>
    <row r="152" spans="1:11" s="64" customFormat="1" ht="15.6" x14ac:dyDescent="0.3">
      <c r="A152" s="210" t="s">
        <v>497</v>
      </c>
      <c r="B152" s="204"/>
      <c r="C152" s="204">
        <f t="shared" ref="C152:H152" si="95">C81</f>
        <v>0</v>
      </c>
      <c r="D152" s="204">
        <f t="shared" si="95"/>
        <v>0</v>
      </c>
      <c r="E152" s="204">
        <f t="shared" si="95"/>
        <v>1000</v>
      </c>
      <c r="F152" s="204">
        <f t="shared" si="95"/>
        <v>666.66666666666674</v>
      </c>
      <c r="G152" s="204">
        <f t="shared" si="95"/>
        <v>400.00000000000006</v>
      </c>
      <c r="H152" s="211">
        <f t="shared" si="95"/>
        <v>200.00000000000006</v>
      </c>
      <c r="I152" s="155"/>
    </row>
    <row r="153" spans="1:11" s="64" customFormat="1" ht="15.6" x14ac:dyDescent="0.3">
      <c r="A153" s="210" t="s">
        <v>498</v>
      </c>
      <c r="B153" s="204"/>
      <c r="C153" s="204"/>
      <c r="D153" s="204"/>
      <c r="E153" s="208"/>
      <c r="F153" s="208"/>
      <c r="G153" s="208"/>
      <c r="H153" s="209"/>
      <c r="I153" s="155"/>
    </row>
    <row r="154" spans="1:11" s="64" customFormat="1" ht="18" x14ac:dyDescent="0.3">
      <c r="A154" s="203" t="s">
        <v>499</v>
      </c>
      <c r="B154" s="204"/>
      <c r="C154" s="205">
        <f t="shared" ref="C154:H154" si="96">SUM(C156:C161)</f>
        <v>0</v>
      </c>
      <c r="D154" s="205">
        <f t="shared" si="96"/>
        <v>3986.5296803652955</v>
      </c>
      <c r="E154" s="205">
        <f t="shared" si="96"/>
        <v>3166.8424657534233</v>
      </c>
      <c r="F154" s="205">
        <f t="shared" si="96"/>
        <v>10605.103652968035</v>
      </c>
      <c r="G154" s="205">
        <f t="shared" si="96"/>
        <v>19747.216458904113</v>
      </c>
      <c r="H154" s="206">
        <f t="shared" si="96"/>
        <v>31160.522587636977</v>
      </c>
      <c r="I154" s="155"/>
    </row>
    <row r="155" spans="1:11" s="64" customFormat="1" x14ac:dyDescent="0.3">
      <c r="A155" s="207" t="s">
        <v>495</v>
      </c>
      <c r="B155" s="204"/>
      <c r="C155" s="204"/>
      <c r="D155" s="204"/>
      <c r="E155" s="208"/>
      <c r="F155" s="208"/>
      <c r="G155" s="208"/>
      <c r="H155" s="209"/>
      <c r="I155" s="155"/>
    </row>
    <row r="156" spans="1:11" s="64" customFormat="1" ht="15.6" x14ac:dyDescent="0.3">
      <c r="A156" s="210" t="s">
        <v>500</v>
      </c>
      <c r="B156" s="204"/>
      <c r="C156" s="204">
        <f t="shared" ref="C156:H156" si="97">C101</f>
        <v>0</v>
      </c>
      <c r="D156" s="204">
        <f t="shared" si="97"/>
        <v>271.23287671232879</v>
      </c>
      <c r="E156" s="204">
        <f t="shared" si="97"/>
        <v>116.08767123287672</v>
      </c>
      <c r="F156" s="204">
        <f t="shared" si="97"/>
        <v>512.72054794520545</v>
      </c>
      <c r="G156" s="204">
        <f t="shared" si="97"/>
        <v>646.02789041095912</v>
      </c>
      <c r="H156" s="211">
        <f t="shared" si="97"/>
        <v>787.61566972602759</v>
      </c>
      <c r="I156" s="155"/>
    </row>
    <row r="157" spans="1:11" s="64" customFormat="1" ht="15.6" x14ac:dyDescent="0.3">
      <c r="A157" s="210" t="s">
        <v>501</v>
      </c>
      <c r="B157" s="204"/>
      <c r="C157" s="204">
        <f t="shared" ref="C157:H157" si="98">C95</f>
        <v>0</v>
      </c>
      <c r="D157" s="204">
        <f t="shared" si="98"/>
        <v>336.98630136986299</v>
      </c>
      <c r="E157" s="204">
        <f t="shared" si="98"/>
        <v>214.71780821917807</v>
      </c>
      <c r="F157" s="204">
        <f t="shared" si="98"/>
        <v>617.26849315068489</v>
      </c>
      <c r="G157" s="204">
        <f t="shared" si="98"/>
        <v>755.80323287671251</v>
      </c>
      <c r="H157" s="211">
        <f t="shared" si="98"/>
        <v>902.33090260273991</v>
      </c>
      <c r="I157" s="155"/>
    </row>
    <row r="158" spans="1:11" s="64" customFormat="1" ht="15.6" x14ac:dyDescent="0.3">
      <c r="A158" s="210" t="s">
        <v>502</v>
      </c>
      <c r="B158" s="204"/>
      <c r="C158" s="204">
        <f t="shared" ref="C158:H158" si="99">C112</f>
        <v>0</v>
      </c>
      <c r="D158" s="204">
        <f t="shared" si="99"/>
        <v>739.72602739726028</v>
      </c>
      <c r="E158" s="204">
        <f t="shared" si="99"/>
        <v>310.6849315068493</v>
      </c>
      <c r="F158" s="204">
        <f t="shared" si="99"/>
        <v>1352.7739726027398</v>
      </c>
      <c r="G158" s="204">
        <f t="shared" si="99"/>
        <v>1688.2619178082196</v>
      </c>
      <c r="H158" s="211">
        <f t="shared" si="99"/>
        <v>2048.4244602739727</v>
      </c>
      <c r="I158" s="155"/>
    </row>
    <row r="159" spans="1:11" s="64" customFormat="1" ht="15.6" x14ac:dyDescent="0.3">
      <c r="A159" s="210" t="s">
        <v>503</v>
      </c>
      <c r="B159" s="204"/>
      <c r="C159" s="204">
        <f t="shared" ref="C159:H159" si="100">C104</f>
        <v>0</v>
      </c>
      <c r="D159" s="204">
        <f t="shared" si="100"/>
        <v>687.5</v>
      </c>
      <c r="E159" s="204">
        <f t="shared" si="100"/>
        <v>294.25</v>
      </c>
      <c r="F159" s="204">
        <f t="shared" si="100"/>
        <v>1299.6041666666667</v>
      </c>
      <c r="G159" s="204">
        <f t="shared" si="100"/>
        <v>1637.5012500000003</v>
      </c>
      <c r="H159" s="211">
        <f t="shared" si="100"/>
        <v>1996.3869406250005</v>
      </c>
      <c r="I159" s="155"/>
    </row>
    <row r="160" spans="1:11" s="64" customFormat="1" ht="15.6" x14ac:dyDescent="0.3">
      <c r="A160" s="210" t="s">
        <v>504</v>
      </c>
      <c r="B160" s="204"/>
      <c r="C160" s="204">
        <f t="shared" ref="C160:H160" si="101">C145</f>
        <v>0</v>
      </c>
      <c r="D160" s="204">
        <f t="shared" si="101"/>
        <v>1951.0844748858435</v>
      </c>
      <c r="E160" s="204">
        <f t="shared" si="101"/>
        <v>2231.1020547945191</v>
      </c>
      <c r="F160" s="204">
        <f t="shared" si="101"/>
        <v>6822.7364726027372</v>
      </c>
      <c r="G160" s="204">
        <f t="shared" si="101"/>
        <v>15019.622167808222</v>
      </c>
      <c r="H160" s="211">
        <f t="shared" si="101"/>
        <v>25425.764614409236</v>
      </c>
      <c r="I160" s="155"/>
    </row>
    <row r="161" spans="1:9" s="64" customFormat="1" ht="15.6" x14ac:dyDescent="0.3">
      <c r="A161" s="210" t="s">
        <v>505</v>
      </c>
      <c r="B161" s="204"/>
      <c r="C161" s="204"/>
      <c r="D161" s="204"/>
      <c r="E161" s="208"/>
      <c r="F161" s="208"/>
      <c r="G161" s="208"/>
      <c r="H161" s="209"/>
      <c r="I161" s="155"/>
    </row>
    <row r="162" spans="1:9" s="64" customFormat="1" ht="21.6" thickBot="1" x14ac:dyDescent="0.35">
      <c r="A162" s="212" t="s">
        <v>506</v>
      </c>
      <c r="B162" s="213"/>
      <c r="C162" s="214">
        <f>C154+C149</f>
        <v>5000</v>
      </c>
      <c r="D162" s="214">
        <f t="shared" ref="D162:H162" si="102">D154+D149</f>
        <v>10761.529680365296</v>
      </c>
      <c r="E162" s="214">
        <f t="shared" si="102"/>
        <v>13916.842465753423</v>
      </c>
      <c r="F162" s="214">
        <f t="shared" si="102"/>
        <v>19754.270319634699</v>
      </c>
      <c r="G162" s="214">
        <f t="shared" si="102"/>
        <v>27441.716458904113</v>
      </c>
      <c r="H162" s="215">
        <f t="shared" si="102"/>
        <v>37469.722587636978</v>
      </c>
      <c r="I162" s="155"/>
    </row>
    <row r="163" spans="1:9" s="64" customFormat="1" ht="23.4" x14ac:dyDescent="0.3">
      <c r="A163" s="220" t="s">
        <v>507</v>
      </c>
      <c r="B163" s="200"/>
      <c r="C163" s="200"/>
      <c r="D163" s="200"/>
      <c r="E163" s="201"/>
      <c r="F163" s="201"/>
      <c r="G163" s="201"/>
      <c r="H163" s="202"/>
      <c r="I163" s="155"/>
    </row>
    <row r="164" spans="1:9" s="64" customFormat="1" ht="18" x14ac:dyDescent="0.3">
      <c r="A164" s="203" t="s">
        <v>508</v>
      </c>
      <c r="B164" s="204"/>
      <c r="C164" s="205">
        <f t="shared" ref="C164:H164" si="103">SUM(C166:C169)</f>
        <v>5000</v>
      </c>
      <c r="D164" s="205">
        <f t="shared" si="103"/>
        <v>10300</v>
      </c>
      <c r="E164" s="205">
        <f t="shared" si="103"/>
        <v>13624</v>
      </c>
      <c r="F164" s="205">
        <f t="shared" si="103"/>
        <v>18932.133333333331</v>
      </c>
      <c r="G164" s="205">
        <f t="shared" si="103"/>
        <v>26444.547999999999</v>
      </c>
      <c r="H164" s="206">
        <f t="shared" si="103"/>
        <v>36285.586169999995</v>
      </c>
      <c r="I164" s="155"/>
    </row>
    <row r="165" spans="1:9" s="64" customFormat="1" x14ac:dyDescent="0.3">
      <c r="A165" s="207" t="s">
        <v>495</v>
      </c>
      <c r="B165" s="204"/>
      <c r="C165" s="204"/>
      <c r="D165" s="204"/>
      <c r="E165" s="208"/>
      <c r="F165" s="208"/>
      <c r="G165" s="208"/>
      <c r="H165" s="209"/>
      <c r="I165" s="155"/>
    </row>
    <row r="166" spans="1:9" s="64" customFormat="1" ht="15.6" x14ac:dyDescent="0.3">
      <c r="A166" s="210" t="s">
        <v>518</v>
      </c>
      <c r="B166" s="204"/>
      <c r="C166" s="204">
        <f>C5</f>
        <v>5000</v>
      </c>
      <c r="D166" s="204">
        <f>C166+D5</f>
        <v>7000</v>
      </c>
      <c r="E166" s="204">
        <f>D166+E5</f>
        <v>12000</v>
      </c>
      <c r="F166" s="204">
        <f>E166+F5</f>
        <v>12000</v>
      </c>
      <c r="G166" s="204">
        <f>F166+G5</f>
        <v>12000</v>
      </c>
      <c r="H166" s="211">
        <f>G166+H5</f>
        <v>12000</v>
      </c>
      <c r="I166" s="155"/>
    </row>
    <row r="167" spans="1:9" s="64" customFormat="1" ht="15.6" x14ac:dyDescent="0.3">
      <c r="A167" s="210" t="s">
        <v>519</v>
      </c>
      <c r="B167" s="204"/>
      <c r="C167" s="204"/>
      <c r="D167" s="204">
        <f>C32</f>
        <v>0</v>
      </c>
      <c r="E167" s="204">
        <f>D167+E32</f>
        <v>825</v>
      </c>
      <c r="F167" s="204">
        <f>E167+F32</f>
        <v>825</v>
      </c>
      <c r="G167" s="204">
        <f>F167+G32</f>
        <v>2152.0333333333333</v>
      </c>
      <c r="H167" s="211">
        <f>G167+H32</f>
        <v>4030.1370000000006</v>
      </c>
      <c r="I167" s="155"/>
    </row>
    <row r="168" spans="1:9" s="64" customFormat="1" ht="15.6" x14ac:dyDescent="0.3">
      <c r="A168" s="210" t="s">
        <v>520</v>
      </c>
      <c r="B168" s="204"/>
      <c r="C168" s="204">
        <v>0</v>
      </c>
      <c r="D168" s="204">
        <f>C169-C32</f>
        <v>0</v>
      </c>
      <c r="E168" s="204">
        <f>D169-E32</f>
        <v>2475</v>
      </c>
      <c r="F168" s="204">
        <f>E168+E169-F32</f>
        <v>799</v>
      </c>
      <c r="G168" s="204">
        <f>F168+F169-G32</f>
        <v>4780.1000000000004</v>
      </c>
      <c r="H168" s="211">
        <f>G168+G169-H32</f>
        <v>10414.411000000002</v>
      </c>
      <c r="I168" s="155"/>
    </row>
    <row r="169" spans="1:9" s="64" customFormat="1" ht="15.6" x14ac:dyDescent="0.3">
      <c r="A169" s="210" t="s">
        <v>521</v>
      </c>
      <c r="B169" s="204"/>
      <c r="C169" s="204">
        <f t="shared" ref="C169:H169" si="104">C25</f>
        <v>0</v>
      </c>
      <c r="D169" s="204">
        <f t="shared" si="104"/>
        <v>3300</v>
      </c>
      <c r="E169" s="204">
        <f t="shared" si="104"/>
        <v>-1676</v>
      </c>
      <c r="F169" s="204">
        <f t="shared" si="104"/>
        <v>5308.1333333333332</v>
      </c>
      <c r="G169" s="204">
        <f t="shared" si="104"/>
        <v>7512.4146666666684</v>
      </c>
      <c r="H169" s="211">
        <f t="shared" si="104"/>
        <v>9841.0381699999944</v>
      </c>
      <c r="I169" s="155"/>
    </row>
    <row r="170" spans="1:9" s="64" customFormat="1" ht="18" x14ac:dyDescent="0.3">
      <c r="A170" s="203" t="s">
        <v>510</v>
      </c>
      <c r="B170" s="204"/>
      <c r="C170" s="205">
        <f>SUM(C172:C174)</f>
        <v>0</v>
      </c>
      <c r="D170" s="205">
        <f t="shared" ref="D170:H170" si="105">SUM(D172:D174)</f>
        <v>0</v>
      </c>
      <c r="E170" s="205">
        <f t="shared" si="105"/>
        <v>0</v>
      </c>
      <c r="F170" s="205">
        <f t="shared" si="105"/>
        <v>0</v>
      </c>
      <c r="G170" s="205">
        <f t="shared" si="105"/>
        <v>0</v>
      </c>
      <c r="H170" s="206">
        <f t="shared" si="105"/>
        <v>0</v>
      </c>
      <c r="I170" s="155"/>
    </row>
    <row r="171" spans="1:9" s="64" customFormat="1" x14ac:dyDescent="0.3">
      <c r="A171" s="207" t="s">
        <v>495</v>
      </c>
      <c r="B171" s="204"/>
      <c r="C171" s="204"/>
      <c r="D171" s="204"/>
      <c r="E171" s="208"/>
      <c r="F171" s="208"/>
      <c r="G171" s="208"/>
      <c r="H171" s="209"/>
      <c r="I171" s="155"/>
    </row>
    <row r="172" spans="1:9" s="64" customFormat="1" ht="15.6" x14ac:dyDescent="0.3">
      <c r="A172" s="210" t="s">
        <v>516</v>
      </c>
      <c r="B172" s="204"/>
      <c r="C172" s="204"/>
      <c r="D172" s="204"/>
      <c r="E172" s="208"/>
      <c r="F172" s="208"/>
      <c r="G172" s="208"/>
      <c r="H172" s="209"/>
      <c r="I172" s="155"/>
    </row>
    <row r="173" spans="1:9" s="64" customFormat="1" ht="15.6" x14ac:dyDescent="0.3">
      <c r="A173" s="210" t="s">
        <v>517</v>
      </c>
      <c r="B173" s="204"/>
      <c r="C173" s="204"/>
      <c r="D173" s="204"/>
      <c r="E173" s="208"/>
      <c r="F173" s="208"/>
      <c r="G173" s="208"/>
      <c r="H173" s="209"/>
      <c r="I173" s="155"/>
    </row>
    <row r="174" spans="1:9" s="64" customFormat="1" ht="15.6" x14ac:dyDescent="0.3">
      <c r="A174" s="210" t="s">
        <v>515</v>
      </c>
      <c r="B174" s="204"/>
      <c r="C174" s="204"/>
      <c r="D174" s="204"/>
      <c r="E174" s="208"/>
      <c r="F174" s="208"/>
      <c r="G174" s="208"/>
      <c r="H174" s="209"/>
      <c r="I174" s="155"/>
    </row>
    <row r="175" spans="1:9" s="64" customFormat="1" ht="18" x14ac:dyDescent="0.3">
      <c r="A175" s="203" t="s">
        <v>509</v>
      </c>
      <c r="B175" s="204"/>
      <c r="C175" s="205">
        <f>SUM(C177:C180)</f>
        <v>0</v>
      </c>
      <c r="D175" s="205">
        <f t="shared" ref="D175:H175" si="106">SUM(D177:D180)</f>
        <v>461.52968036529683</v>
      </c>
      <c r="E175" s="205">
        <f t="shared" si="106"/>
        <v>292.84246575342468</v>
      </c>
      <c r="F175" s="205">
        <f t="shared" si="106"/>
        <v>822.13698630136992</v>
      </c>
      <c r="G175" s="205">
        <f t="shared" si="106"/>
        <v>997.16845890410946</v>
      </c>
      <c r="H175" s="206">
        <f t="shared" si="106"/>
        <v>1184.1364176369862</v>
      </c>
      <c r="I175" s="155"/>
    </row>
    <row r="176" spans="1:9" s="64" customFormat="1" x14ac:dyDescent="0.3">
      <c r="A176" s="207" t="s">
        <v>495</v>
      </c>
      <c r="B176" s="204"/>
      <c r="C176" s="204"/>
      <c r="D176" s="204"/>
      <c r="E176" s="208"/>
      <c r="F176" s="208"/>
      <c r="G176" s="208"/>
      <c r="H176" s="209"/>
      <c r="I176" s="155"/>
    </row>
    <row r="177" spans="1:11" s="64" customFormat="1" ht="15.6" x14ac:dyDescent="0.3">
      <c r="A177" s="210" t="s">
        <v>511</v>
      </c>
      <c r="B177" s="204"/>
      <c r="C177" s="204"/>
      <c r="D177" s="204"/>
      <c r="E177" s="208"/>
      <c r="F177" s="208"/>
      <c r="G177" s="208"/>
      <c r="H177" s="209"/>
      <c r="I177" s="155"/>
    </row>
    <row r="178" spans="1:11" s="64" customFormat="1" ht="15.6" x14ac:dyDescent="0.3">
      <c r="A178" s="210" t="s">
        <v>512</v>
      </c>
      <c r="B178" s="204"/>
      <c r="C178" s="204"/>
      <c r="D178" s="204"/>
      <c r="E178" s="208"/>
      <c r="F178" s="208"/>
      <c r="G178" s="208"/>
      <c r="H178" s="209"/>
      <c r="I178" s="155"/>
    </row>
    <row r="179" spans="1:11" s="64" customFormat="1" ht="15.6" x14ac:dyDescent="0.3">
      <c r="A179" s="210" t="s">
        <v>513</v>
      </c>
      <c r="B179" s="204"/>
      <c r="C179" s="204">
        <f t="shared" ref="C179:H179" si="107">C122</f>
        <v>0</v>
      </c>
      <c r="D179" s="204">
        <f t="shared" si="107"/>
        <v>461.52968036529683</v>
      </c>
      <c r="E179" s="204">
        <f t="shared" si="107"/>
        <v>292.84246575342468</v>
      </c>
      <c r="F179" s="204">
        <f t="shared" si="107"/>
        <v>822.13698630136992</v>
      </c>
      <c r="G179" s="204">
        <f t="shared" si="107"/>
        <v>997.16845890410946</v>
      </c>
      <c r="H179" s="211">
        <f t="shared" si="107"/>
        <v>1184.1364176369862</v>
      </c>
      <c r="I179" s="155"/>
    </row>
    <row r="180" spans="1:11" s="64" customFormat="1" ht="15.6" x14ac:dyDescent="0.3">
      <c r="A180" s="210" t="s">
        <v>514</v>
      </c>
      <c r="B180" s="204"/>
      <c r="C180" s="204"/>
      <c r="D180" s="204"/>
      <c r="E180" s="208"/>
      <c r="F180" s="208"/>
      <c r="G180" s="208"/>
      <c r="H180" s="209"/>
      <c r="I180" s="155"/>
    </row>
    <row r="181" spans="1:11" s="64" customFormat="1" ht="21.6" thickBot="1" x14ac:dyDescent="0.35">
      <c r="A181" s="212" t="s">
        <v>522</v>
      </c>
      <c r="B181" s="213"/>
      <c r="C181" s="214">
        <f t="shared" ref="C181:H181" si="108">C164+C170+C175</f>
        <v>5000</v>
      </c>
      <c r="D181" s="214">
        <f t="shared" si="108"/>
        <v>10761.529680365296</v>
      </c>
      <c r="E181" s="214">
        <f t="shared" si="108"/>
        <v>13916.842465753425</v>
      </c>
      <c r="F181" s="214">
        <f t="shared" si="108"/>
        <v>19754.270319634703</v>
      </c>
      <c r="G181" s="214">
        <f t="shared" si="108"/>
        <v>27441.716458904109</v>
      </c>
      <c r="H181" s="215">
        <f t="shared" si="108"/>
        <v>37469.722587636978</v>
      </c>
      <c r="I181" s="155"/>
    </row>
    <row r="182" spans="1:11" s="64" customFormat="1" ht="18" x14ac:dyDescent="0.3">
      <c r="A182" s="222" t="s">
        <v>523</v>
      </c>
      <c r="E182" s="154"/>
      <c r="F182" s="154"/>
      <c r="G182" s="154"/>
      <c r="H182" s="154"/>
      <c r="I182" s="155"/>
    </row>
    <row r="183" spans="1:11" ht="28.8" x14ac:dyDescent="0.3">
      <c r="A183" s="223" t="s">
        <v>524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28.8" x14ac:dyDescent="0.3">
      <c r="A184" s="223" t="s">
        <v>525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t="28.8" x14ac:dyDescent="0.3">
      <c r="A185" s="223" t="s">
        <v>526</v>
      </c>
      <c r="G185" s="65"/>
      <c r="J185" s="65"/>
      <c r="K185" s="65"/>
    </row>
    <row r="186" spans="1:11" ht="43.2" x14ac:dyDescent="0.3">
      <c r="A186" s="223" t="s">
        <v>527</v>
      </c>
    </row>
    <row r="187" spans="1:11" ht="28.8" x14ac:dyDescent="0.3">
      <c r="A187" s="223" t="s">
        <v>529</v>
      </c>
    </row>
    <row r="188" spans="1:11" ht="28.8" x14ac:dyDescent="0.3">
      <c r="A188" s="223" t="s">
        <v>528</v>
      </c>
    </row>
    <row r="189" spans="1:11" ht="28.8" x14ac:dyDescent="0.3">
      <c r="A189" s="223" t="s">
        <v>530</v>
      </c>
    </row>
    <row r="190" spans="1:11" ht="28.8" x14ac:dyDescent="0.3">
      <c r="A190" s="223" t="s">
        <v>531</v>
      </c>
    </row>
    <row r="191" spans="1:11" ht="28.8" x14ac:dyDescent="0.3">
      <c r="A191" s="223" t="s">
        <v>532</v>
      </c>
    </row>
    <row r="192" spans="1:11" ht="28.8" x14ac:dyDescent="0.3">
      <c r="A192" s="223" t="s">
        <v>533</v>
      </c>
    </row>
    <row r="193" spans="1:12" ht="29.4" thickBot="1" x14ac:dyDescent="0.35">
      <c r="A193" s="223" t="s">
        <v>534</v>
      </c>
    </row>
    <row r="194" spans="1:12" ht="81.599999999999994" thickBot="1" x14ac:dyDescent="0.35">
      <c r="A194" s="173" t="s">
        <v>535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232</v>
      </c>
      <c r="J194" s="268" t="s">
        <v>415</v>
      </c>
    </row>
    <row r="195" spans="1:12" ht="36.6" thickBot="1" x14ac:dyDescent="0.35">
      <c r="A195" s="273" t="s">
        <v>536</v>
      </c>
    </row>
    <row r="196" spans="1:12" ht="36.6" thickBot="1" x14ac:dyDescent="0.35">
      <c r="A196" s="18" t="s">
        <v>393</v>
      </c>
      <c r="B196" s="130">
        <f>'Вариативные ставки'!B59</f>
        <v>0.18516293810914031</v>
      </c>
    </row>
    <row r="197" spans="1:12" ht="18.600000000000001" thickBot="1" x14ac:dyDescent="0.35">
      <c r="A197" s="18" t="s">
        <v>537</v>
      </c>
      <c r="C197" s="75">
        <f>C144</f>
        <v>-5000</v>
      </c>
      <c r="D197" s="75">
        <f t="shared" ref="D197:H197" si="109">D144</f>
        <v>1951.0844748858435</v>
      </c>
      <c r="E197" s="75">
        <f t="shared" si="109"/>
        <v>280.01757990867554</v>
      </c>
      <c r="F197" s="75">
        <f t="shared" si="109"/>
        <v>4591.6344178082181</v>
      </c>
      <c r="G197" s="75">
        <f t="shared" si="109"/>
        <v>8196.8856952054848</v>
      </c>
      <c r="H197" s="75">
        <f t="shared" si="109"/>
        <v>10406.142446601014</v>
      </c>
      <c r="I197" s="227">
        <f>SUM(C197:H197)</f>
        <v>20425.764614409236</v>
      </c>
      <c r="J197" s="226">
        <f>'Вариативные ставки'!I61</f>
        <v>24976.386169999991</v>
      </c>
    </row>
    <row r="198" spans="1:12" ht="21.6" thickBot="1" x14ac:dyDescent="0.35">
      <c r="A198" s="161" t="s">
        <v>78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199.35593702275162</v>
      </c>
      <c r="F198" s="8">
        <f>F197*'Вариативные ставки'!F63</f>
        <v>2758.2467601522139</v>
      </c>
      <c r="G198" s="8">
        <f>G197*'Вариативные ставки'!G63</f>
        <v>4154.6709285564193</v>
      </c>
      <c r="H198" s="8">
        <f>H197*'Вариативные ставки'!H63</f>
        <v>4450.4041995888165</v>
      </c>
      <c r="I198" s="81">
        <f>SUM(C198:H198)</f>
        <v>8208.9362528733673</v>
      </c>
      <c r="J198" s="226">
        <f>'Вариативные ставки'!I64</f>
        <v>11007.325678089361</v>
      </c>
    </row>
    <row r="199" spans="1:12" ht="21.6" thickBot="1" x14ac:dyDescent="0.35">
      <c r="A199" s="229" t="s">
        <v>214</v>
      </c>
      <c r="I199" s="91">
        <f>IRR(C197:H197,0.0001)</f>
        <v>0.56831070827024854</v>
      </c>
      <c r="J199" s="228">
        <f>'Вариативные ставки'!I66</f>
        <v>0.71462228398451022</v>
      </c>
    </row>
    <row r="200" spans="1:12" ht="16.2" thickBot="1" x14ac:dyDescent="0.35">
      <c r="A200" s="230" t="s">
        <v>538</v>
      </c>
      <c r="B200" s="230"/>
      <c r="C200" s="231">
        <f>C198</f>
        <v>-5000</v>
      </c>
      <c r="D200" s="231">
        <f>C200+D198</f>
        <v>-3353.7415724468337</v>
      </c>
      <c r="E200" s="231">
        <f t="shared" ref="E200:H200" si="110">D200+E198</f>
        <v>-3154.385635424082</v>
      </c>
      <c r="F200" s="231">
        <f t="shared" si="110"/>
        <v>-396.13887527186807</v>
      </c>
      <c r="G200" s="231">
        <f t="shared" si="110"/>
        <v>3758.5320532845512</v>
      </c>
      <c r="H200" s="231">
        <f t="shared" si="110"/>
        <v>8208.9362528733673</v>
      </c>
    </row>
    <row r="201" spans="1:12" ht="21.6" thickBot="1" x14ac:dyDescent="0.35">
      <c r="A201" s="229" t="s">
        <v>65</v>
      </c>
      <c r="G201" s="20">
        <f>G200/G198</f>
        <v>0.90465216569883422</v>
      </c>
      <c r="I201" s="85">
        <f>COUNTIF(C200:H200,"&lt;0")-G201</f>
        <v>3.0953478343011658</v>
      </c>
      <c r="J201" s="95">
        <f>'Вариативные ставки'!I90</f>
        <v>2.5833994956627619</v>
      </c>
    </row>
    <row r="202" spans="1:12" ht="15.6" x14ac:dyDescent="0.3">
      <c r="A202" s="274" t="s">
        <v>539</v>
      </c>
      <c r="B202" s="130">
        <f>'Вариативные ставки'!B95</f>
        <v>0.1</v>
      </c>
      <c r="C202" s="232">
        <f>IF(C197&gt;0,C197*'Вариативные ставки'!C73,0)</f>
        <v>0</v>
      </c>
      <c r="D202" s="232">
        <f>IF(D197&gt;0,D197*'Вариативные ставки'!D73,0)</f>
        <v>2856.5827796803642</v>
      </c>
      <c r="E202" s="232">
        <f>IF(E197&gt;0,E197*'Вариативные ставки'!E73,0)</f>
        <v>372.70339885844726</v>
      </c>
      <c r="F202" s="232">
        <f>IF(F197&gt;0,F197*'Вариативные ставки'!F73,0)</f>
        <v>5555.8776455479447</v>
      </c>
      <c r="G202" s="232">
        <f>IF(G197&gt;0,G197*'Вариативные ставки'!G73,0)</f>
        <v>9016.574264726034</v>
      </c>
      <c r="H202" s="232">
        <f>IF(H197&gt;0,H197*'Вариативные ставки'!H73,0)</f>
        <v>10406.142446601014</v>
      </c>
      <c r="I202" s="29">
        <f>SUM(C202:H202)</f>
        <v>28207.880535413802</v>
      </c>
    </row>
    <row r="203" spans="1:12" ht="31.2" x14ac:dyDescent="0.3">
      <c r="A203" s="274" t="s">
        <v>540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1.8" thickBot="1" x14ac:dyDescent="0.35">
      <c r="A204" s="274" t="s">
        <v>541</v>
      </c>
      <c r="B204" s="130">
        <f>B203</f>
        <v>0.18516293810914031</v>
      </c>
      <c r="I204" s="29">
        <f>I202/(1+B204)^G4</f>
        <v>12063.689368129832</v>
      </c>
      <c r="L204" s="20"/>
    </row>
    <row r="205" spans="1:12" ht="21.6" thickBot="1" x14ac:dyDescent="0.35">
      <c r="A205" s="229" t="s">
        <v>66</v>
      </c>
      <c r="I205" s="81">
        <f>I204-I203</f>
        <v>7063.6893681298316</v>
      </c>
      <c r="J205" s="233">
        <f>'Вариативные ставки'!I78</f>
        <v>9338.6136917972744</v>
      </c>
    </row>
    <row r="206" spans="1:12" ht="42.6" thickBot="1" x14ac:dyDescent="0.35">
      <c r="A206" s="229" t="s">
        <v>42</v>
      </c>
      <c r="I206" s="87">
        <f>MIRR(C197:H197,B203,B202)</f>
        <v>0.41344882864263055</v>
      </c>
      <c r="J206" s="234">
        <f>'Вариативные ставки'!I80</f>
        <v>0.44660141593824876</v>
      </c>
    </row>
    <row r="207" spans="1:12" ht="105" thickBot="1" x14ac:dyDescent="0.35">
      <c r="A207" s="173" t="s">
        <v>542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543</v>
      </c>
    </row>
    <row r="208" spans="1:12" ht="36.6" thickBot="1" x14ac:dyDescent="0.35">
      <c r="A208" s="18" t="s">
        <v>544</v>
      </c>
      <c r="C208" s="3">
        <f>C149</f>
        <v>5000</v>
      </c>
      <c r="D208" s="3">
        <f t="shared" ref="D208:H208" si="111">D149</f>
        <v>6775</v>
      </c>
      <c r="E208" s="3">
        <f t="shared" si="111"/>
        <v>10750</v>
      </c>
      <c r="F208" s="3">
        <f t="shared" si="111"/>
        <v>9149.1666666666661</v>
      </c>
      <c r="G208" s="3">
        <f t="shared" si="111"/>
        <v>7694.5</v>
      </c>
      <c r="H208" s="3">
        <f t="shared" si="111"/>
        <v>6309.2</v>
      </c>
      <c r="I208" s="233">
        <f>AVERAGE(C208:H208)</f>
        <v>7612.9777777777772</v>
      </c>
      <c r="J208"/>
    </row>
    <row r="209" spans="1:10" ht="18.600000000000001" thickBot="1" x14ac:dyDescent="0.35">
      <c r="A209" s="14" t="s">
        <v>545</v>
      </c>
      <c r="C209" s="3">
        <f>C25</f>
        <v>0</v>
      </c>
      <c r="D209" s="3">
        <f t="shared" ref="D209:H209" si="112">D25</f>
        <v>3300</v>
      </c>
      <c r="E209" s="3">
        <f t="shared" si="112"/>
        <v>-1676</v>
      </c>
      <c r="F209" s="3">
        <f t="shared" si="112"/>
        <v>5308.1333333333332</v>
      </c>
      <c r="G209" s="3">
        <f t="shared" si="112"/>
        <v>7512.4146666666684</v>
      </c>
      <c r="H209" s="3">
        <f t="shared" si="112"/>
        <v>9841.0381699999944</v>
      </c>
      <c r="I209" s="233">
        <f>AVERAGE(C209:H209)</f>
        <v>4047.597694999999</v>
      </c>
      <c r="J209"/>
    </row>
    <row r="210" spans="1:10" ht="63.6" thickBot="1" x14ac:dyDescent="0.35">
      <c r="A210" s="275" t="s">
        <v>546</v>
      </c>
      <c r="I210" s="87">
        <f>I209/I208</f>
        <v>0.53167076184235096</v>
      </c>
    </row>
    <row r="211" spans="1:10" ht="81.599999999999994" thickBot="1" x14ac:dyDescent="0.35">
      <c r="A211" s="173" t="s">
        <v>547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543</v>
      </c>
    </row>
    <row r="212" spans="1:10" ht="18" x14ac:dyDescent="0.3">
      <c r="A212" s="18" t="s">
        <v>618</v>
      </c>
      <c r="D212" s="3">
        <f>D20</f>
        <v>4750</v>
      </c>
      <c r="E212" s="3">
        <f t="shared" ref="E212:H212" si="113">E20</f>
        <v>-231</v>
      </c>
      <c r="F212" s="3">
        <f t="shared" si="113"/>
        <v>8656</v>
      </c>
      <c r="G212" s="3">
        <f t="shared" si="113"/>
        <v>11245.185000000001</v>
      </c>
      <c r="H212" s="3">
        <f t="shared" si="113"/>
        <v>14091.597712499992</v>
      </c>
    </row>
    <row r="213" spans="1:10" ht="54.6" thickBot="1" x14ac:dyDescent="0.35">
      <c r="A213" s="263" t="s">
        <v>548</v>
      </c>
      <c r="D213" s="3">
        <f>-D18-D23</f>
        <v>5400</v>
      </c>
      <c r="E213" s="3">
        <f t="shared" ref="E213:H213" si="114">-E18-E23</f>
        <v>6420</v>
      </c>
      <c r="F213" s="3">
        <f t="shared" si="114"/>
        <v>7420</v>
      </c>
      <c r="G213" s="3">
        <f t="shared" si="114"/>
        <v>8400</v>
      </c>
      <c r="H213" s="3">
        <f t="shared" si="114"/>
        <v>9405</v>
      </c>
    </row>
    <row r="214" spans="1:10" ht="42.6" thickBot="1" x14ac:dyDescent="0.35">
      <c r="A214" s="275" t="s">
        <v>549</v>
      </c>
      <c r="D214" s="97">
        <f>D212/D213</f>
        <v>0.87962962962962965</v>
      </c>
      <c r="E214" s="97">
        <f t="shared" ref="E214:H214" si="115">E212/E213</f>
        <v>-3.5981308411214954E-2</v>
      </c>
      <c r="F214" s="97">
        <f t="shared" si="115"/>
        <v>1.1665768194070081</v>
      </c>
      <c r="G214" s="97">
        <f t="shared" si="115"/>
        <v>1.3387125000000002</v>
      </c>
      <c r="H214" s="97">
        <f t="shared" si="115"/>
        <v>1.4983091666666657</v>
      </c>
      <c r="I214" s="83">
        <f>AVERAGE(D214:H214)</f>
        <v>0.96944936145841765</v>
      </c>
    </row>
    <row r="215" spans="1:10" ht="42.6" thickBot="1" x14ac:dyDescent="0.35">
      <c r="A215" s="275" t="s">
        <v>619</v>
      </c>
      <c r="D215" s="20">
        <f>D154/D175</f>
        <v>8.6376453128864679</v>
      </c>
      <c r="E215" s="20">
        <f t="shared" ref="E215:H215" si="116">E154/E175</f>
        <v>10.81415039176704</v>
      </c>
      <c r="F215" s="20">
        <f t="shared" si="116"/>
        <v>12.899436261441391</v>
      </c>
      <c r="G215" s="20">
        <f t="shared" si="116"/>
        <v>19.803290289191811</v>
      </c>
      <c r="H215" s="20">
        <f t="shared" si="116"/>
        <v>26.314976993799103</v>
      </c>
      <c r="I215" s="83">
        <f t="shared" ref="I215:I217" si="117">AVERAGE(D215:H215)</f>
        <v>15.693899849817162</v>
      </c>
    </row>
    <row r="216" spans="1:10" ht="42.6" thickBot="1" x14ac:dyDescent="0.35">
      <c r="A216" s="275" t="s">
        <v>620</v>
      </c>
      <c r="D216" s="20">
        <f>D159/D175</f>
        <v>1.4896116744991343</v>
      </c>
      <c r="E216" s="20">
        <f t="shared" ref="E216:H216" si="118">E159/E175</f>
        <v>1.0048064553853351</v>
      </c>
      <c r="F216" s="20">
        <f t="shared" si="118"/>
        <v>1.5807635325024438</v>
      </c>
      <c r="G216" s="20">
        <f t="shared" si="118"/>
        <v>1.6421510682353693</v>
      </c>
      <c r="H216" s="20">
        <f t="shared" si="118"/>
        <v>1.6859433684244827</v>
      </c>
      <c r="I216" s="83">
        <f t="shared" si="117"/>
        <v>1.480655219809353</v>
      </c>
    </row>
    <row r="217" spans="1:10" ht="42.6" thickBot="1" x14ac:dyDescent="0.35">
      <c r="A217" s="275" t="s">
        <v>621</v>
      </c>
      <c r="D217" s="20">
        <f>(D158+D159+D160)/D175</f>
        <v>7.3198120207766477</v>
      </c>
      <c r="E217" s="20">
        <f t="shared" ref="E217:H217" si="119">(E158+E159+E160)/E175</f>
        <v>9.684514091919068</v>
      </c>
      <c r="F217" s="20">
        <f t="shared" si="119"/>
        <v>11.524982782369143</v>
      </c>
      <c r="G217" s="20">
        <f t="shared" si="119"/>
        <v>18.397478552197754</v>
      </c>
      <c r="H217" s="20">
        <f t="shared" si="119"/>
        <v>24.887821687064125</v>
      </c>
      <c r="I217" s="83">
        <f t="shared" si="117"/>
        <v>14.362921826865346</v>
      </c>
    </row>
  </sheetData>
  <mergeCells count="7">
    <mergeCell ref="J54:L54"/>
    <mergeCell ref="J55:L55"/>
    <mergeCell ref="C69:H69"/>
    <mergeCell ref="C50:H50"/>
    <mergeCell ref="E59:J59"/>
    <mergeCell ref="J51:P51"/>
    <mergeCell ref="J50:Q5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D25" workbookViewId="0">
      <selection activeCell="G3" sqref="G3"/>
    </sheetView>
  </sheetViews>
  <sheetFormatPr defaultColWidth="8.88671875" defaultRowHeight="14.4" x14ac:dyDescent="0.3"/>
  <cols>
    <col min="1" max="4" width="40.6640625" style="68" customWidth="1"/>
    <col min="5" max="5" width="23.88671875" style="151" customWidth="1"/>
    <col min="6" max="6" width="50.6640625" style="68" customWidth="1"/>
    <col min="7" max="7" width="72" style="68" customWidth="1"/>
    <col min="8" max="16384" width="8.88671875" style="68"/>
  </cols>
  <sheetData>
    <row r="1" spans="1:7" ht="93.6" x14ac:dyDescent="0.3">
      <c r="A1" s="304" t="s">
        <v>846</v>
      </c>
    </row>
    <row r="2" spans="1:7" s="73" customFormat="1" ht="21" x14ac:dyDescent="0.3">
      <c r="A2" s="72" t="s">
        <v>15</v>
      </c>
      <c r="B2" s="72" t="s">
        <v>844</v>
      </c>
      <c r="C2" s="72" t="s">
        <v>17</v>
      </c>
      <c r="D2" s="72" t="s">
        <v>843</v>
      </c>
      <c r="E2" s="72" t="s">
        <v>845</v>
      </c>
      <c r="F2" s="72" t="s">
        <v>847</v>
      </c>
      <c r="G2" s="72" t="s">
        <v>848</v>
      </c>
    </row>
    <row r="3" spans="1:7" ht="43.2" x14ac:dyDescent="0.3">
      <c r="A3" s="71" t="s">
        <v>216</v>
      </c>
      <c r="B3" s="68" t="s">
        <v>215</v>
      </c>
      <c r="C3" s="68" t="s">
        <v>217</v>
      </c>
      <c r="D3" s="68" t="s">
        <v>218</v>
      </c>
      <c r="E3" s="152" t="s">
        <v>565</v>
      </c>
      <c r="G3" s="68" t="s">
        <v>219</v>
      </c>
    </row>
    <row r="4" spans="1:7" ht="46.8" x14ac:dyDescent="0.3">
      <c r="A4" s="70" t="s">
        <v>72</v>
      </c>
      <c r="B4" s="68" t="s">
        <v>69</v>
      </c>
      <c r="C4" s="68" t="s">
        <v>71</v>
      </c>
      <c r="D4" s="68" t="s">
        <v>70</v>
      </c>
      <c r="E4" s="152" t="s">
        <v>220</v>
      </c>
    </row>
    <row r="5" spans="1:7" ht="57.6" x14ac:dyDescent="0.3">
      <c r="A5" s="69" t="s">
        <v>57</v>
      </c>
      <c r="B5" s="68" t="s">
        <v>41</v>
      </c>
      <c r="C5" s="68" t="s">
        <v>77</v>
      </c>
      <c r="D5" s="68" t="s">
        <v>76</v>
      </c>
      <c r="E5" s="152" t="s">
        <v>565</v>
      </c>
      <c r="F5" s="68" t="s">
        <v>566</v>
      </c>
    </row>
    <row r="6" spans="1:7" ht="61.2" x14ac:dyDescent="0.3">
      <c r="A6" s="68" t="s">
        <v>55</v>
      </c>
      <c r="B6" s="68" t="s">
        <v>35</v>
      </c>
      <c r="C6" s="68" t="s">
        <v>37</v>
      </c>
      <c r="D6" s="68" t="s">
        <v>36</v>
      </c>
      <c r="E6" s="152" t="s">
        <v>565</v>
      </c>
      <c r="F6" s="68" t="s">
        <v>567</v>
      </c>
    </row>
    <row r="7" spans="1:7" ht="72" x14ac:dyDescent="0.3">
      <c r="A7" s="69" t="s">
        <v>53</v>
      </c>
      <c r="B7" s="68" t="s">
        <v>31</v>
      </c>
      <c r="C7" s="68" t="s">
        <v>30</v>
      </c>
      <c r="D7" s="68" t="s">
        <v>27</v>
      </c>
      <c r="E7" s="152" t="s">
        <v>565</v>
      </c>
    </row>
    <row r="8" spans="1:7" ht="45" customHeight="1" x14ac:dyDescent="0.3">
      <c r="A8" s="71" t="s">
        <v>54</v>
      </c>
      <c r="B8" s="68" t="s">
        <v>33</v>
      </c>
      <c r="C8" s="68" t="s">
        <v>34</v>
      </c>
      <c r="D8" s="68" t="s">
        <v>32</v>
      </c>
      <c r="E8" s="152" t="s">
        <v>221</v>
      </c>
    </row>
    <row r="9" spans="1:7" ht="72" x14ac:dyDescent="0.3">
      <c r="A9" s="71" t="s">
        <v>59</v>
      </c>
      <c r="B9" s="68" t="s">
        <v>44</v>
      </c>
      <c r="C9" s="68" t="s">
        <v>45</v>
      </c>
      <c r="D9" s="68" t="s">
        <v>43</v>
      </c>
      <c r="E9" s="152" t="s">
        <v>222</v>
      </c>
      <c r="F9" s="68" t="s">
        <v>568</v>
      </c>
    </row>
    <row r="10" spans="1:7" ht="73.2" x14ac:dyDescent="0.3">
      <c r="A10" s="70" t="s">
        <v>60</v>
      </c>
      <c r="B10" s="68" t="s">
        <v>46</v>
      </c>
      <c r="C10" s="68" t="s">
        <v>48</v>
      </c>
      <c r="D10" s="68" t="s">
        <v>47</v>
      </c>
      <c r="E10" s="152" t="s">
        <v>565</v>
      </c>
    </row>
    <row r="11" spans="1:7" ht="57.6" x14ac:dyDescent="0.3">
      <c r="A11" s="71" t="s">
        <v>62</v>
      </c>
      <c r="B11" s="68" t="s">
        <v>63</v>
      </c>
      <c r="C11" s="68" t="s">
        <v>64</v>
      </c>
      <c r="D11" s="68" t="s">
        <v>61</v>
      </c>
      <c r="E11" s="152" t="s">
        <v>565</v>
      </c>
    </row>
    <row r="12" spans="1:7" ht="45" customHeight="1" x14ac:dyDescent="0.3">
      <c r="A12" s="70" t="s">
        <v>49</v>
      </c>
      <c r="B12" s="68" t="s">
        <v>16</v>
      </c>
      <c r="C12" s="68" t="s">
        <v>18</v>
      </c>
      <c r="D12" s="68" t="s">
        <v>22</v>
      </c>
      <c r="E12" s="152" t="s">
        <v>565</v>
      </c>
    </row>
    <row r="13" spans="1:7" ht="57.6" x14ac:dyDescent="0.3">
      <c r="A13" s="70" t="s">
        <v>67</v>
      </c>
      <c r="B13" s="68" t="s">
        <v>68</v>
      </c>
      <c r="C13" s="68" t="s">
        <v>73</v>
      </c>
      <c r="D13" s="68" t="s">
        <v>74</v>
      </c>
      <c r="E13" s="152" t="s">
        <v>85</v>
      </c>
    </row>
    <row r="14" spans="1:7" ht="57.6" x14ac:dyDescent="0.3">
      <c r="A14" s="70" t="s">
        <v>52</v>
      </c>
      <c r="B14" s="68" t="s">
        <v>23</v>
      </c>
      <c r="C14" s="68" t="s">
        <v>25</v>
      </c>
      <c r="D14" s="68" t="s">
        <v>26</v>
      </c>
      <c r="E14" s="152" t="s">
        <v>223</v>
      </c>
    </row>
    <row r="15" spans="1:7" ht="70.2" customHeight="1" x14ac:dyDescent="0.3">
      <c r="A15" s="71" t="s">
        <v>56</v>
      </c>
      <c r="B15" s="68" t="s">
        <v>38</v>
      </c>
      <c r="C15" s="68" t="s">
        <v>40</v>
      </c>
      <c r="D15" s="68" t="s">
        <v>39</v>
      </c>
      <c r="E15" s="152" t="s">
        <v>565</v>
      </c>
    </row>
    <row r="16" spans="1:7" ht="70.2" customHeight="1" x14ac:dyDescent="0.3">
      <c r="A16" s="70" t="s">
        <v>86</v>
      </c>
      <c r="B16" s="68" t="s">
        <v>89</v>
      </c>
      <c r="E16" s="152" t="s">
        <v>565</v>
      </c>
    </row>
    <row r="17" spans="1:7" ht="57.6" x14ac:dyDescent="0.3">
      <c r="A17" s="69" t="s">
        <v>51</v>
      </c>
      <c r="B17" s="68" t="s">
        <v>21</v>
      </c>
      <c r="C17" s="68" t="s">
        <v>29</v>
      </c>
      <c r="D17" s="68" t="s">
        <v>28</v>
      </c>
      <c r="E17" s="152" t="s">
        <v>565</v>
      </c>
    </row>
    <row r="18" spans="1:7" ht="43.2" x14ac:dyDescent="0.3">
      <c r="A18" s="70" t="s">
        <v>50</v>
      </c>
      <c r="B18" s="68" t="s">
        <v>19</v>
      </c>
      <c r="C18" s="68" t="s">
        <v>24</v>
      </c>
      <c r="D18" s="68" t="s">
        <v>20</v>
      </c>
      <c r="E18" s="152" t="s">
        <v>224</v>
      </c>
    </row>
    <row r="19" spans="1:7" ht="100.8" x14ac:dyDescent="0.3">
      <c r="A19" s="71" t="s">
        <v>58</v>
      </c>
      <c r="B19" s="68" t="s">
        <v>84</v>
      </c>
      <c r="C19" s="68" t="s">
        <v>82</v>
      </c>
      <c r="D19" s="68" t="s">
        <v>81</v>
      </c>
      <c r="E19" s="152" t="s">
        <v>565</v>
      </c>
      <c r="F19" s="68" t="s">
        <v>569</v>
      </c>
      <c r="G19" s="68" t="s">
        <v>83</v>
      </c>
    </row>
    <row r="20" spans="1:7" ht="57.6" x14ac:dyDescent="0.3">
      <c r="A20" s="71" t="s">
        <v>87</v>
      </c>
      <c r="B20" s="68" t="s">
        <v>88</v>
      </c>
      <c r="C20" s="68" t="s">
        <v>225</v>
      </c>
      <c r="D20" s="68" t="s">
        <v>629</v>
      </c>
      <c r="E20" s="152" t="s">
        <v>565</v>
      </c>
    </row>
    <row r="21" spans="1:7" ht="15" thickBot="1" x14ac:dyDescent="0.35"/>
    <row r="22" spans="1:7" ht="29.4" thickBot="1" x14ac:dyDescent="0.35">
      <c r="A22" s="89" t="s">
        <v>556</v>
      </c>
      <c r="B22" s="235"/>
      <c r="D22" s="368" t="s">
        <v>622</v>
      </c>
      <c r="E22" s="368"/>
      <c r="F22" s="368"/>
    </row>
    <row r="23" spans="1:7" ht="45" customHeight="1" thickBot="1" x14ac:dyDescent="0.35">
      <c r="A23" s="89" t="s">
        <v>557</v>
      </c>
      <c r="B23" s="236"/>
      <c r="D23" s="68" t="s">
        <v>623</v>
      </c>
      <c r="E23"/>
      <c r="F23"/>
    </row>
    <row r="24" spans="1:7" ht="45" customHeight="1" thickBot="1" x14ac:dyDescent="0.35">
      <c r="A24" s="89" t="s">
        <v>558</v>
      </c>
      <c r="B24" s="237"/>
      <c r="D24" s="68" t="s">
        <v>624</v>
      </c>
      <c r="E24" s="68"/>
      <c r="F24"/>
    </row>
    <row r="25" spans="1:7" ht="45" customHeight="1" x14ac:dyDescent="0.3">
      <c r="D25" s="68" t="s">
        <v>625</v>
      </c>
      <c r="E25" s="68"/>
      <c r="F25"/>
    </row>
    <row r="26" spans="1:7" ht="45" customHeight="1" x14ac:dyDescent="0.3">
      <c r="B26" s="153" t="s">
        <v>555</v>
      </c>
      <c r="D26" s="68" t="s">
        <v>630</v>
      </c>
      <c r="E26"/>
    </row>
    <row r="27" spans="1:7" ht="45" customHeight="1" x14ac:dyDescent="0.3">
      <c r="A27" s="68" t="s">
        <v>559</v>
      </c>
      <c r="D27" s="68" t="s">
        <v>626</v>
      </c>
      <c r="E27"/>
    </row>
    <row r="28" spans="1:7" ht="45" customHeight="1" x14ac:dyDescent="0.3">
      <c r="A28" s="68" t="s">
        <v>560</v>
      </c>
      <c r="D28" s="68" t="s">
        <v>627</v>
      </c>
      <c r="E28"/>
      <c r="F28"/>
    </row>
    <row r="29" spans="1:7" ht="45" customHeight="1" x14ac:dyDescent="0.3">
      <c r="A29" s="68" t="s">
        <v>561</v>
      </c>
      <c r="B29"/>
      <c r="D29" s="68" t="s">
        <v>628</v>
      </c>
      <c r="E29"/>
    </row>
    <row r="30" spans="1:7" ht="45" customHeight="1" x14ac:dyDescent="0.3">
      <c r="A30" s="68" t="s">
        <v>562</v>
      </c>
    </row>
    <row r="31" spans="1:7" ht="45" customHeight="1" x14ac:dyDescent="0.3">
      <c r="A31" s="68" t="s">
        <v>561</v>
      </c>
      <c r="B31"/>
    </row>
    <row r="32" spans="1:7" ht="45" customHeight="1" x14ac:dyDescent="0.3">
      <c r="A32" s="68" t="s">
        <v>563</v>
      </c>
      <c r="B32"/>
    </row>
    <row r="33" spans="1:2" ht="45" customHeight="1" x14ac:dyDescent="0.3">
      <c r="A33" s="68" t="s">
        <v>564</v>
      </c>
      <c r="B33"/>
    </row>
  </sheetData>
  <mergeCells count="1"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3"/>
  <sheetViews>
    <sheetView topLeftCell="A146" workbookViewId="0">
      <selection activeCell="I4" sqref="I4"/>
    </sheetView>
  </sheetViews>
  <sheetFormatPr defaultColWidth="8.88671875" defaultRowHeight="14.4" x14ac:dyDescent="0.3"/>
  <cols>
    <col min="1" max="1" width="51.5546875" style="1" customWidth="1"/>
    <col min="2" max="2" width="10.441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3" ht="28.8" x14ac:dyDescent="0.3">
      <c r="A1" s="221" t="s">
        <v>586</v>
      </c>
      <c r="C1" s="6"/>
      <c r="E1" s="44"/>
    </row>
    <row r="2" spans="1:13" ht="18.600000000000001" thickBot="1" x14ac:dyDescent="0.35">
      <c r="A2" s="12" t="s">
        <v>213</v>
      </c>
      <c r="C2" s="6"/>
      <c r="E2" s="44"/>
    </row>
    <row r="3" spans="1:13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3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3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3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3" ht="16.2" thickBot="1" x14ac:dyDescent="0.35">
      <c r="A7" s="1" t="s">
        <v>235</v>
      </c>
      <c r="C7" s="7"/>
      <c r="D7" s="245">
        <v>75</v>
      </c>
      <c r="E7" s="1">
        <f>D7*0.4</f>
        <v>30</v>
      </c>
      <c r="F7" s="1">
        <f>E7*4.166667</f>
        <v>125.00001</v>
      </c>
      <c r="G7" s="1">
        <f>F7*1.2</f>
        <v>150.000012</v>
      </c>
      <c r="H7" s="1">
        <f>G7*1.166667</f>
        <v>175.00006400000399</v>
      </c>
      <c r="I7" s="8">
        <f t="shared" ref="I7" si="1">SUM(D7:H7)</f>
        <v>555.00008600000399</v>
      </c>
      <c r="K7" s="64"/>
      <c r="L7" s="64"/>
      <c r="M7" s="64"/>
    </row>
    <row r="8" spans="1:13" s="6" customFormat="1" ht="16.2" thickBot="1" x14ac:dyDescent="0.35">
      <c r="A8" s="99" t="s">
        <v>348</v>
      </c>
      <c r="B8" s="99"/>
      <c r="C8" s="100"/>
      <c r="D8" s="244">
        <v>0.06</v>
      </c>
      <c r="E8" s="241">
        <f>D8*0.8333</f>
        <v>4.9998000000000001E-2</v>
      </c>
      <c r="F8" s="241">
        <f>E8*0.9</f>
        <v>4.4998200000000002E-2</v>
      </c>
      <c r="G8" s="241">
        <f>F8*0.8889</f>
        <v>3.9998899980000002E-2</v>
      </c>
      <c r="H8" s="241">
        <f>G8</f>
        <v>3.9998899980000002E-2</v>
      </c>
      <c r="I8" s="102"/>
      <c r="K8" s="246"/>
      <c r="L8" s="246"/>
      <c r="M8" s="246"/>
    </row>
    <row r="9" spans="1:13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209.99959999999999</v>
      </c>
      <c r="F9" s="7">
        <f t="shared" ref="F9:H9" si="2">E9*(1+F8)</f>
        <v>219.44920400071999</v>
      </c>
      <c r="G9" s="7">
        <f t="shared" si="2"/>
        <v>228.22693076223541</v>
      </c>
      <c r="H9" s="7">
        <f t="shared" si="2"/>
        <v>237.35575693853647</v>
      </c>
      <c r="I9" s="8">
        <f>SUM(D9:H9)/COUNTA(D9:H9)</f>
        <v>219.00629834029837</v>
      </c>
    </row>
    <row r="10" spans="1:13" ht="16.2" thickBot="1" x14ac:dyDescent="0.35">
      <c r="A10" s="4" t="s">
        <v>350</v>
      </c>
      <c r="B10" s="4"/>
      <c r="C10" s="11"/>
      <c r="D10" s="11">
        <f>D9*D7</f>
        <v>15000</v>
      </c>
      <c r="E10" s="11">
        <f>E9*E7</f>
        <v>6299.9879999999994</v>
      </c>
      <c r="F10" s="11">
        <f>F9*F7</f>
        <v>27431.152694582041</v>
      </c>
      <c r="G10" s="11">
        <f>G9*G7</f>
        <v>34234.042353058481</v>
      </c>
      <c r="H10" s="11">
        <f>H9*H7</f>
        <v>41537.272655013272</v>
      </c>
      <c r="I10" s="8">
        <f>SUM(D10:H10)</f>
        <v>124502.4557026538</v>
      </c>
    </row>
    <row r="11" spans="1:13" s="6" customFormat="1" ht="16.2" thickBot="1" x14ac:dyDescent="0.35">
      <c r="A11" s="99" t="s">
        <v>351</v>
      </c>
      <c r="B11" s="99"/>
      <c r="C11" s="100"/>
      <c r="D11" s="244">
        <v>0.08</v>
      </c>
      <c r="E11" s="241">
        <f>D11*0.875</f>
        <v>7.0000000000000007E-2</v>
      </c>
      <c r="F11" s="241">
        <f>E11*0.857143</f>
        <v>6.0000010000000006E-2</v>
      </c>
      <c r="G11" s="241">
        <f>F11*0.8333</f>
        <v>4.9998008333000006E-2</v>
      </c>
      <c r="H11" s="241">
        <f>G11*0.9</f>
        <v>4.4998207499700009E-2</v>
      </c>
      <c r="I11" s="102"/>
      <c r="K11" s="241"/>
      <c r="L11" s="241"/>
      <c r="M11" s="241"/>
    </row>
    <row r="12" spans="1:13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-18775.251424745013</v>
      </c>
      <c r="G12" s="11">
        <f t="shared" si="3"/>
        <v>-22988.973182720525</v>
      </c>
      <c r="H12" s="11">
        <f t="shared" si="3"/>
        <v>-27445.808169422729</v>
      </c>
      <c r="I12" s="8">
        <f t="shared" ref="I12:I14" si="4">SUM(D12:H12)</f>
        <v>-85991.032776888271</v>
      </c>
    </row>
    <row r="13" spans="1:13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-3180.0000300000002</v>
      </c>
      <c r="G13" s="7">
        <f t="shared" ref="G13:H13" si="5">F13*(1+G11)</f>
        <v>-3338.9936979988806</v>
      </c>
      <c r="H13" s="7">
        <f t="shared" si="5"/>
        <v>-3489.2424292616247</v>
      </c>
      <c r="I13" s="8">
        <f t="shared" si="4"/>
        <v>-15008.236157260506</v>
      </c>
    </row>
    <row r="14" spans="1:13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-15595.251394745012</v>
      </c>
      <c r="G14" s="10">
        <f>-G15*G7</f>
        <v>-19649.979484721644</v>
      </c>
      <c r="H14" s="10">
        <f>-H15*H7</f>
        <v>-23956.565740161106</v>
      </c>
      <c r="I14" s="8">
        <f t="shared" si="4"/>
        <v>-70982.79661962777</v>
      </c>
    </row>
    <row r="15" spans="1:13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124.762001177</v>
      </c>
      <c r="G15" s="10">
        <f t="shared" si="6"/>
        <v>130.99985275148941</v>
      </c>
      <c r="H15" s="10">
        <f t="shared" si="6"/>
        <v>136.89461130803107</v>
      </c>
      <c r="I15" s="8">
        <f>SUM(D15:H15)/COUNTA(D15:H15)</f>
        <v>124.07129304730411</v>
      </c>
      <c r="J15" s="1"/>
    </row>
    <row r="16" spans="1:13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150.20199938180014</v>
      </c>
      <c r="G16" s="10">
        <f>-G12/G7</f>
        <v>153.25980895735211</v>
      </c>
      <c r="H16" s="10">
        <f>-H12/H7</f>
        <v>156.83313218343795</v>
      </c>
      <c r="I16" s="8">
        <f>SUM(D16:H16)/COUNTA(D16:H16)</f>
        <v>162.93232143785139</v>
      </c>
      <c r="J16" s="1"/>
    </row>
    <row r="17" spans="1:13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13" s="143" customFormat="1" ht="16.2" thickBot="1" x14ac:dyDescent="0.35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13" s="6" customFormat="1" ht="16.2" thickBot="1" x14ac:dyDescent="0.35">
      <c r="A19" s="99" t="s">
        <v>354</v>
      </c>
      <c r="B19" s="99"/>
      <c r="C19" s="100"/>
      <c r="D19" s="244">
        <v>0.08</v>
      </c>
      <c r="E19" s="241">
        <f>D19*0.875</f>
        <v>7.0000000000000007E-2</v>
      </c>
      <c r="F19" s="241">
        <f>E19*0.857143</f>
        <v>6.0000010000000006E-2</v>
      </c>
      <c r="G19" s="241">
        <f>F19*0.8333</f>
        <v>4.9998008333000006E-2</v>
      </c>
      <c r="H19" s="241">
        <f>G19*0.9</f>
        <v>4.4998207499700009E-2</v>
      </c>
      <c r="I19" s="102"/>
      <c r="K19" s="246"/>
      <c r="L19" s="246"/>
      <c r="M19" s="246"/>
    </row>
    <row r="20" spans="1:13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-231.01200000000063</v>
      </c>
      <c r="F20" s="8">
        <f t="shared" si="9"/>
        <v>8655.9012698370279</v>
      </c>
      <c r="G20" s="8">
        <f t="shared" si="9"/>
        <v>11245.069170337956</v>
      </c>
      <c r="H20" s="8">
        <f t="shared" si="9"/>
        <v>14091.464485590543</v>
      </c>
      <c r="I20" s="49">
        <f t="shared" si="7"/>
        <v>38511.422925765524</v>
      </c>
    </row>
    <row r="21" spans="1:13" s="5" customFormat="1" ht="15.6" x14ac:dyDescent="0.3">
      <c r="A21" s="5" t="s">
        <v>247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-1600.8333783333333</v>
      </c>
      <c r="G21" s="9">
        <f t="shared" si="10"/>
        <v>-1454.6667206666666</v>
      </c>
      <c r="H21" s="9">
        <f t="shared" si="10"/>
        <v>-1385.3002880000179</v>
      </c>
      <c r="I21" s="8">
        <f t="shared" si="7"/>
        <v>-5690.8003870000175</v>
      </c>
    </row>
    <row r="22" spans="1:13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-1256.0120000000006</v>
      </c>
      <c r="F22" s="8">
        <f t="shared" si="11"/>
        <v>7055.0678915036951</v>
      </c>
      <c r="G22" s="8">
        <f t="shared" si="11"/>
        <v>9790.40244967129</v>
      </c>
      <c r="H22" s="8">
        <f t="shared" si="11"/>
        <v>12706.164197590524</v>
      </c>
      <c r="I22" s="8">
        <f t="shared" si="7"/>
        <v>32820.622538765507</v>
      </c>
    </row>
    <row r="23" spans="1:13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2">-E17*E19</f>
        <v>-420.00000000000006</v>
      </c>
      <c r="F23" s="144">
        <f t="shared" si="12"/>
        <v>-420.00007000000005</v>
      </c>
      <c r="G23" s="144">
        <f t="shared" si="12"/>
        <v>-399.98406666400007</v>
      </c>
      <c r="H23" s="144">
        <f t="shared" si="12"/>
        <v>-404.98386749730008</v>
      </c>
      <c r="I23" s="145">
        <f t="shared" si="7"/>
        <v>-2044.9680041613001</v>
      </c>
    </row>
    <row r="24" spans="1:13" s="5" customFormat="1" ht="16.2" thickBot="1" x14ac:dyDescent="0.35">
      <c r="A24" s="5" t="s">
        <v>249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-1327.0135643007391</v>
      </c>
      <c r="G24" s="9">
        <f t="shared" si="14"/>
        <v>-1878.0836766014581</v>
      </c>
      <c r="H24" s="9">
        <f t="shared" si="14"/>
        <v>-2460.236066018645</v>
      </c>
      <c r="I24" s="8">
        <f t="shared" si="7"/>
        <v>-6490.333306920842</v>
      </c>
    </row>
    <row r="25" spans="1:13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5">E22+E23+E24</f>
        <v>-1676.0120000000006</v>
      </c>
      <c r="F25" s="8">
        <f t="shared" si="15"/>
        <v>5308.0542572029563</v>
      </c>
      <c r="G25" s="8">
        <f t="shared" si="15"/>
        <v>7512.3347064058325</v>
      </c>
      <c r="H25" s="8">
        <f t="shared" si="15"/>
        <v>9840.9442640745801</v>
      </c>
      <c r="I25" s="49">
        <f t="shared" si="7"/>
        <v>24285.321227683369</v>
      </c>
    </row>
    <row r="26" spans="1:13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2873.9879999999976</v>
      </c>
      <c r="G26" s="9">
        <f t="shared" si="16"/>
        <v>9782.8756355362857</v>
      </c>
      <c r="H26" s="9">
        <f t="shared" si="16"/>
        <v>18749.877062608779</v>
      </c>
      <c r="I26" s="9">
        <f>C26</f>
        <v>5000</v>
      </c>
    </row>
    <row r="27" spans="1:13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7">E10+E5+E17</f>
        <v>17299.987999999998</v>
      </c>
      <c r="F27" s="11">
        <f t="shared" si="17"/>
        <v>34431.152694582037</v>
      </c>
      <c r="G27" s="11">
        <f t="shared" si="17"/>
        <v>42234.042353058481</v>
      </c>
      <c r="H27" s="11">
        <f t="shared" si="17"/>
        <v>50537.272655013272</v>
      </c>
      <c r="I27" s="11">
        <f t="shared" si="7"/>
        <v>166502.4557026538</v>
      </c>
    </row>
    <row r="28" spans="1:13" s="4" customFormat="1" ht="15" thickBot="1" x14ac:dyDescent="0.35">
      <c r="A28" s="4" t="s">
        <v>251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-27522.265059045749</v>
      </c>
      <c r="G28" s="11">
        <f t="shared" si="19"/>
        <v>-33267.040925985988</v>
      </c>
      <c r="H28" s="11">
        <f t="shared" si="19"/>
        <v>-39311.028102938675</v>
      </c>
      <c r="I28" s="11">
        <f>SUM(C28:H28)</f>
        <v>-141526.3340879704</v>
      </c>
    </row>
    <row r="29" spans="1:13" s="4" customFormat="1" ht="29.4" thickBot="1" x14ac:dyDescent="0.35">
      <c r="A29" s="258" t="s">
        <v>253</v>
      </c>
      <c r="C29" s="11">
        <f>C6</f>
        <v>-5000</v>
      </c>
      <c r="D29" s="11">
        <f>D28+D27</f>
        <v>3525</v>
      </c>
      <c r="E29" s="11">
        <f t="shared" ref="E29:H29" si="20">E28+E27</f>
        <v>-651.01200000000244</v>
      </c>
      <c r="F29" s="11">
        <f t="shared" si="20"/>
        <v>6908.8876355362881</v>
      </c>
      <c r="G29" s="11">
        <f t="shared" si="20"/>
        <v>8967.0014270724932</v>
      </c>
      <c r="H29" s="11">
        <f t="shared" si="20"/>
        <v>11226.244552074597</v>
      </c>
      <c r="I29" s="42">
        <f>SUM(C29:H29)</f>
        <v>24976.121614683376</v>
      </c>
    </row>
    <row r="30" spans="1:13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1">E29+E26</f>
        <v>2873.9879999999976</v>
      </c>
      <c r="F30" s="9">
        <f t="shared" si="21"/>
        <v>9782.8756355362857</v>
      </c>
      <c r="G30" s="9">
        <f t="shared" si="21"/>
        <v>18749.877062608779</v>
      </c>
      <c r="H30" s="9">
        <f t="shared" si="21"/>
        <v>29976.121614683376</v>
      </c>
      <c r="I30" s="9">
        <f>H30</f>
        <v>29976.121614683376</v>
      </c>
    </row>
    <row r="31" spans="1:13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2">D31+E29</f>
        <v>-2126.0120000000024</v>
      </c>
      <c r="F31" s="9">
        <f t="shared" si="22"/>
        <v>4782.8756355362857</v>
      </c>
      <c r="G31" s="9">
        <f t="shared" si="22"/>
        <v>13749.877062608779</v>
      </c>
      <c r="H31" s="9">
        <f t="shared" si="22"/>
        <v>24976.121614683376</v>
      </c>
      <c r="I31" s="46">
        <f>H31</f>
        <v>24976.121614683376</v>
      </c>
    </row>
    <row r="32" spans="1:13" ht="31.8" thickBot="1" x14ac:dyDescent="0.35">
      <c r="A32" s="265" t="s">
        <v>355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1327.0135643007391</v>
      </c>
      <c r="H32" s="109">
        <f t="shared" si="23"/>
        <v>1878.0836766014581</v>
      </c>
      <c r="I32" s="110">
        <f>SUM(C32:H32)</f>
        <v>4030.097240902197</v>
      </c>
    </row>
    <row r="33" spans="1:9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9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-1.048634105263158</v>
      </c>
      <c r="F34" s="116">
        <f>(F20-E20)/E20</f>
        <v>-38.46948760167006</v>
      </c>
      <c r="G34" s="116">
        <f>(G20-F20)/F20</f>
        <v>0.29912169972678959</v>
      </c>
      <c r="H34" s="116">
        <f>(H20-G20)/G20</f>
        <v>0.25312386007911425</v>
      </c>
      <c r="I34" s="126">
        <f>AVERAGE(E34:H34)</f>
        <v>-9.7414690367818277</v>
      </c>
    </row>
    <row r="35" spans="1:9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-1.2775717127071824</v>
      </c>
      <c r="F35" s="125">
        <f t="shared" ref="F35:H35" si="24">(F22-E22)/E22</f>
        <v>-6.6170386043315599</v>
      </c>
      <c r="G35" s="125">
        <f t="shared" si="24"/>
        <v>0.38771201074644712</v>
      </c>
      <c r="H35" s="125">
        <f t="shared" si="24"/>
        <v>0.29781837497570185</v>
      </c>
      <c r="I35" s="127">
        <f t="shared" ref="I35:I36" si="25">AVERAGE(E35:H35)</f>
        <v>-1.8022699828291484</v>
      </c>
    </row>
    <row r="36" spans="1:9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-1.5078824242424245</v>
      </c>
      <c r="F36" s="116">
        <f t="shared" ref="F36:H36" si="26">(F25-E25)/E25</f>
        <v>-4.1670741362251311</v>
      </c>
      <c r="G36" s="116">
        <f t="shared" si="26"/>
        <v>0.41527089633865333</v>
      </c>
      <c r="H36" s="116">
        <f t="shared" si="26"/>
        <v>0.30997148671812003</v>
      </c>
      <c r="I36" s="126">
        <f t="shared" si="25"/>
        <v>-1.2374285443526956</v>
      </c>
    </row>
    <row r="37" spans="1:9" s="64" customFormat="1" ht="36.6" hidden="1" thickBot="1" x14ac:dyDescent="0.35">
      <c r="A37" s="61" t="s">
        <v>119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7</v>
      </c>
    </row>
    <row r="38" spans="1:9" s="64" customFormat="1" ht="21.6" hidden="1" thickBot="1" x14ac:dyDescent="0.35">
      <c r="A38" s="161" t="s">
        <v>120</v>
      </c>
      <c r="E38" s="154"/>
      <c r="F38" s="154"/>
      <c r="G38" s="154"/>
      <c r="H38" s="154"/>
      <c r="I38" s="155"/>
    </row>
    <row r="39" spans="1:9" s="64" customFormat="1" ht="15.6" hidden="1" x14ac:dyDescent="0.3">
      <c r="A39" s="181" t="s">
        <v>122</v>
      </c>
      <c r="B39" s="159">
        <f>C5</f>
        <v>5000</v>
      </c>
      <c r="C39" s="168">
        <f>B39</f>
        <v>5000</v>
      </c>
      <c r="D39" s="168">
        <f>C39-D46</f>
        <v>4775</v>
      </c>
      <c r="E39" s="168">
        <f t="shared" ref="E39:H39" si="27">D39-E46</f>
        <v>4550</v>
      </c>
      <c r="F39" s="168">
        <f t="shared" si="27"/>
        <v>4325</v>
      </c>
      <c r="G39" s="168">
        <f t="shared" si="27"/>
        <v>4100</v>
      </c>
      <c r="H39" s="168">
        <f t="shared" si="27"/>
        <v>3875</v>
      </c>
      <c r="I39" s="155"/>
    </row>
    <row r="40" spans="1:9" s="64" customFormat="1" ht="15.6" hidden="1" x14ac:dyDescent="0.3">
      <c r="A40" s="181" t="s">
        <v>135</v>
      </c>
      <c r="B40" s="159" t="s">
        <v>0</v>
      </c>
      <c r="E40" s="154"/>
      <c r="F40" s="154"/>
      <c r="G40" s="154"/>
      <c r="H40" s="154"/>
      <c r="I40" s="155"/>
    </row>
    <row r="41" spans="1:9" s="64" customFormat="1" ht="28.8" hidden="1" x14ac:dyDescent="0.3">
      <c r="A41" s="181" t="s">
        <v>121</v>
      </c>
      <c r="B41" s="158" t="s">
        <v>127</v>
      </c>
      <c r="C41" s="177" t="s">
        <v>155</v>
      </c>
      <c r="D41" s="146"/>
      <c r="E41" s="165"/>
      <c r="F41" s="165"/>
      <c r="G41" s="165"/>
      <c r="H41" s="165"/>
      <c r="I41"/>
    </row>
    <row r="42" spans="1:9" s="64" customFormat="1" ht="15.6" hidden="1" x14ac:dyDescent="0.3">
      <c r="A42" s="181" t="s">
        <v>126</v>
      </c>
      <c r="B42" s="159">
        <v>20</v>
      </c>
      <c r="E42" s="154"/>
      <c r="F42" s="154"/>
      <c r="G42" s="154"/>
      <c r="H42" s="154"/>
      <c r="I42" s="155"/>
    </row>
    <row r="43" spans="1:9" s="64" customFormat="1" ht="15.6" hidden="1" x14ac:dyDescent="0.3">
      <c r="A43" s="181" t="s">
        <v>123</v>
      </c>
      <c r="B43" s="159">
        <v>500</v>
      </c>
      <c r="E43" s="154"/>
      <c r="F43" s="154"/>
      <c r="G43" s="154"/>
      <c r="H43" s="154"/>
      <c r="I43" s="155"/>
    </row>
    <row r="44" spans="1:9" s="64" customFormat="1" ht="15.6" hidden="1" x14ac:dyDescent="0.3">
      <c r="A44" s="181" t="s">
        <v>140</v>
      </c>
      <c r="B44" s="159">
        <f>B39-B43</f>
        <v>4500</v>
      </c>
      <c r="E44" s="154"/>
      <c r="F44" s="154"/>
      <c r="G44" s="154"/>
      <c r="H44" s="154"/>
      <c r="I44" s="155"/>
    </row>
    <row r="45" spans="1:9" s="64" customFormat="1" ht="16.2" hidden="1" thickBot="1" x14ac:dyDescent="0.35">
      <c r="A45" s="181" t="s">
        <v>134</v>
      </c>
      <c r="B45" s="160">
        <f>1/B42</f>
        <v>0.05</v>
      </c>
      <c r="E45" s="154"/>
      <c r="F45" s="154"/>
      <c r="G45" s="154"/>
      <c r="H45" s="154"/>
      <c r="I45" s="155"/>
    </row>
    <row r="46" spans="1:9" s="64" customFormat="1" ht="18.600000000000001" hidden="1" thickBot="1" x14ac:dyDescent="0.35">
      <c r="A46" s="181" t="s">
        <v>133</v>
      </c>
      <c r="B46" s="163">
        <f>(B39-B43)/B42</f>
        <v>225</v>
      </c>
      <c r="D46" s="168">
        <f>B46</f>
        <v>225</v>
      </c>
      <c r="E46" s="168">
        <f>D46</f>
        <v>225</v>
      </c>
      <c r="F46" s="168">
        <f t="shared" ref="F46:H46" si="28">E46</f>
        <v>225</v>
      </c>
      <c r="G46" s="168">
        <f t="shared" si="28"/>
        <v>225</v>
      </c>
      <c r="H46" s="168">
        <f t="shared" si="28"/>
        <v>225</v>
      </c>
      <c r="I46" s="169">
        <f>SUM(D46:H46)</f>
        <v>1125</v>
      </c>
    </row>
    <row r="47" spans="1:9" s="64" customFormat="1" ht="26.4" hidden="1" thickBot="1" x14ac:dyDescent="0.35">
      <c r="A47" s="161" t="s">
        <v>129</v>
      </c>
      <c r="B47" s="159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59" t="s">
        <v>4</v>
      </c>
      <c r="I47" s="155"/>
    </row>
    <row r="48" spans="1:9" s="64" customFormat="1" ht="15.6" hidden="1" x14ac:dyDescent="0.3">
      <c r="A48" s="181" t="s">
        <v>122</v>
      </c>
      <c r="B48" s="174">
        <f>D5</f>
        <v>2000</v>
      </c>
      <c r="D48" s="168">
        <f>B48</f>
        <v>2000</v>
      </c>
      <c r="E48" s="168">
        <f>D48-E54</f>
        <v>1200</v>
      </c>
      <c r="F48" s="168">
        <f>E48-F54</f>
        <v>720</v>
      </c>
      <c r="G48" s="168">
        <f>F48-G54</f>
        <v>432</v>
      </c>
      <c r="H48" s="168">
        <f>G48-H54</f>
        <v>259.2</v>
      </c>
      <c r="I48" s="155"/>
    </row>
    <row r="49" spans="1:15" s="64" customFormat="1" ht="15.6" hidden="1" x14ac:dyDescent="0.3">
      <c r="A49" s="181" t="s">
        <v>125</v>
      </c>
      <c r="B49" s="174" t="s">
        <v>1</v>
      </c>
      <c r="E49" s="154"/>
      <c r="F49" s="154"/>
      <c r="G49" s="154"/>
      <c r="H49" s="154"/>
      <c r="I49" s="155"/>
    </row>
    <row r="50" spans="1:15" s="64" customFormat="1" ht="42.6" hidden="1" customHeight="1" x14ac:dyDescent="0.3">
      <c r="A50" s="181" t="s">
        <v>121</v>
      </c>
      <c r="B50" s="158" t="s">
        <v>128</v>
      </c>
      <c r="C50" s="365" t="s">
        <v>149</v>
      </c>
      <c r="D50" s="365"/>
      <c r="E50" s="365"/>
      <c r="F50" s="365"/>
      <c r="G50" s="365"/>
      <c r="H50" s="365"/>
      <c r="I50" s="369" t="s">
        <v>159</v>
      </c>
      <c r="J50" s="369"/>
      <c r="K50" s="369"/>
      <c r="L50" s="369"/>
      <c r="M50" s="369"/>
      <c r="N50" s="369"/>
      <c r="O50" s="369"/>
    </row>
    <row r="51" spans="1:15" s="64" customFormat="1" ht="30.6" hidden="1" customHeight="1" x14ac:dyDescent="0.3">
      <c r="A51" s="181" t="s">
        <v>126</v>
      </c>
      <c r="B51" s="174">
        <v>5</v>
      </c>
      <c r="E51" s="154"/>
      <c r="F51" s="154"/>
      <c r="G51" s="154"/>
      <c r="H51" s="154"/>
      <c r="I51" s="366" t="s">
        <v>158</v>
      </c>
      <c r="J51" s="366"/>
      <c r="K51" s="366"/>
      <c r="L51" s="366"/>
      <c r="M51" s="366"/>
      <c r="N51" s="366"/>
      <c r="O51" s="366"/>
    </row>
    <row r="52" spans="1:15" s="64" customFormat="1" ht="15.6" hidden="1" x14ac:dyDescent="0.3">
      <c r="A52" s="181" t="s">
        <v>123</v>
      </c>
      <c r="B52" s="174">
        <v>200</v>
      </c>
      <c r="E52" s="154"/>
      <c r="F52" s="154"/>
      <c r="G52" s="154"/>
      <c r="H52" s="154"/>
      <c r="I52"/>
    </row>
    <row r="53" spans="1:15" s="64" customFormat="1" ht="16.2" hidden="1" thickBot="1" x14ac:dyDescent="0.35">
      <c r="A53" s="181" t="s">
        <v>140</v>
      </c>
      <c r="B53" s="174">
        <f>B48-B52</f>
        <v>1800</v>
      </c>
      <c r="E53" s="154"/>
      <c r="F53" s="154"/>
      <c r="G53" s="154"/>
      <c r="H53" s="154"/>
      <c r="I53" s="155"/>
    </row>
    <row r="54" spans="1:15" s="64" customFormat="1" ht="41.4" hidden="1" customHeight="1" thickBot="1" x14ac:dyDescent="0.35">
      <c r="A54" s="182" t="s">
        <v>136</v>
      </c>
      <c r="B54" s="175">
        <f>2*1/B51</f>
        <v>0.4</v>
      </c>
      <c r="E54" s="168">
        <f>$B$54*B48</f>
        <v>800</v>
      </c>
      <c r="F54" s="168">
        <f>$B$54*E48</f>
        <v>480</v>
      </c>
      <c r="G54" s="168">
        <f>$B$54*F48</f>
        <v>288</v>
      </c>
      <c r="H54" s="168">
        <f>$B$54*G48</f>
        <v>172.8</v>
      </c>
      <c r="I54" s="169">
        <f>H48-B52</f>
        <v>59.199999999999989</v>
      </c>
      <c r="J54" s="363" t="s">
        <v>137</v>
      </c>
      <c r="K54" s="364"/>
      <c r="L54" s="364"/>
    </row>
    <row r="55" spans="1:15" s="64" customFormat="1" ht="28.2" hidden="1" customHeight="1" thickBot="1" x14ac:dyDescent="0.35">
      <c r="A55" s="181" t="s">
        <v>139</v>
      </c>
      <c r="B55" s="164">
        <f>1-(B52/B48)^(1/B51)</f>
        <v>0.36904265551980675</v>
      </c>
      <c r="E55" s="166">
        <f>(B48-B52)/B51</f>
        <v>360</v>
      </c>
      <c r="F55" s="166">
        <f>E55</f>
        <v>360</v>
      </c>
      <c r="G55" s="166">
        <f t="shared" ref="G55:H55" si="29">F55</f>
        <v>360</v>
      </c>
      <c r="H55" s="166">
        <f t="shared" si="29"/>
        <v>360</v>
      </c>
      <c r="I55" s="167">
        <f>H55</f>
        <v>360</v>
      </c>
      <c r="J55" s="363" t="s">
        <v>138</v>
      </c>
      <c r="K55" s="364"/>
      <c r="L55" s="364"/>
    </row>
    <row r="56" spans="1:15" s="64" customFormat="1" ht="26.4" hidden="1" thickBot="1" x14ac:dyDescent="0.35">
      <c r="A56" s="161" t="s">
        <v>124</v>
      </c>
      <c r="B56" s="159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59" t="s">
        <v>4</v>
      </c>
    </row>
    <row r="57" spans="1:15" s="64" customFormat="1" ht="15.6" hidden="1" x14ac:dyDescent="0.3">
      <c r="A57" s="181" t="s">
        <v>122</v>
      </c>
      <c r="B57" s="174">
        <v>1000</v>
      </c>
      <c r="E57" s="174">
        <f>B57</f>
        <v>1000</v>
      </c>
      <c r="F57" s="174">
        <f>E57-F65</f>
        <v>666.66666666666674</v>
      </c>
      <c r="G57" s="174">
        <f t="shared" ref="G57:J57" si="30">F57-G65</f>
        <v>400.00000000000006</v>
      </c>
      <c r="H57" s="174">
        <f t="shared" si="30"/>
        <v>200.00000000000006</v>
      </c>
      <c r="I57" s="174">
        <f>H57-I65</f>
        <v>66.666666666666714</v>
      </c>
      <c r="J57" s="174">
        <f t="shared" si="30"/>
        <v>0</v>
      </c>
    </row>
    <row r="58" spans="1:15" s="64" customFormat="1" ht="15.6" hidden="1" x14ac:dyDescent="0.3">
      <c r="A58" s="181" t="s">
        <v>125</v>
      </c>
      <c r="B58" s="174" t="s">
        <v>2</v>
      </c>
      <c r="E58" s="154"/>
      <c r="F58" s="154"/>
      <c r="G58" s="154"/>
      <c r="H58" s="154"/>
      <c r="I58" s="155"/>
    </row>
    <row r="59" spans="1:15" s="64" customFormat="1" ht="28.8" hidden="1" x14ac:dyDescent="0.3">
      <c r="A59" s="181" t="s">
        <v>142</v>
      </c>
      <c r="B59" s="158" t="s">
        <v>130</v>
      </c>
      <c r="E59" s="365" t="s">
        <v>150</v>
      </c>
      <c r="F59" s="365"/>
      <c r="G59" s="365"/>
      <c r="H59" s="365"/>
      <c r="I59" s="365"/>
      <c r="J59" s="365"/>
    </row>
    <row r="60" spans="1:15" s="64" customFormat="1" ht="15.6" hidden="1" x14ac:dyDescent="0.3">
      <c r="A60" s="181" t="s">
        <v>126</v>
      </c>
      <c r="B60" s="174">
        <v>5</v>
      </c>
    </row>
    <row r="61" spans="1:15" s="64" customFormat="1" ht="15.6" hidden="1" x14ac:dyDescent="0.3">
      <c r="A61" s="181" t="s">
        <v>123</v>
      </c>
      <c r="B61" s="174">
        <v>0</v>
      </c>
      <c r="E61" s="154"/>
      <c r="F61" s="154"/>
      <c r="G61" s="154"/>
      <c r="H61" s="154"/>
      <c r="I61" s="155"/>
    </row>
    <row r="62" spans="1:15" s="64" customFormat="1" ht="15.6" hidden="1" x14ac:dyDescent="0.3">
      <c r="A62" s="181" t="s">
        <v>141</v>
      </c>
      <c r="B62" s="174">
        <f>B57-B61</f>
        <v>1000</v>
      </c>
      <c r="E62" s="154"/>
      <c r="F62" s="154"/>
      <c r="G62" s="154"/>
      <c r="H62" s="154"/>
      <c r="I62" s="155"/>
    </row>
    <row r="63" spans="1:15" s="64" customFormat="1" ht="15.6" hidden="1" x14ac:dyDescent="0.3">
      <c r="A63" s="181" t="s">
        <v>79</v>
      </c>
      <c r="B63" s="174" t="s">
        <v>144</v>
      </c>
      <c r="E63" s="154"/>
      <c r="F63" s="174">
        <v>1</v>
      </c>
      <c r="G63" s="174">
        <v>2</v>
      </c>
      <c r="H63" s="174">
        <v>3</v>
      </c>
      <c r="I63" s="174">
        <v>4</v>
      </c>
      <c r="J63" s="174">
        <v>5</v>
      </c>
    </row>
    <row r="64" spans="1:15" s="64" customFormat="1" ht="16.2" hidden="1" thickBot="1" x14ac:dyDescent="0.35">
      <c r="A64" s="181" t="s">
        <v>143</v>
      </c>
      <c r="B64" s="174" t="s">
        <v>145</v>
      </c>
      <c r="E64" s="154"/>
      <c r="F64" s="180">
        <f>($J$63-F63+1)/(($J$63^2+$J$63)/2)</f>
        <v>0.33333333333333331</v>
      </c>
      <c r="G64" s="180">
        <f t="shared" ref="G64:J64" si="31">($J$63-G63+1)/(($J$63^2+$J$63)/2)</f>
        <v>0.26666666666666666</v>
      </c>
      <c r="H64" s="180">
        <f t="shared" si="31"/>
        <v>0.2</v>
      </c>
      <c r="I64" s="180">
        <f t="shared" si="31"/>
        <v>0.13333333333333333</v>
      </c>
      <c r="J64" s="180">
        <f t="shared" si="31"/>
        <v>6.6666666666666666E-2</v>
      </c>
    </row>
    <row r="65" spans="1:10" s="64" customFormat="1" ht="16.2" hidden="1" thickBot="1" x14ac:dyDescent="0.35">
      <c r="A65" s="181" t="s">
        <v>147</v>
      </c>
      <c r="B65" s="170" t="s">
        <v>146</v>
      </c>
      <c r="C65" s="171"/>
      <c r="E65" s="154"/>
      <c r="F65" s="168">
        <f>$B$62*F64</f>
        <v>333.33333333333331</v>
      </c>
      <c r="G65" s="168">
        <f t="shared" ref="G65:J65" si="32">$B$62*G64</f>
        <v>266.66666666666669</v>
      </c>
      <c r="H65" s="168">
        <f t="shared" si="32"/>
        <v>200</v>
      </c>
      <c r="I65" s="168">
        <f t="shared" si="32"/>
        <v>133.33333333333334</v>
      </c>
      <c r="J65" s="168">
        <f t="shared" si="32"/>
        <v>66.666666666666671</v>
      </c>
    </row>
    <row r="66" spans="1:10" s="64" customFormat="1" ht="26.4" hidden="1" thickBot="1" x14ac:dyDescent="0.35">
      <c r="A66" s="161" t="s">
        <v>131</v>
      </c>
      <c r="B66" s="159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</row>
    <row r="67" spans="1:10" s="64" customFormat="1" ht="16.2" hidden="1" thickBot="1" x14ac:dyDescent="0.35">
      <c r="A67" s="181" t="s">
        <v>122</v>
      </c>
      <c r="B67" s="174">
        <v>4000</v>
      </c>
      <c r="E67" s="174">
        <f>B67</f>
        <v>4000</v>
      </c>
      <c r="F67" s="174">
        <f>E67-F75</f>
        <v>3437.4999550000002</v>
      </c>
      <c r="G67" s="174">
        <f t="shared" ref="G67:H67" si="33">F67-G75</f>
        <v>2762.4999010000001</v>
      </c>
      <c r="H67" s="174">
        <f t="shared" si="33"/>
        <v>1974.9996129999822</v>
      </c>
      <c r="I67" s="176">
        <f>I75</f>
        <v>900</v>
      </c>
      <c r="J67" s="174"/>
    </row>
    <row r="68" spans="1:10" s="64" customFormat="1" ht="15.6" hidden="1" x14ac:dyDescent="0.3">
      <c r="A68" s="181" t="s">
        <v>125</v>
      </c>
      <c r="B68" s="174" t="s">
        <v>2</v>
      </c>
      <c r="E68" s="154"/>
      <c r="F68" s="154"/>
      <c r="G68" s="154"/>
      <c r="H68" s="154"/>
      <c r="I68" s="155"/>
    </row>
    <row r="69" spans="1:10" s="64" customFormat="1" ht="43.2" hidden="1" x14ac:dyDescent="0.3">
      <c r="A69" s="181" t="s">
        <v>121</v>
      </c>
      <c r="B69" s="158" t="s">
        <v>132</v>
      </c>
      <c r="C69" s="365" t="s">
        <v>154</v>
      </c>
      <c r="D69" s="365"/>
      <c r="E69" s="365"/>
      <c r="F69" s="365"/>
      <c r="G69" s="365"/>
      <c r="H69" s="365"/>
    </row>
    <row r="70" spans="1:10" s="64" customFormat="1" ht="15.6" hidden="1" x14ac:dyDescent="0.3">
      <c r="A70" s="181" t="s">
        <v>148</v>
      </c>
      <c r="B70" s="174">
        <v>800</v>
      </c>
    </row>
    <row r="71" spans="1:10" s="64" customFormat="1" ht="15.6" hidden="1" x14ac:dyDescent="0.3">
      <c r="A71" s="181" t="s">
        <v>123</v>
      </c>
      <c r="B71" s="174">
        <v>400</v>
      </c>
      <c r="E71" s="154"/>
      <c r="F71" s="154"/>
      <c r="G71" s="154"/>
      <c r="H71" s="154"/>
      <c r="I71" s="155"/>
    </row>
    <row r="72" spans="1:10" s="64" customFormat="1" ht="15.6" hidden="1" x14ac:dyDescent="0.3">
      <c r="A72" s="181" t="s">
        <v>140</v>
      </c>
      <c r="B72" s="174">
        <f>B67-B71</f>
        <v>3600</v>
      </c>
      <c r="E72" s="154"/>
      <c r="F72" s="154"/>
      <c r="G72" s="154"/>
      <c r="H72" s="154"/>
      <c r="I72" s="155"/>
    </row>
    <row r="73" spans="1:10" s="64" customFormat="1" ht="15.6" hidden="1" x14ac:dyDescent="0.3">
      <c r="A73" s="181" t="s">
        <v>151</v>
      </c>
      <c r="B73" s="174"/>
      <c r="C73" s="168"/>
      <c r="D73" s="168"/>
      <c r="E73" s="178"/>
      <c r="F73" s="168">
        <f>F7</f>
        <v>125.00001</v>
      </c>
      <c r="G73" s="168">
        <f>G7</f>
        <v>150.000012</v>
      </c>
      <c r="H73" s="168">
        <f>H7</f>
        <v>175.00006400000399</v>
      </c>
      <c r="I73" s="168">
        <v>200</v>
      </c>
    </row>
    <row r="74" spans="1:10" s="64" customFormat="1" ht="16.2" hidden="1" thickBot="1" x14ac:dyDescent="0.35">
      <c r="A74" s="29" t="s">
        <v>11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230.00001</v>
      </c>
      <c r="G74" s="29">
        <f>G7+F74</f>
        <v>380.000022</v>
      </c>
      <c r="H74" s="29">
        <f>H7+G74</f>
        <v>555.00008600000399</v>
      </c>
      <c r="I74" s="168">
        <f>H74+I73</f>
        <v>755.00008600000399</v>
      </c>
    </row>
    <row r="75" spans="1:10" s="64" customFormat="1" ht="16.2" hidden="1" thickBot="1" x14ac:dyDescent="0.35">
      <c r="A75" s="181" t="s">
        <v>133</v>
      </c>
      <c r="B75" s="174"/>
      <c r="C75" s="168"/>
      <c r="D75" s="168"/>
      <c r="E75" s="178"/>
      <c r="F75" s="168">
        <f>IF(F74&lt;$B$70,$B$72*F73/$B$70,"write-off")</f>
        <v>562.500045</v>
      </c>
      <c r="G75" s="168">
        <f t="shared" ref="G75:I75" si="34">IF(G74&lt;$B$70,$B$72*G73/$B$70,"write-off")</f>
        <v>675.00005399999998</v>
      </c>
      <c r="H75" s="168">
        <f t="shared" si="34"/>
        <v>787.50028800001792</v>
      </c>
      <c r="I75" s="179">
        <f t="shared" si="34"/>
        <v>900</v>
      </c>
      <c r="J75" s="162"/>
    </row>
    <row r="76" spans="1:10" s="64" customFormat="1" ht="52.2" hidden="1" thickBot="1" x14ac:dyDescent="0.35">
      <c r="A76" s="183" t="s">
        <v>152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7</v>
      </c>
    </row>
    <row r="77" spans="1:10" s="64" customFormat="1" ht="18" hidden="1" x14ac:dyDescent="0.3">
      <c r="A77" s="156" t="s">
        <v>153</v>
      </c>
      <c r="B77" s="159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9149.1666216666672</v>
      </c>
      <c r="G77" s="75">
        <f t="shared" si="35"/>
        <v>7694.4999010000001</v>
      </c>
      <c r="H77" s="75">
        <f t="shared" si="35"/>
        <v>6309.1996129999825</v>
      </c>
      <c r="I77" s="155"/>
    </row>
    <row r="78" spans="1:10" s="64" customFormat="1" hidden="1" x14ac:dyDescent="0.3">
      <c r="A78" s="157" t="s">
        <v>156</v>
      </c>
      <c r="B78" s="159"/>
      <c r="E78" s="154"/>
      <c r="F78" s="154"/>
      <c r="G78" s="154"/>
      <c r="H78" s="154"/>
      <c r="I78" s="155"/>
    </row>
    <row r="79" spans="1:10" s="64" customFormat="1" ht="15.6" hidden="1" x14ac:dyDescent="0.3">
      <c r="A79" s="181" t="s">
        <v>120</v>
      </c>
      <c r="B79" s="159"/>
      <c r="C79" s="174">
        <f>C39</f>
        <v>5000</v>
      </c>
      <c r="D79" s="174">
        <f t="shared" ref="D79:H79" si="36">D39</f>
        <v>4775</v>
      </c>
      <c r="E79" s="174">
        <f t="shared" si="36"/>
        <v>4550</v>
      </c>
      <c r="F79" s="174">
        <f t="shared" si="36"/>
        <v>4325</v>
      </c>
      <c r="G79" s="174">
        <f t="shared" si="36"/>
        <v>4100</v>
      </c>
      <c r="H79" s="174">
        <f t="shared" si="36"/>
        <v>3875</v>
      </c>
      <c r="I79" s="155"/>
    </row>
    <row r="80" spans="1:10" s="64" customFormat="1" ht="15.6" hidden="1" x14ac:dyDescent="0.3">
      <c r="A80" s="181" t="s">
        <v>129</v>
      </c>
      <c r="B80" s="159"/>
      <c r="C80" s="174">
        <f>C48</f>
        <v>0</v>
      </c>
      <c r="D80" s="174">
        <f t="shared" ref="D80:H80" si="37">D48</f>
        <v>2000</v>
      </c>
      <c r="E80" s="174">
        <f t="shared" si="37"/>
        <v>1200</v>
      </c>
      <c r="F80" s="174">
        <f t="shared" si="37"/>
        <v>720</v>
      </c>
      <c r="G80" s="174">
        <f t="shared" si="37"/>
        <v>432</v>
      </c>
      <c r="H80" s="174">
        <f t="shared" si="37"/>
        <v>259.2</v>
      </c>
      <c r="I80" s="155"/>
    </row>
    <row r="81" spans="1:9" s="64" customFormat="1" ht="15.6" hidden="1" x14ac:dyDescent="0.3">
      <c r="A81" s="181" t="s">
        <v>124</v>
      </c>
      <c r="B81" s="159"/>
      <c r="C81" s="174">
        <f>C57</f>
        <v>0</v>
      </c>
      <c r="D81" s="174">
        <f t="shared" ref="D81:H81" si="38">D57</f>
        <v>0</v>
      </c>
      <c r="E81" s="174">
        <f t="shared" si="38"/>
        <v>1000</v>
      </c>
      <c r="F81" s="174">
        <f t="shared" si="38"/>
        <v>666.66666666666674</v>
      </c>
      <c r="G81" s="174">
        <f t="shared" si="38"/>
        <v>400.00000000000006</v>
      </c>
      <c r="H81" s="174">
        <f t="shared" si="38"/>
        <v>200.00000000000006</v>
      </c>
      <c r="I81" s="155"/>
    </row>
    <row r="82" spans="1:9" s="64" customFormat="1" ht="16.2" hidden="1" thickBot="1" x14ac:dyDescent="0.35">
      <c r="A82" s="181" t="s">
        <v>131</v>
      </c>
      <c r="B82" s="159"/>
      <c r="C82" s="174">
        <f>C67</f>
        <v>0</v>
      </c>
      <c r="D82" s="174">
        <f t="shared" ref="D82:H82" si="39">D67</f>
        <v>0</v>
      </c>
      <c r="E82" s="174">
        <f t="shared" si="39"/>
        <v>4000</v>
      </c>
      <c r="F82" s="174">
        <f t="shared" si="39"/>
        <v>3437.4999550000002</v>
      </c>
      <c r="G82" s="174">
        <f t="shared" si="39"/>
        <v>2762.4999010000001</v>
      </c>
      <c r="H82" s="174">
        <f t="shared" si="39"/>
        <v>1974.9996129999822</v>
      </c>
      <c r="I82" s="155"/>
    </row>
    <row r="83" spans="1:9" s="64" customFormat="1" ht="18.600000000000001" hidden="1" thickBot="1" x14ac:dyDescent="0.35">
      <c r="A83" s="156" t="s">
        <v>157</v>
      </c>
      <c r="B83" s="159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1600.8333783333333</v>
      </c>
      <c r="G83" s="75">
        <f t="shared" si="40"/>
        <v>1454.6667206666666</v>
      </c>
      <c r="H83" s="75">
        <f t="shared" si="40"/>
        <v>1385.3002880000179</v>
      </c>
      <c r="I83" s="184">
        <f>SUM(C83:H83)</f>
        <v>5690.8003870000175</v>
      </c>
    </row>
    <row r="84" spans="1:9" s="64" customFormat="1" hidden="1" x14ac:dyDescent="0.3">
      <c r="A84" s="157" t="s">
        <v>156</v>
      </c>
      <c r="B84" s="159"/>
      <c r="E84" s="154"/>
      <c r="F84" s="154"/>
      <c r="G84" s="154"/>
      <c r="H84" s="154"/>
      <c r="I84" s="155"/>
    </row>
    <row r="85" spans="1:9" s="64" customFormat="1" ht="15.6" hidden="1" x14ac:dyDescent="0.3">
      <c r="A85" s="181" t="s">
        <v>120</v>
      </c>
      <c r="B85" s="159"/>
      <c r="C85" s="174">
        <f t="shared" ref="C85:H85" si="41">C46</f>
        <v>0</v>
      </c>
      <c r="D85" s="174">
        <f t="shared" si="41"/>
        <v>225</v>
      </c>
      <c r="E85" s="174">
        <f t="shared" si="41"/>
        <v>225</v>
      </c>
      <c r="F85" s="174">
        <f t="shared" si="41"/>
        <v>225</v>
      </c>
      <c r="G85" s="174">
        <f t="shared" si="41"/>
        <v>225</v>
      </c>
      <c r="H85" s="174">
        <f t="shared" si="41"/>
        <v>225</v>
      </c>
      <c r="I85" s="155"/>
    </row>
    <row r="86" spans="1:9" s="64" customFormat="1" ht="15.6" hidden="1" x14ac:dyDescent="0.3">
      <c r="A86" s="181" t="s">
        <v>129</v>
      </c>
      <c r="B86" s="159"/>
      <c r="C86" s="174">
        <f t="shared" ref="C86:H86" si="42">C54</f>
        <v>0</v>
      </c>
      <c r="D86" s="174">
        <f t="shared" si="42"/>
        <v>0</v>
      </c>
      <c r="E86" s="174">
        <f t="shared" si="42"/>
        <v>800</v>
      </c>
      <c r="F86" s="174">
        <f t="shared" si="42"/>
        <v>480</v>
      </c>
      <c r="G86" s="174">
        <f t="shared" si="42"/>
        <v>288</v>
      </c>
      <c r="H86" s="174">
        <f t="shared" si="42"/>
        <v>172.8</v>
      </c>
      <c r="I86" s="155"/>
    </row>
    <row r="87" spans="1:9" s="64" customFormat="1" ht="15.6" hidden="1" x14ac:dyDescent="0.3">
      <c r="A87" s="181" t="s">
        <v>124</v>
      </c>
      <c r="B87" s="159"/>
      <c r="C87" s="174">
        <f t="shared" ref="C87:H87" si="43">C65</f>
        <v>0</v>
      </c>
      <c r="D87" s="174">
        <f t="shared" si="43"/>
        <v>0</v>
      </c>
      <c r="E87" s="174">
        <f t="shared" si="43"/>
        <v>0</v>
      </c>
      <c r="F87" s="174">
        <f t="shared" si="43"/>
        <v>333.33333333333331</v>
      </c>
      <c r="G87" s="174">
        <f t="shared" si="43"/>
        <v>266.66666666666669</v>
      </c>
      <c r="H87" s="174">
        <f t="shared" si="43"/>
        <v>200</v>
      </c>
      <c r="I87" s="155"/>
    </row>
    <row r="88" spans="1:9" s="64" customFormat="1" ht="16.2" hidden="1" thickBot="1" x14ac:dyDescent="0.35">
      <c r="A88" s="181" t="s">
        <v>131</v>
      </c>
      <c r="B88" s="159"/>
      <c r="C88" s="174">
        <f t="shared" ref="C88:H88" si="44">C75</f>
        <v>0</v>
      </c>
      <c r="D88" s="174">
        <f t="shared" si="44"/>
        <v>0</v>
      </c>
      <c r="E88" s="174">
        <f t="shared" si="44"/>
        <v>0</v>
      </c>
      <c r="F88" s="174">
        <f t="shared" si="44"/>
        <v>562.500045</v>
      </c>
      <c r="G88" s="174">
        <f t="shared" si="44"/>
        <v>675.00005399999998</v>
      </c>
      <c r="H88" s="174">
        <f t="shared" si="44"/>
        <v>787.50028800001792</v>
      </c>
      <c r="I88" s="155"/>
    </row>
    <row r="89" spans="1:9" s="64" customFormat="1" ht="36.6" hidden="1" thickBot="1" x14ac:dyDescent="0.35">
      <c r="A89" s="173" t="s">
        <v>199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7</v>
      </c>
    </row>
    <row r="90" spans="1:9" s="64" customFormat="1" ht="21.6" hidden="1" thickBot="1" x14ac:dyDescent="0.35">
      <c r="A90" s="161" t="s">
        <v>163</v>
      </c>
      <c r="B90" s="159"/>
      <c r="E90" s="154"/>
      <c r="F90" s="154"/>
      <c r="G90" s="154"/>
      <c r="H90" s="154"/>
      <c r="I90" s="155"/>
    </row>
    <row r="91" spans="1:9" s="64" customFormat="1" ht="15.6" hidden="1" x14ac:dyDescent="0.3">
      <c r="A91" s="181" t="s">
        <v>160</v>
      </c>
      <c r="B91" s="159"/>
      <c r="C91" s="174">
        <f t="shared" ref="C91:H91" si="45">C7</f>
        <v>0</v>
      </c>
      <c r="D91" s="174">
        <f t="shared" si="45"/>
        <v>75</v>
      </c>
      <c r="E91" s="174">
        <f t="shared" si="45"/>
        <v>30</v>
      </c>
      <c r="F91" s="174">
        <f t="shared" si="45"/>
        <v>125.00001</v>
      </c>
      <c r="G91" s="174">
        <f t="shared" si="45"/>
        <v>150.000012</v>
      </c>
      <c r="H91" s="174">
        <f t="shared" si="45"/>
        <v>175.00006400000399</v>
      </c>
      <c r="I91" s="185">
        <f>SUM(C91:H91)</f>
        <v>555.00008600000399</v>
      </c>
    </row>
    <row r="92" spans="1:9" s="64" customFormat="1" ht="15.6" hidden="1" x14ac:dyDescent="0.3">
      <c r="A92" s="181" t="s">
        <v>161</v>
      </c>
      <c r="B92" s="159"/>
      <c r="C92" s="186">
        <f>C91/365</f>
        <v>0</v>
      </c>
      <c r="D92" s="186">
        <f t="shared" ref="D92:H92" si="46">D91/365</f>
        <v>0.20547945205479451</v>
      </c>
      <c r="E92" s="186">
        <f t="shared" si="46"/>
        <v>8.2191780821917804E-2</v>
      </c>
      <c r="F92" s="186">
        <f t="shared" si="46"/>
        <v>0.34246578082191781</v>
      </c>
      <c r="G92" s="186">
        <f t="shared" si="46"/>
        <v>0.41095893698630137</v>
      </c>
      <c r="H92" s="186">
        <f t="shared" si="46"/>
        <v>0.47945223013699723</v>
      </c>
      <c r="I92" s="155"/>
    </row>
    <row r="93" spans="1:9" s="64" customFormat="1" ht="15.6" hidden="1" x14ac:dyDescent="0.3">
      <c r="A93" s="181" t="s">
        <v>171</v>
      </c>
      <c r="B93" s="159"/>
      <c r="C93" s="188">
        <f>C92*12</f>
        <v>0</v>
      </c>
      <c r="D93" s="189">
        <f t="shared" ref="D93:H93" si="47">D92*12</f>
        <v>2.4657534246575343</v>
      </c>
      <c r="E93" s="189">
        <f t="shared" si="47"/>
        <v>0.98630136986301364</v>
      </c>
      <c r="F93" s="189">
        <f t="shared" si="47"/>
        <v>4.1095893698630137</v>
      </c>
      <c r="G93" s="189">
        <f t="shared" si="47"/>
        <v>4.9315072438356164</v>
      </c>
      <c r="H93" s="189">
        <f t="shared" si="47"/>
        <v>5.7534267616439667</v>
      </c>
      <c r="I93" s="155"/>
    </row>
    <row r="94" spans="1:9" s="64" customFormat="1" ht="31.2" hidden="1" x14ac:dyDescent="0.3">
      <c r="A94" s="182" t="s">
        <v>168</v>
      </c>
      <c r="B94" s="159"/>
      <c r="C94" s="188">
        <f t="shared" ref="C94:H94" si="48">C16</f>
        <v>0</v>
      </c>
      <c r="D94" s="188">
        <f t="shared" si="48"/>
        <v>136.66666666666666</v>
      </c>
      <c r="E94" s="188">
        <f t="shared" si="48"/>
        <v>217.7</v>
      </c>
      <c r="F94" s="188">
        <f t="shared" si="48"/>
        <v>150.20199938180014</v>
      </c>
      <c r="G94" s="188">
        <f t="shared" si="48"/>
        <v>153.25980895735211</v>
      </c>
      <c r="H94" s="188">
        <f t="shared" si="48"/>
        <v>156.83313218343795</v>
      </c>
      <c r="I94" s="155"/>
    </row>
    <row r="95" spans="1:9" s="64" customFormat="1" ht="16.2" hidden="1" thickBot="1" x14ac:dyDescent="0.35">
      <c r="A95" s="181" t="s">
        <v>208</v>
      </c>
      <c r="B95" s="159"/>
      <c r="C95" s="188">
        <f>C94*C93</f>
        <v>0</v>
      </c>
      <c r="D95" s="188">
        <f t="shared" ref="D95:H95" si="49">D94*D93</f>
        <v>336.98630136986299</v>
      </c>
      <c r="E95" s="188">
        <f t="shared" si="49"/>
        <v>214.71780821917807</v>
      </c>
      <c r="F95" s="188">
        <f t="shared" si="49"/>
        <v>617.26853999161676</v>
      </c>
      <c r="G95" s="188">
        <f t="shared" si="49"/>
        <v>755.80185806204463</v>
      </c>
      <c r="H95" s="188">
        <f t="shared" si="49"/>
        <v>902.32793981663758</v>
      </c>
      <c r="I95" s="155"/>
    </row>
    <row r="96" spans="1:9" s="64" customFormat="1" ht="26.4" hidden="1" thickBot="1" x14ac:dyDescent="0.35">
      <c r="A96" s="161" t="s">
        <v>96</v>
      </c>
      <c r="B96" s="159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59" t="s">
        <v>4</v>
      </c>
      <c r="I96" s="155"/>
    </row>
    <row r="97" spans="1:9" s="64" customFormat="1" ht="15.6" hidden="1" x14ac:dyDescent="0.3">
      <c r="A97" s="181" t="s">
        <v>160</v>
      </c>
      <c r="B97" s="159"/>
      <c r="C97" s="174">
        <f>C91</f>
        <v>0</v>
      </c>
      <c r="D97" s="174">
        <f t="shared" ref="D97:H98" si="50">D91</f>
        <v>75</v>
      </c>
      <c r="E97" s="174">
        <f t="shared" si="50"/>
        <v>30</v>
      </c>
      <c r="F97" s="174">
        <f t="shared" si="50"/>
        <v>125.00001</v>
      </c>
      <c r="G97" s="174">
        <f t="shared" si="50"/>
        <v>150.000012</v>
      </c>
      <c r="H97" s="174">
        <f t="shared" si="50"/>
        <v>175.00006400000399</v>
      </c>
      <c r="I97" s="185">
        <f>SUM(C97:H97)</f>
        <v>555.00008600000399</v>
      </c>
    </row>
    <row r="98" spans="1:9" s="64" customFormat="1" ht="15.6" hidden="1" x14ac:dyDescent="0.3">
      <c r="A98" s="181" t="s">
        <v>161</v>
      </c>
      <c r="B98" s="159"/>
      <c r="C98" s="186">
        <f>C92</f>
        <v>0</v>
      </c>
      <c r="D98" s="186">
        <f t="shared" si="50"/>
        <v>0.20547945205479451</v>
      </c>
      <c r="E98" s="186">
        <f t="shared" si="50"/>
        <v>8.2191780821917804E-2</v>
      </c>
      <c r="F98" s="186">
        <f t="shared" si="50"/>
        <v>0.34246578082191781</v>
      </c>
      <c r="G98" s="186">
        <f t="shared" si="50"/>
        <v>0.41095893698630137</v>
      </c>
      <c r="H98" s="186">
        <f t="shared" si="50"/>
        <v>0.47945223013699723</v>
      </c>
      <c r="I98" s="155"/>
    </row>
    <row r="99" spans="1:9" s="64" customFormat="1" ht="31.2" hidden="1" x14ac:dyDescent="0.3">
      <c r="A99" s="182" t="s">
        <v>164</v>
      </c>
      <c r="B99" s="159"/>
      <c r="C99" s="188">
        <f>C98*12</f>
        <v>0</v>
      </c>
      <c r="D99" s="189">
        <f t="shared" ref="D99:H99" si="51">D98*12</f>
        <v>2.4657534246575343</v>
      </c>
      <c r="E99" s="189">
        <f t="shared" si="51"/>
        <v>0.98630136986301364</v>
      </c>
      <c r="F99" s="189">
        <f t="shared" si="51"/>
        <v>4.1095893698630137</v>
      </c>
      <c r="G99" s="189">
        <f t="shared" si="51"/>
        <v>4.9315072438356164</v>
      </c>
      <c r="H99" s="189">
        <f t="shared" si="51"/>
        <v>5.7534267616439667</v>
      </c>
      <c r="I99" s="155"/>
    </row>
    <row r="100" spans="1:9" s="64" customFormat="1" ht="31.2" hidden="1" x14ac:dyDescent="0.3">
      <c r="A100" s="182" t="s">
        <v>169</v>
      </c>
      <c r="B100" s="159"/>
      <c r="C100" s="188">
        <f t="shared" ref="C100:H100" si="52">C15</f>
        <v>0</v>
      </c>
      <c r="D100" s="188">
        <f t="shared" si="52"/>
        <v>110</v>
      </c>
      <c r="E100" s="188">
        <f t="shared" si="52"/>
        <v>117.7</v>
      </c>
      <c r="F100" s="188">
        <f t="shared" si="52"/>
        <v>124.762001177</v>
      </c>
      <c r="G100" s="188">
        <f t="shared" si="52"/>
        <v>130.99985275148941</v>
      </c>
      <c r="H100" s="188">
        <f t="shared" si="52"/>
        <v>136.89461130803107</v>
      </c>
      <c r="I100" s="155"/>
    </row>
    <row r="101" spans="1:9" s="64" customFormat="1" ht="16.2" hidden="1" thickBot="1" x14ac:dyDescent="0.35">
      <c r="A101" s="181" t="s">
        <v>162</v>
      </c>
      <c r="B101" s="159"/>
      <c r="C101" s="188">
        <f>C100*C99</f>
        <v>0</v>
      </c>
      <c r="D101" s="188">
        <f t="shared" ref="D101:H101" si="53">D100*D99</f>
        <v>271.23287671232879</v>
      </c>
      <c r="E101" s="188">
        <f t="shared" si="53"/>
        <v>116.08767123287672</v>
      </c>
      <c r="F101" s="188">
        <f t="shared" si="53"/>
        <v>512.72059379983602</v>
      </c>
      <c r="G101" s="188">
        <f t="shared" si="53"/>
        <v>646.0267227853692</v>
      </c>
      <c r="H101" s="188">
        <f t="shared" si="53"/>
        <v>787.61312022447476</v>
      </c>
      <c r="I101" s="155"/>
    </row>
    <row r="102" spans="1:9" s="64" customFormat="1" ht="26.4" hidden="1" thickBot="1" x14ac:dyDescent="0.35">
      <c r="A102" s="161" t="s">
        <v>99</v>
      </c>
      <c r="B102" s="159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155"/>
    </row>
    <row r="103" spans="1:9" s="64" customFormat="1" ht="15.6" hidden="1" x14ac:dyDescent="0.3">
      <c r="A103" s="181" t="s">
        <v>172</v>
      </c>
      <c r="B103" s="187"/>
      <c r="C103" s="188">
        <f t="shared" ref="C103:H103" si="54">-C14/12</f>
        <v>0</v>
      </c>
      <c r="D103" s="188">
        <f t="shared" si="54"/>
        <v>687.5</v>
      </c>
      <c r="E103" s="188">
        <f t="shared" si="54"/>
        <v>294.25</v>
      </c>
      <c r="F103" s="188">
        <f t="shared" si="54"/>
        <v>1299.6042828954176</v>
      </c>
      <c r="G103" s="188">
        <f t="shared" si="54"/>
        <v>1637.4982903934704</v>
      </c>
      <c r="H103" s="188">
        <f t="shared" si="54"/>
        <v>1996.3804783467588</v>
      </c>
      <c r="I103" s="155"/>
    </row>
    <row r="104" spans="1:9" s="64" customFormat="1" ht="16.2" hidden="1" thickBot="1" x14ac:dyDescent="0.35">
      <c r="A104" s="181" t="s">
        <v>173</v>
      </c>
      <c r="B104" s="187" t="s">
        <v>211</v>
      </c>
      <c r="C104" s="188">
        <f>C103</f>
        <v>0</v>
      </c>
      <c r="D104" s="188">
        <f>D103</f>
        <v>687.5</v>
      </c>
      <c r="E104" s="188">
        <f t="shared" ref="E104:H104" si="55">E103</f>
        <v>294.25</v>
      </c>
      <c r="F104" s="188">
        <f t="shared" si="55"/>
        <v>1299.6042828954176</v>
      </c>
      <c r="G104" s="188">
        <f t="shared" si="55"/>
        <v>1637.4982903934704</v>
      </c>
      <c r="H104" s="188">
        <f t="shared" si="55"/>
        <v>1996.3804783467588</v>
      </c>
      <c r="I104" s="155"/>
    </row>
    <row r="105" spans="1:9" s="64" customFormat="1" ht="26.4" hidden="1" thickBot="1" x14ac:dyDescent="0.35">
      <c r="A105" s="161" t="s">
        <v>98</v>
      </c>
      <c r="B105" s="159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59" t="s">
        <v>4</v>
      </c>
      <c r="I105" s="155"/>
    </row>
    <row r="106" spans="1:9" s="64" customFormat="1" ht="15.6" hidden="1" x14ac:dyDescent="0.3">
      <c r="A106" s="181" t="s">
        <v>183</v>
      </c>
      <c r="B106" s="187"/>
      <c r="C106" s="188">
        <f t="shared" ref="C106:H106" si="56">C10</f>
        <v>0</v>
      </c>
      <c r="D106" s="188">
        <f t="shared" si="56"/>
        <v>15000</v>
      </c>
      <c r="E106" s="188">
        <f t="shared" si="56"/>
        <v>6299.9879999999994</v>
      </c>
      <c r="F106" s="188">
        <f t="shared" si="56"/>
        <v>27431.152694582041</v>
      </c>
      <c r="G106" s="188">
        <f t="shared" si="56"/>
        <v>34234.042353058481</v>
      </c>
      <c r="H106" s="188">
        <f t="shared" si="56"/>
        <v>41537.272655013272</v>
      </c>
      <c r="I106" s="155"/>
    </row>
    <row r="107" spans="1:9" s="64" customFormat="1" ht="31.2" hidden="1" x14ac:dyDescent="0.3">
      <c r="A107" s="182" t="s">
        <v>176</v>
      </c>
      <c r="B107" s="111">
        <v>0.3</v>
      </c>
      <c r="C107" s="188">
        <f>$B$107*C106</f>
        <v>0</v>
      </c>
      <c r="D107" s="188">
        <f t="shared" ref="D107:H107" si="57">$B$107*D106</f>
        <v>4500</v>
      </c>
      <c r="E107" s="188">
        <f t="shared" si="57"/>
        <v>1889.9963999999998</v>
      </c>
      <c r="F107" s="188">
        <f t="shared" si="57"/>
        <v>8229.3458083746118</v>
      </c>
      <c r="G107" s="188">
        <f t="shared" si="57"/>
        <v>10270.212705917544</v>
      </c>
      <c r="H107" s="188">
        <f t="shared" si="57"/>
        <v>12461.181796503981</v>
      </c>
      <c r="I107" s="190" t="s">
        <v>179</v>
      </c>
    </row>
    <row r="108" spans="1:9" ht="31.2" hidden="1" x14ac:dyDescent="0.3">
      <c r="A108" s="182" t="s">
        <v>209</v>
      </c>
      <c r="B108" s="111">
        <v>0.2</v>
      </c>
      <c r="C108" s="188">
        <f>$B$108*C106</f>
        <v>0</v>
      </c>
      <c r="D108" s="188">
        <f t="shared" ref="D108:H108" si="58">$B$108*D106</f>
        <v>3000</v>
      </c>
      <c r="E108" s="188">
        <f t="shared" si="58"/>
        <v>1259.9975999999999</v>
      </c>
      <c r="F108" s="188">
        <f t="shared" si="58"/>
        <v>5486.2305389164085</v>
      </c>
      <c r="G108" s="188">
        <f t="shared" si="58"/>
        <v>6846.808470611697</v>
      </c>
      <c r="H108" s="188">
        <f t="shared" si="58"/>
        <v>8307.4545310026551</v>
      </c>
      <c r="I108" s="190" t="s">
        <v>180</v>
      </c>
    </row>
    <row r="109" spans="1:9" ht="29.4" hidden="1" customHeight="1" x14ac:dyDescent="0.3">
      <c r="A109" s="182" t="s">
        <v>177</v>
      </c>
      <c r="B109" s="111">
        <v>0.2</v>
      </c>
      <c r="C109" s="188">
        <f>C106*$B$109</f>
        <v>0</v>
      </c>
      <c r="D109" s="188">
        <f t="shared" ref="D109:H109" si="59">D106*$B$109</f>
        <v>3000</v>
      </c>
      <c r="E109" s="188">
        <f t="shared" si="59"/>
        <v>1259.9975999999999</v>
      </c>
      <c r="F109" s="188">
        <f t="shared" si="59"/>
        <v>5486.2305389164085</v>
      </c>
      <c r="G109" s="188">
        <f t="shared" si="59"/>
        <v>6846.808470611697</v>
      </c>
      <c r="H109" s="188">
        <f t="shared" si="59"/>
        <v>8307.4545310026551</v>
      </c>
      <c r="I109" s="190" t="s">
        <v>181</v>
      </c>
    </row>
    <row r="110" spans="1:9" ht="29.4" hidden="1" customHeight="1" x14ac:dyDescent="0.3">
      <c r="A110" s="182" t="s">
        <v>210</v>
      </c>
      <c r="B110" s="193">
        <v>60</v>
      </c>
      <c r="C110" s="188">
        <f>C108*$B$110/365</f>
        <v>0</v>
      </c>
      <c r="D110" s="188">
        <f t="shared" ref="D110:H110" si="60">D108*$B$110/365</f>
        <v>493.15068493150687</v>
      </c>
      <c r="E110" s="188">
        <f t="shared" si="60"/>
        <v>207.12289315068494</v>
      </c>
      <c r="F110" s="188">
        <f t="shared" si="60"/>
        <v>901.84611598625895</v>
      </c>
      <c r="G110" s="188">
        <f t="shared" si="60"/>
        <v>1125.5027622923337</v>
      </c>
      <c r="H110" s="188">
        <f t="shared" si="60"/>
        <v>1365.6089640004363</v>
      </c>
      <c r="I110" s="190"/>
    </row>
    <row r="111" spans="1:9" ht="29.4" hidden="1" customHeight="1" x14ac:dyDescent="0.3">
      <c r="A111" s="182" t="s">
        <v>184</v>
      </c>
      <c r="B111" s="193">
        <v>30</v>
      </c>
      <c r="C111" s="188">
        <f>C108*$B$111/365</f>
        <v>0</v>
      </c>
      <c r="D111" s="188">
        <f t="shared" ref="D111:H111" si="61">D108*$B$111/365</f>
        <v>246.57534246575344</v>
      </c>
      <c r="E111" s="188">
        <f t="shared" si="61"/>
        <v>103.56144657534247</v>
      </c>
      <c r="F111" s="188">
        <f t="shared" si="61"/>
        <v>450.92305799312948</v>
      </c>
      <c r="G111" s="188">
        <f t="shared" si="61"/>
        <v>562.75138114616686</v>
      </c>
      <c r="H111" s="188">
        <f t="shared" si="61"/>
        <v>682.80448200021817</v>
      </c>
      <c r="I111" s="190"/>
    </row>
    <row r="112" spans="1:9" ht="16.2" hidden="1" thickBot="1" x14ac:dyDescent="0.35">
      <c r="A112" s="191" t="s">
        <v>182</v>
      </c>
      <c r="B112" s="4"/>
      <c r="C112" s="192">
        <f>C111+C110</f>
        <v>0</v>
      </c>
      <c r="D112" s="192">
        <f t="shared" ref="D112:H112" si="62">D111+D110</f>
        <v>739.72602739726028</v>
      </c>
      <c r="E112" s="192">
        <f t="shared" si="62"/>
        <v>310.68433972602742</v>
      </c>
      <c r="F112" s="192">
        <f t="shared" si="62"/>
        <v>1352.7691739793884</v>
      </c>
      <c r="G112" s="192">
        <f t="shared" si="62"/>
        <v>1688.2541434385007</v>
      </c>
      <c r="H112" s="192">
        <f t="shared" si="62"/>
        <v>2048.4134460006544</v>
      </c>
    </row>
    <row r="113" spans="1:9" ht="26.4" hidden="1" thickBot="1" x14ac:dyDescent="0.35">
      <c r="A113" s="161" t="s">
        <v>116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59" t="s">
        <v>4</v>
      </c>
    </row>
    <row r="114" spans="1:9" ht="15.6" hidden="1" x14ac:dyDescent="0.3">
      <c r="A114" s="191" t="s">
        <v>193</v>
      </c>
      <c r="D114" s="188"/>
      <c r="E114" s="188"/>
      <c r="F114" s="188"/>
      <c r="G114" s="188"/>
      <c r="H114" s="188"/>
    </row>
    <row r="115" spans="1:9" ht="31.2" hidden="1" x14ac:dyDescent="0.3">
      <c r="A115" s="182" t="s">
        <v>186</v>
      </c>
      <c r="B115" s="111">
        <v>0.3</v>
      </c>
      <c r="C115" s="188">
        <f>$B$115*C106</f>
        <v>0</v>
      </c>
      <c r="D115" s="188">
        <f t="shared" ref="D115:H115" si="63">$B$115*D106</f>
        <v>4500</v>
      </c>
      <c r="E115" s="188">
        <f t="shared" si="63"/>
        <v>1889.9963999999998</v>
      </c>
      <c r="F115" s="188">
        <f t="shared" si="63"/>
        <v>8229.3458083746118</v>
      </c>
      <c r="G115" s="188">
        <f t="shared" si="63"/>
        <v>10270.212705917544</v>
      </c>
      <c r="H115" s="188">
        <f t="shared" si="63"/>
        <v>12461.181796503981</v>
      </c>
    </row>
    <row r="116" spans="1:9" ht="15.6" hidden="1" x14ac:dyDescent="0.3">
      <c r="A116" s="182" t="s">
        <v>187</v>
      </c>
      <c r="B116" s="193">
        <v>30</v>
      </c>
      <c r="C116" s="188">
        <f>C115*$B$116/365</f>
        <v>0</v>
      </c>
      <c r="D116" s="188">
        <f t="shared" ref="D116:H116" si="64">D115*$B$116/365</f>
        <v>369.86301369863014</v>
      </c>
      <c r="E116" s="188">
        <f t="shared" si="64"/>
        <v>155.34216986301368</v>
      </c>
      <c r="F116" s="188">
        <f t="shared" si="64"/>
        <v>676.38458698969418</v>
      </c>
      <c r="G116" s="188">
        <f t="shared" si="64"/>
        <v>844.12707171925024</v>
      </c>
      <c r="H116" s="188">
        <f t="shared" si="64"/>
        <v>1024.2067230003272</v>
      </c>
    </row>
    <row r="117" spans="1:9" ht="15.6" hidden="1" x14ac:dyDescent="0.3">
      <c r="A117" s="191" t="s">
        <v>6</v>
      </c>
      <c r="B117" s="193"/>
      <c r="C117" s="188"/>
      <c r="D117" s="188"/>
      <c r="E117" s="188"/>
      <c r="F117" s="188"/>
      <c r="G117" s="188"/>
      <c r="H117" s="188"/>
    </row>
    <row r="118" spans="1:9" ht="15.6" hidden="1" x14ac:dyDescent="0.3">
      <c r="A118" s="182" t="s">
        <v>191</v>
      </c>
      <c r="B118" s="111">
        <v>0.7</v>
      </c>
      <c r="C118" s="188">
        <f t="shared" ref="C118:H118" si="65">-$B$118*C13</f>
        <v>0</v>
      </c>
      <c r="D118" s="188">
        <f t="shared" si="65"/>
        <v>1400</v>
      </c>
      <c r="E118" s="188">
        <f t="shared" si="65"/>
        <v>2100</v>
      </c>
      <c r="F118" s="188">
        <f t="shared" si="65"/>
        <v>2226.0000209999998</v>
      </c>
      <c r="G118" s="188">
        <f t="shared" si="65"/>
        <v>2337.2955885992164</v>
      </c>
      <c r="H118" s="188">
        <f t="shared" si="65"/>
        <v>2442.4697004831373</v>
      </c>
    </row>
    <row r="119" spans="1:9" ht="15.6" hidden="1" x14ac:dyDescent="0.3">
      <c r="A119" s="182" t="s">
        <v>192</v>
      </c>
      <c r="B119" s="111">
        <v>0.3</v>
      </c>
      <c r="C119" s="188">
        <f t="shared" ref="C119:H119" si="66">-$B$119*C13</f>
        <v>0</v>
      </c>
      <c r="D119" s="188">
        <f t="shared" si="66"/>
        <v>600</v>
      </c>
      <c r="E119" s="188">
        <f t="shared" si="66"/>
        <v>900</v>
      </c>
      <c r="F119" s="188">
        <f t="shared" si="66"/>
        <v>954.00000899999998</v>
      </c>
      <c r="G119" s="188">
        <f t="shared" si="66"/>
        <v>1001.6981093996642</v>
      </c>
      <c r="H119" s="188">
        <f t="shared" si="66"/>
        <v>1046.7727287784874</v>
      </c>
    </row>
    <row r="120" spans="1:9" ht="15.6" hidden="1" x14ac:dyDescent="0.3">
      <c r="A120" s="182" t="s">
        <v>195</v>
      </c>
      <c r="B120" s="193">
        <v>15</v>
      </c>
      <c r="C120" s="188">
        <f>(C118/12)*($B$120/30)</f>
        <v>0</v>
      </c>
      <c r="D120" s="188">
        <f>(D118/12)*($B$120/30)</f>
        <v>58.333333333333336</v>
      </c>
      <c r="E120" s="188">
        <f t="shared" ref="E120:H120" si="67">(E118/12)*($B$120/30)</f>
        <v>87.5</v>
      </c>
      <c r="F120" s="188">
        <f t="shared" si="67"/>
        <v>92.750000874999998</v>
      </c>
      <c r="G120" s="188">
        <f t="shared" si="67"/>
        <v>97.387316191634014</v>
      </c>
      <c r="H120" s="188">
        <f t="shared" si="67"/>
        <v>101.76957085346406</v>
      </c>
    </row>
    <row r="121" spans="1:9" ht="15.6" hidden="1" x14ac:dyDescent="0.3">
      <c r="A121" s="182" t="s">
        <v>197</v>
      </c>
      <c r="B121" s="193">
        <v>20</v>
      </c>
      <c r="C121" s="188">
        <f>(C119/12)*($B$121/30)</f>
        <v>0</v>
      </c>
      <c r="D121" s="188">
        <f>(D119/12)*($B$121/30)</f>
        <v>33.333333333333329</v>
      </c>
      <c r="E121" s="188">
        <f t="shared" ref="E121:H121" si="68">(E119/12)*($B$121/30)</f>
        <v>50</v>
      </c>
      <c r="F121" s="188">
        <f t="shared" si="68"/>
        <v>53.000000499999999</v>
      </c>
      <c r="G121" s="188">
        <f t="shared" si="68"/>
        <v>55.649894966648006</v>
      </c>
      <c r="H121" s="188">
        <f t="shared" si="68"/>
        <v>58.154040487693734</v>
      </c>
    </row>
    <row r="122" spans="1:9" ht="16.2" hidden="1" thickBot="1" x14ac:dyDescent="0.35">
      <c r="A122" s="191" t="s">
        <v>198</v>
      </c>
      <c r="B122" s="193"/>
      <c r="C122" s="192">
        <f>C121+C120+C116</f>
        <v>0</v>
      </c>
      <c r="D122" s="192">
        <f t="shared" ref="D122:H122" si="69">D121+D120+D116</f>
        <v>461.52968036529683</v>
      </c>
      <c r="E122" s="192">
        <f t="shared" si="69"/>
        <v>292.84216986301368</v>
      </c>
      <c r="F122" s="192">
        <f t="shared" si="69"/>
        <v>822.1345883646942</v>
      </c>
      <c r="G122" s="192">
        <f t="shared" si="69"/>
        <v>997.16428287753229</v>
      </c>
      <c r="H122" s="192">
        <f t="shared" si="69"/>
        <v>1184.130334341485</v>
      </c>
    </row>
    <row r="123" spans="1:9" ht="36.6" hidden="1" thickBot="1" x14ac:dyDescent="0.35">
      <c r="A123" s="173" t="s">
        <v>200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7</v>
      </c>
    </row>
    <row r="124" spans="1:9" ht="15.6" hidden="1" x14ac:dyDescent="0.3">
      <c r="A124" s="182" t="s">
        <v>202</v>
      </c>
      <c r="B124" s="193"/>
      <c r="C124" s="188">
        <f>C101</f>
        <v>0</v>
      </c>
      <c r="D124" s="188">
        <f t="shared" ref="D124:H124" si="70">D101</f>
        <v>271.23287671232879</v>
      </c>
      <c r="E124" s="188">
        <f t="shared" si="70"/>
        <v>116.08767123287672</v>
      </c>
      <c r="F124" s="188">
        <f t="shared" si="70"/>
        <v>512.72059379983602</v>
      </c>
      <c r="G124" s="188">
        <f t="shared" si="70"/>
        <v>646.0267227853692</v>
      </c>
      <c r="H124" s="188">
        <f t="shared" si="70"/>
        <v>787.61312022447476</v>
      </c>
      <c r="I124" s="188"/>
    </row>
    <row r="125" spans="1:9" ht="15.6" hidden="1" x14ac:dyDescent="0.3">
      <c r="A125" s="182" t="s">
        <v>203</v>
      </c>
      <c r="B125" s="193"/>
      <c r="C125" s="188">
        <f>C95</f>
        <v>0</v>
      </c>
      <c r="D125" s="188">
        <f t="shared" ref="D125:H125" si="71">D95</f>
        <v>336.98630136986299</v>
      </c>
      <c r="E125" s="188">
        <f t="shared" si="71"/>
        <v>214.71780821917807</v>
      </c>
      <c r="F125" s="188">
        <f t="shared" si="71"/>
        <v>617.26853999161676</v>
      </c>
      <c r="G125" s="188">
        <f t="shared" si="71"/>
        <v>755.80185806204463</v>
      </c>
      <c r="H125" s="188">
        <f t="shared" si="71"/>
        <v>902.32793981663758</v>
      </c>
      <c r="I125" s="188"/>
    </row>
    <row r="126" spans="1:9" ht="15.6" hidden="1" x14ac:dyDescent="0.3">
      <c r="A126" s="182" t="s">
        <v>204</v>
      </c>
      <c r="B126" s="193"/>
      <c r="C126" s="188">
        <f>C104</f>
        <v>0</v>
      </c>
      <c r="D126" s="188">
        <f t="shared" ref="D126:H126" si="72">D104</f>
        <v>687.5</v>
      </c>
      <c r="E126" s="188">
        <f t="shared" si="72"/>
        <v>294.25</v>
      </c>
      <c r="F126" s="188">
        <f t="shared" si="72"/>
        <v>1299.6042828954176</v>
      </c>
      <c r="G126" s="188">
        <f t="shared" si="72"/>
        <v>1637.4982903934704</v>
      </c>
      <c r="H126" s="188">
        <f t="shared" si="72"/>
        <v>1996.3804783467588</v>
      </c>
      <c r="I126" s="188"/>
    </row>
    <row r="127" spans="1:9" ht="15.6" hidden="1" x14ac:dyDescent="0.3">
      <c r="A127" s="182" t="s">
        <v>205</v>
      </c>
      <c r="B127" s="193"/>
      <c r="C127" s="188">
        <f>C112</f>
        <v>0</v>
      </c>
      <c r="D127" s="188">
        <f t="shared" ref="D127:H127" si="73">D112</f>
        <v>739.72602739726028</v>
      </c>
      <c r="E127" s="188">
        <f t="shared" si="73"/>
        <v>310.68433972602742</v>
      </c>
      <c r="F127" s="188">
        <f t="shared" si="73"/>
        <v>1352.7691739793884</v>
      </c>
      <c r="G127" s="188">
        <f t="shared" si="73"/>
        <v>1688.2541434385007</v>
      </c>
      <c r="H127" s="188">
        <f t="shared" si="73"/>
        <v>2048.4134460006544</v>
      </c>
      <c r="I127" s="188"/>
    </row>
    <row r="128" spans="1:9" ht="16.2" hidden="1" thickBot="1" x14ac:dyDescent="0.35">
      <c r="A128" s="182" t="s">
        <v>201</v>
      </c>
      <c r="B128" s="193"/>
      <c r="C128" s="188">
        <f>C122</f>
        <v>0</v>
      </c>
      <c r="D128" s="188">
        <f t="shared" ref="D128:H128" si="74">D122</f>
        <v>461.52968036529683</v>
      </c>
      <c r="E128" s="188">
        <f t="shared" si="74"/>
        <v>292.84216986301368</v>
      </c>
      <c r="F128" s="188">
        <f t="shared" si="74"/>
        <v>822.1345883646942</v>
      </c>
      <c r="G128" s="188">
        <f t="shared" si="74"/>
        <v>997.16428287753229</v>
      </c>
      <c r="H128" s="188">
        <f t="shared" si="74"/>
        <v>1184.130334341485</v>
      </c>
      <c r="I128" s="188"/>
    </row>
    <row r="129" spans="1:11" ht="21.6" hidden="1" thickBot="1" x14ac:dyDescent="0.35">
      <c r="A129" s="161" t="s">
        <v>206</v>
      </c>
      <c r="B129" s="193"/>
      <c r="C129" s="194">
        <f>SUM(C124:C128)</f>
        <v>0</v>
      </c>
      <c r="D129" s="194">
        <f>SUM(D124:D127)-D128</f>
        <v>1573.9155251141551</v>
      </c>
      <c r="E129" s="194">
        <f t="shared" ref="E129:H129" si="75">SUM(E124:E127)-E128</f>
        <v>642.89764931506852</v>
      </c>
      <c r="F129" s="194">
        <f t="shared" si="75"/>
        <v>2960.2280023015642</v>
      </c>
      <c r="G129" s="194">
        <f t="shared" si="75"/>
        <v>3730.4167318018526</v>
      </c>
      <c r="H129" s="194">
        <f t="shared" si="75"/>
        <v>4550.6046500470411</v>
      </c>
      <c r="I129" s="188"/>
    </row>
    <row r="130" spans="1:11" ht="16.2" hidden="1" thickBot="1" x14ac:dyDescent="0.35">
      <c r="A130" s="195" t="s">
        <v>207</v>
      </c>
      <c r="B130" s="4"/>
      <c r="C130" s="192"/>
      <c r="D130" s="192">
        <f>D129-C129</f>
        <v>1573.9155251141551</v>
      </c>
      <c r="E130" s="192">
        <f t="shared" ref="E130:H130" si="76">E129-D129</f>
        <v>-931.0178757990866</v>
      </c>
      <c r="F130" s="192">
        <f t="shared" si="76"/>
        <v>2317.3303529864957</v>
      </c>
      <c r="G130" s="192">
        <f t="shared" si="76"/>
        <v>770.18872950028845</v>
      </c>
      <c r="H130" s="192">
        <f t="shared" si="76"/>
        <v>820.18791824518848</v>
      </c>
      <c r="I130" s="188"/>
      <c r="J130" s="65"/>
      <c r="K130" s="65"/>
    </row>
    <row r="131" spans="1:11" ht="58.2" thickBot="1" x14ac:dyDescent="0.35">
      <c r="A131" s="173" t="s">
        <v>489</v>
      </c>
      <c r="B131" s="64"/>
      <c r="C131" s="58" t="s">
        <v>5</v>
      </c>
      <c r="D131" s="59" t="s">
        <v>0</v>
      </c>
      <c r="E131" s="59" t="s">
        <v>1</v>
      </c>
      <c r="F131" s="59" t="s">
        <v>2</v>
      </c>
      <c r="G131" s="59" t="s">
        <v>3</v>
      </c>
      <c r="H131" s="59" t="s">
        <v>4</v>
      </c>
      <c r="I131" s="60" t="s">
        <v>232</v>
      </c>
      <c r="J131" s="65"/>
      <c r="K131" s="65"/>
    </row>
    <row r="132" spans="1:11" ht="42.6" thickBot="1" x14ac:dyDescent="0.35">
      <c r="A132" s="229" t="s">
        <v>490</v>
      </c>
      <c r="B132" s="5"/>
      <c r="D132" s="9"/>
      <c r="E132" s="9"/>
      <c r="F132" s="9"/>
      <c r="G132" s="9"/>
      <c r="H132" s="9"/>
      <c r="I132" s="9"/>
      <c r="J132" s="65"/>
      <c r="K132" s="65"/>
    </row>
    <row r="133" spans="1:11" ht="28.8" x14ac:dyDescent="0.3">
      <c r="A133" s="257" t="s">
        <v>250</v>
      </c>
      <c r="B133" s="5"/>
      <c r="C133" s="9">
        <f t="shared" ref="C133:H138" si="77">C26</f>
        <v>5000</v>
      </c>
      <c r="D133" s="9">
        <f t="shared" si="77"/>
        <v>0</v>
      </c>
      <c r="E133" s="9">
        <f t="shared" si="77"/>
        <v>3525</v>
      </c>
      <c r="F133" s="9">
        <f t="shared" si="77"/>
        <v>2873.9879999999976</v>
      </c>
      <c r="G133" s="9">
        <f t="shared" si="77"/>
        <v>9782.8756355362857</v>
      </c>
      <c r="H133" s="9">
        <f t="shared" si="77"/>
        <v>18749.877062608779</v>
      </c>
      <c r="I133" s="9"/>
      <c r="J133" s="65"/>
      <c r="K133" s="65"/>
    </row>
    <row r="134" spans="1:11" x14ac:dyDescent="0.3">
      <c r="A134" s="4" t="s">
        <v>252</v>
      </c>
      <c r="B134" s="4"/>
      <c r="C134" s="11">
        <f t="shared" si="77"/>
        <v>0</v>
      </c>
      <c r="D134" s="11">
        <f t="shared" si="77"/>
        <v>22000</v>
      </c>
      <c r="E134" s="11">
        <f t="shared" si="77"/>
        <v>17299.987999999998</v>
      </c>
      <c r="F134" s="11">
        <f t="shared" si="77"/>
        <v>34431.152694582037</v>
      </c>
      <c r="G134" s="11">
        <f t="shared" si="77"/>
        <v>42234.042353058481</v>
      </c>
      <c r="H134" s="11">
        <f t="shared" si="77"/>
        <v>50537.272655013272</v>
      </c>
      <c r="I134" s="11"/>
      <c r="J134" s="65"/>
      <c r="K134" s="65"/>
    </row>
    <row r="135" spans="1:11" x14ac:dyDescent="0.3">
      <c r="A135" s="4" t="s">
        <v>251</v>
      </c>
      <c r="B135" s="4"/>
      <c r="C135" s="11">
        <f t="shared" si="77"/>
        <v>-5000</v>
      </c>
      <c r="D135" s="11">
        <f t="shared" si="77"/>
        <v>-18475</v>
      </c>
      <c r="E135" s="11">
        <f t="shared" si="77"/>
        <v>-17951</v>
      </c>
      <c r="F135" s="11">
        <f t="shared" si="77"/>
        <v>-27522.265059045749</v>
      </c>
      <c r="G135" s="11">
        <f t="shared" si="77"/>
        <v>-33267.040925985988</v>
      </c>
      <c r="H135" s="11">
        <f t="shared" si="77"/>
        <v>-39311.028102938675</v>
      </c>
      <c r="I135" s="11"/>
      <c r="J135" s="65"/>
      <c r="K135" s="65"/>
    </row>
    <row r="136" spans="1:11" ht="28.8" x14ac:dyDescent="0.3">
      <c r="A136" s="258" t="s">
        <v>253</v>
      </c>
      <c r="B136" s="4"/>
      <c r="C136" s="11">
        <f t="shared" si="77"/>
        <v>-5000</v>
      </c>
      <c r="D136" s="11">
        <f t="shared" si="77"/>
        <v>3525</v>
      </c>
      <c r="E136" s="11">
        <f t="shared" si="77"/>
        <v>-651.01200000000244</v>
      </c>
      <c r="F136" s="11">
        <f t="shared" si="77"/>
        <v>6908.8876355362881</v>
      </c>
      <c r="G136" s="11">
        <f t="shared" si="77"/>
        <v>8967.0014270724932</v>
      </c>
      <c r="H136" s="11">
        <f t="shared" si="77"/>
        <v>11226.244552074597</v>
      </c>
      <c r="I136" s="11"/>
      <c r="J136" s="65"/>
      <c r="K136" s="65"/>
    </row>
    <row r="137" spans="1:11" ht="28.8" x14ac:dyDescent="0.3">
      <c r="A137" s="257" t="s">
        <v>254</v>
      </c>
      <c r="B137" s="5"/>
      <c r="C137" s="9">
        <f t="shared" si="77"/>
        <v>0</v>
      </c>
      <c r="D137" s="9">
        <f t="shared" si="77"/>
        <v>3525</v>
      </c>
      <c r="E137" s="9">
        <f t="shared" si="77"/>
        <v>2873.9879999999976</v>
      </c>
      <c r="F137" s="9">
        <f t="shared" si="77"/>
        <v>9782.8756355362857</v>
      </c>
      <c r="G137" s="9">
        <f t="shared" si="77"/>
        <v>18749.877062608779</v>
      </c>
      <c r="H137" s="9">
        <f t="shared" si="77"/>
        <v>29976.121614683376</v>
      </c>
      <c r="I137" s="9"/>
      <c r="J137" s="65"/>
      <c r="K137" s="65"/>
    </row>
    <row r="138" spans="1:11" ht="28.8" x14ac:dyDescent="0.3">
      <c r="A138" s="257" t="s">
        <v>255</v>
      </c>
      <c r="B138" s="5"/>
      <c r="C138" s="9">
        <f t="shared" si="77"/>
        <v>-5000</v>
      </c>
      <c r="D138" s="9">
        <f t="shared" si="77"/>
        <v>-1475</v>
      </c>
      <c r="E138" s="9">
        <f t="shared" si="77"/>
        <v>-2126.0120000000024</v>
      </c>
      <c r="F138" s="9">
        <f t="shared" si="77"/>
        <v>4782.8756355362857</v>
      </c>
      <c r="G138" s="9">
        <f t="shared" si="77"/>
        <v>13749.877062608779</v>
      </c>
      <c r="H138" s="9">
        <f t="shared" si="77"/>
        <v>24976.121614683376</v>
      </c>
      <c r="I138" s="9"/>
      <c r="J138" s="65"/>
      <c r="K138" s="65"/>
    </row>
    <row r="139" spans="1:11" ht="26.4" thickBot="1" x14ac:dyDescent="0.35">
      <c r="A139" s="195" t="s">
        <v>488</v>
      </c>
      <c r="B139" s="4"/>
      <c r="C139" s="192"/>
      <c r="D139" s="196">
        <f>D130</f>
        <v>1573.9155251141551</v>
      </c>
      <c r="E139" s="196">
        <f t="shared" ref="E139:H139" si="78">E130</f>
        <v>-931.0178757990866</v>
      </c>
      <c r="F139" s="196">
        <f t="shared" si="78"/>
        <v>2317.3303529864957</v>
      </c>
      <c r="G139" s="196">
        <f t="shared" si="78"/>
        <v>770.18872950028845</v>
      </c>
      <c r="H139" s="196">
        <f t="shared" si="78"/>
        <v>820.18791824518848</v>
      </c>
      <c r="I139" s="9"/>
      <c r="J139" s="65"/>
      <c r="K139" s="65"/>
    </row>
    <row r="140" spans="1:11" ht="26.4" thickBot="1" x14ac:dyDescent="0.35">
      <c r="A140" s="229" t="s">
        <v>491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1" t="s">
        <v>4</v>
      </c>
      <c r="I140" s="9"/>
      <c r="J140" s="65"/>
      <c r="K140" s="65"/>
    </row>
    <row r="141" spans="1:11" ht="28.8" x14ac:dyDescent="0.3">
      <c r="A141" s="257" t="s">
        <v>250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2231.0903506849281</v>
      </c>
      <c r="G141" s="9">
        <f>F145+G5</f>
        <v>6822.6476332347193</v>
      </c>
      <c r="H141" s="9">
        <f>G145+H5</f>
        <v>15019.460330806924</v>
      </c>
      <c r="I141" s="9"/>
      <c r="J141" s="65"/>
      <c r="K141" s="65"/>
    </row>
    <row r="142" spans="1:11" x14ac:dyDescent="0.3">
      <c r="A142" s="4" t="s">
        <v>252</v>
      </c>
      <c r="B142" s="5"/>
      <c r="C142" s="9">
        <f>C134</f>
        <v>0</v>
      </c>
      <c r="D142" s="9">
        <f>D134</f>
        <v>22000</v>
      </c>
      <c r="E142" s="9">
        <f t="shared" ref="E142:H142" si="79">E134</f>
        <v>17299.987999999998</v>
      </c>
      <c r="F142" s="9">
        <f t="shared" si="79"/>
        <v>34431.152694582037</v>
      </c>
      <c r="G142" s="9">
        <f t="shared" si="79"/>
        <v>42234.042353058481</v>
      </c>
      <c r="H142" s="9">
        <f t="shared" si="79"/>
        <v>50537.272655013272</v>
      </c>
      <c r="I142" s="9"/>
      <c r="J142" s="65"/>
      <c r="K142" s="65"/>
    </row>
    <row r="143" spans="1:11" x14ac:dyDescent="0.3">
      <c r="A143" s="4" t="s">
        <v>251</v>
      </c>
      <c r="B143" s="5"/>
      <c r="C143" s="11">
        <f t="shared" ref="C143:H143" si="80">C135-C139</f>
        <v>-5000</v>
      </c>
      <c r="D143" s="11">
        <f t="shared" si="80"/>
        <v>-20048.915525114156</v>
      </c>
      <c r="E143" s="11">
        <f t="shared" si="80"/>
        <v>-17019.982124200913</v>
      </c>
      <c r="F143" s="11">
        <f t="shared" si="80"/>
        <v>-29839.595412032246</v>
      </c>
      <c r="G143" s="11">
        <f t="shared" si="80"/>
        <v>-34037.229655486277</v>
      </c>
      <c r="H143" s="11">
        <f t="shared" si="80"/>
        <v>-40131.216021183864</v>
      </c>
      <c r="I143" s="9"/>
      <c r="J143" s="65"/>
      <c r="K143" s="65"/>
    </row>
    <row r="144" spans="1:11" ht="28.8" x14ac:dyDescent="0.3">
      <c r="A144" s="258" t="s">
        <v>253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81">E142+E143</f>
        <v>280.00587579908461</v>
      </c>
      <c r="F144" s="11">
        <f t="shared" si="81"/>
        <v>4591.5572825497911</v>
      </c>
      <c r="G144" s="11">
        <f t="shared" si="81"/>
        <v>8196.8126975722043</v>
      </c>
      <c r="H144" s="11">
        <f t="shared" si="81"/>
        <v>10406.056633829408</v>
      </c>
      <c r="I144" s="9"/>
      <c r="J144" s="65"/>
      <c r="K144" s="65"/>
    </row>
    <row r="145" spans="1:11" s="14" customFormat="1" ht="28.8" x14ac:dyDescent="0.3">
      <c r="A145" s="257" t="s">
        <v>254</v>
      </c>
      <c r="C145" s="199">
        <f>C141+C144</f>
        <v>0</v>
      </c>
      <c r="D145" s="199">
        <f>D141+D144</f>
        <v>1951.0844748858435</v>
      </c>
      <c r="E145" s="199">
        <f t="shared" ref="E145:H145" si="82">E141+E144</f>
        <v>2231.0903506849281</v>
      </c>
      <c r="F145" s="199">
        <f t="shared" si="82"/>
        <v>6822.6476332347193</v>
      </c>
      <c r="G145" s="199">
        <f t="shared" si="82"/>
        <v>15019.460330806924</v>
      </c>
      <c r="H145" s="199">
        <f t="shared" si="82"/>
        <v>25425.516964636332</v>
      </c>
      <c r="I145" s="197"/>
      <c r="J145" s="198"/>
      <c r="K145" s="198"/>
    </row>
    <row r="146" spans="1:11" ht="29.4" thickBot="1" x14ac:dyDescent="0.35">
      <c r="A146" s="257" t="s">
        <v>255</v>
      </c>
      <c r="B146" s="5"/>
      <c r="C146" s="9">
        <f>C145</f>
        <v>0</v>
      </c>
      <c r="D146" s="9">
        <f>C146+D145</f>
        <v>1951.0844748858435</v>
      </c>
      <c r="E146" s="9">
        <f t="shared" ref="E146:H146" si="83">D146+E145</f>
        <v>4182.1748255707716</v>
      </c>
      <c r="F146" s="9">
        <f t="shared" si="83"/>
        <v>11004.822458805491</v>
      </c>
      <c r="G146" s="9">
        <f t="shared" si="83"/>
        <v>26024.282789612414</v>
      </c>
      <c r="H146" s="9">
        <f t="shared" si="83"/>
        <v>51449.799754248743</v>
      </c>
      <c r="I146" s="9"/>
      <c r="J146" s="65"/>
      <c r="K146" s="65"/>
    </row>
    <row r="147" spans="1:11" s="64" customFormat="1" ht="26.4" hidden="1" thickBot="1" x14ac:dyDescent="0.35">
      <c r="A147" s="219" t="s">
        <v>212</v>
      </c>
      <c r="C147" s="216" t="s">
        <v>5</v>
      </c>
      <c r="D147" s="217" t="s">
        <v>0</v>
      </c>
      <c r="E147" s="217" t="s">
        <v>1</v>
      </c>
      <c r="F147" s="217" t="s">
        <v>2</v>
      </c>
      <c r="G147" s="217" t="s">
        <v>3</v>
      </c>
      <c r="H147" s="217" t="s">
        <v>4</v>
      </c>
      <c r="I147" s="155"/>
    </row>
    <row r="148" spans="1:11" s="64" customFormat="1" ht="23.4" hidden="1" x14ac:dyDescent="0.3">
      <c r="A148" s="220" t="s">
        <v>90</v>
      </c>
      <c r="B148" s="200"/>
      <c r="C148" s="200"/>
      <c r="D148" s="200"/>
      <c r="E148" s="201"/>
      <c r="F148" s="201"/>
      <c r="G148" s="201"/>
      <c r="H148" s="202"/>
      <c r="I148" s="155"/>
    </row>
    <row r="149" spans="1:11" s="64" customFormat="1" ht="18" hidden="1" x14ac:dyDescent="0.3">
      <c r="A149" s="203" t="s">
        <v>95</v>
      </c>
      <c r="B149" s="218"/>
      <c r="C149" s="205">
        <f>SUM(C151:C153)</f>
        <v>5000</v>
      </c>
      <c r="D149" s="205">
        <f t="shared" ref="D149:H149" si="84">SUM(D151:D153)</f>
        <v>6775</v>
      </c>
      <c r="E149" s="205">
        <f t="shared" si="84"/>
        <v>10750</v>
      </c>
      <c r="F149" s="205">
        <f t="shared" si="84"/>
        <v>9149.1666216666654</v>
      </c>
      <c r="G149" s="205">
        <f t="shared" si="84"/>
        <v>7694.4999010000001</v>
      </c>
      <c r="H149" s="206">
        <f t="shared" si="84"/>
        <v>6309.1996129999825</v>
      </c>
      <c r="I149" s="155"/>
    </row>
    <row r="150" spans="1:11" s="64" customFormat="1" hidden="1" x14ac:dyDescent="0.3">
      <c r="A150" s="207" t="s">
        <v>94</v>
      </c>
      <c r="B150" s="204"/>
      <c r="C150" s="204"/>
      <c r="D150" s="204"/>
      <c r="E150" s="208"/>
      <c r="F150" s="208"/>
      <c r="G150" s="208"/>
      <c r="H150" s="209"/>
      <c r="I150" s="155"/>
    </row>
    <row r="151" spans="1:11" s="64" customFormat="1" ht="15.6" hidden="1" x14ac:dyDescent="0.3">
      <c r="A151" s="210" t="s">
        <v>91</v>
      </c>
      <c r="B151" s="204"/>
      <c r="C151" s="204">
        <f t="shared" ref="C151:H151" si="85">C79+C80+C82</f>
        <v>5000</v>
      </c>
      <c r="D151" s="204">
        <f t="shared" si="85"/>
        <v>6775</v>
      </c>
      <c r="E151" s="204">
        <f t="shared" si="85"/>
        <v>9750</v>
      </c>
      <c r="F151" s="204">
        <f t="shared" si="85"/>
        <v>8482.4999549999993</v>
      </c>
      <c r="G151" s="204">
        <f t="shared" si="85"/>
        <v>7294.4999010000001</v>
      </c>
      <c r="H151" s="211">
        <f t="shared" si="85"/>
        <v>6109.1996129999825</v>
      </c>
      <c r="I151" s="155"/>
    </row>
    <row r="152" spans="1:11" s="64" customFormat="1" ht="15.6" hidden="1" x14ac:dyDescent="0.3">
      <c r="A152" s="210" t="s">
        <v>185</v>
      </c>
      <c r="B152" s="204"/>
      <c r="C152" s="204">
        <f t="shared" ref="C152:H152" si="86">C81</f>
        <v>0</v>
      </c>
      <c r="D152" s="204">
        <f t="shared" si="86"/>
        <v>0</v>
      </c>
      <c r="E152" s="204">
        <f t="shared" si="86"/>
        <v>1000</v>
      </c>
      <c r="F152" s="204">
        <f t="shared" si="86"/>
        <v>666.66666666666674</v>
      </c>
      <c r="G152" s="204">
        <f t="shared" si="86"/>
        <v>400.00000000000006</v>
      </c>
      <c r="H152" s="211">
        <f t="shared" si="86"/>
        <v>200.00000000000006</v>
      </c>
      <c r="I152" s="155"/>
    </row>
    <row r="153" spans="1:11" s="64" customFormat="1" ht="15.6" hidden="1" x14ac:dyDescent="0.3">
      <c r="A153" s="210" t="s">
        <v>92</v>
      </c>
      <c r="B153" s="204"/>
      <c r="C153" s="204"/>
      <c r="D153" s="204"/>
      <c r="E153" s="208"/>
      <c r="F153" s="208"/>
      <c r="G153" s="208"/>
      <c r="H153" s="209"/>
      <c r="I153" s="155"/>
    </row>
    <row r="154" spans="1:11" s="64" customFormat="1" ht="18" hidden="1" x14ac:dyDescent="0.3">
      <c r="A154" s="203" t="s">
        <v>93</v>
      </c>
      <c r="B154" s="204"/>
      <c r="C154" s="205">
        <f t="shared" ref="C154:H154" si="87">SUM(C156:C161)</f>
        <v>0</v>
      </c>
      <c r="D154" s="205">
        <f t="shared" si="87"/>
        <v>3986.5296803652955</v>
      </c>
      <c r="E154" s="205">
        <f t="shared" si="87"/>
        <v>3166.8301698630103</v>
      </c>
      <c r="F154" s="205">
        <f t="shared" si="87"/>
        <v>10605.010223900979</v>
      </c>
      <c r="G154" s="205">
        <f t="shared" si="87"/>
        <v>19747.041345486308</v>
      </c>
      <c r="H154" s="206">
        <f t="shared" si="87"/>
        <v>31160.25194902486</v>
      </c>
      <c r="I154" s="155"/>
    </row>
    <row r="155" spans="1:11" s="64" customFormat="1" hidden="1" x14ac:dyDescent="0.3">
      <c r="A155" s="207" t="s">
        <v>94</v>
      </c>
      <c r="B155" s="204"/>
      <c r="C155" s="204"/>
      <c r="D155" s="204"/>
      <c r="E155" s="208"/>
      <c r="F155" s="208"/>
      <c r="G155" s="208"/>
      <c r="H155" s="209"/>
      <c r="I155" s="155"/>
    </row>
    <row r="156" spans="1:11" s="64" customFormat="1" ht="15.6" hidden="1" x14ac:dyDescent="0.3">
      <c r="A156" s="210" t="s">
        <v>96</v>
      </c>
      <c r="B156" s="204"/>
      <c r="C156" s="204">
        <f t="shared" ref="C156:H156" si="88">C101</f>
        <v>0</v>
      </c>
      <c r="D156" s="204">
        <f t="shared" si="88"/>
        <v>271.23287671232879</v>
      </c>
      <c r="E156" s="204">
        <f t="shared" si="88"/>
        <v>116.08767123287672</v>
      </c>
      <c r="F156" s="204">
        <f t="shared" si="88"/>
        <v>512.72059379983602</v>
      </c>
      <c r="G156" s="204">
        <f t="shared" si="88"/>
        <v>646.0267227853692</v>
      </c>
      <c r="H156" s="211">
        <f t="shared" si="88"/>
        <v>787.61312022447476</v>
      </c>
      <c r="I156" s="155"/>
    </row>
    <row r="157" spans="1:11" s="64" customFormat="1" ht="15.6" hidden="1" x14ac:dyDescent="0.3">
      <c r="A157" s="210" t="s">
        <v>97</v>
      </c>
      <c r="B157" s="204"/>
      <c r="C157" s="204">
        <f t="shared" ref="C157:H157" si="89">C95</f>
        <v>0</v>
      </c>
      <c r="D157" s="204">
        <f t="shared" si="89"/>
        <v>336.98630136986299</v>
      </c>
      <c r="E157" s="204">
        <f t="shared" si="89"/>
        <v>214.71780821917807</v>
      </c>
      <c r="F157" s="204">
        <f t="shared" si="89"/>
        <v>617.26853999161676</v>
      </c>
      <c r="G157" s="204">
        <f t="shared" si="89"/>
        <v>755.80185806204463</v>
      </c>
      <c r="H157" s="211">
        <f t="shared" si="89"/>
        <v>902.32793981663758</v>
      </c>
      <c r="I157" s="155"/>
    </row>
    <row r="158" spans="1:11" s="64" customFormat="1" ht="15.6" hidden="1" x14ac:dyDescent="0.3">
      <c r="A158" s="210" t="s">
        <v>98</v>
      </c>
      <c r="B158" s="204"/>
      <c r="C158" s="204">
        <f t="shared" ref="C158:H158" si="90">C112</f>
        <v>0</v>
      </c>
      <c r="D158" s="204">
        <f t="shared" si="90"/>
        <v>739.72602739726028</v>
      </c>
      <c r="E158" s="204">
        <f t="shared" si="90"/>
        <v>310.68433972602742</v>
      </c>
      <c r="F158" s="204">
        <f t="shared" si="90"/>
        <v>1352.7691739793884</v>
      </c>
      <c r="G158" s="204">
        <f t="shared" si="90"/>
        <v>1688.2541434385007</v>
      </c>
      <c r="H158" s="211">
        <f t="shared" si="90"/>
        <v>2048.4134460006544</v>
      </c>
      <c r="I158" s="155"/>
    </row>
    <row r="159" spans="1:11" s="64" customFormat="1" ht="15.6" hidden="1" x14ac:dyDescent="0.3">
      <c r="A159" s="210" t="s">
        <v>99</v>
      </c>
      <c r="B159" s="204"/>
      <c r="C159" s="204">
        <f t="shared" ref="C159:H159" si="91">C104</f>
        <v>0</v>
      </c>
      <c r="D159" s="204">
        <f t="shared" si="91"/>
        <v>687.5</v>
      </c>
      <c r="E159" s="204">
        <f t="shared" si="91"/>
        <v>294.25</v>
      </c>
      <c r="F159" s="204">
        <f t="shared" si="91"/>
        <v>1299.6042828954176</v>
      </c>
      <c r="G159" s="204">
        <f t="shared" si="91"/>
        <v>1637.4982903934704</v>
      </c>
      <c r="H159" s="211">
        <f t="shared" si="91"/>
        <v>1996.3804783467588</v>
      </c>
      <c r="I159" s="155"/>
    </row>
    <row r="160" spans="1:11" s="64" customFormat="1" ht="15.6" hidden="1" x14ac:dyDescent="0.3">
      <c r="A160" s="210" t="s">
        <v>100</v>
      </c>
      <c r="B160" s="204"/>
      <c r="C160" s="204">
        <f t="shared" ref="C160:H160" si="92">C145</f>
        <v>0</v>
      </c>
      <c r="D160" s="204">
        <f t="shared" si="92"/>
        <v>1951.0844748858435</v>
      </c>
      <c r="E160" s="204">
        <f t="shared" si="92"/>
        <v>2231.0903506849281</v>
      </c>
      <c r="F160" s="204">
        <f t="shared" si="92"/>
        <v>6822.6476332347193</v>
      </c>
      <c r="G160" s="204">
        <f t="shared" si="92"/>
        <v>15019.460330806924</v>
      </c>
      <c r="H160" s="211">
        <f t="shared" si="92"/>
        <v>25425.516964636332</v>
      </c>
      <c r="I160" s="155"/>
    </row>
    <row r="161" spans="1:9" s="64" customFormat="1" ht="15.6" hidden="1" x14ac:dyDescent="0.3">
      <c r="A161" s="210" t="s">
        <v>101</v>
      </c>
      <c r="B161" s="204"/>
      <c r="C161" s="204"/>
      <c r="D161" s="204"/>
      <c r="E161" s="208"/>
      <c r="F161" s="208"/>
      <c r="G161" s="208"/>
      <c r="H161" s="209"/>
      <c r="I161" s="155"/>
    </row>
    <row r="162" spans="1:9" s="64" customFormat="1" ht="21.6" hidden="1" thickBot="1" x14ac:dyDescent="0.35">
      <c r="A162" s="212" t="s">
        <v>102</v>
      </c>
      <c r="B162" s="213"/>
      <c r="C162" s="214">
        <f>C154+C149</f>
        <v>5000</v>
      </c>
      <c r="D162" s="214">
        <f t="shared" ref="D162:H162" si="93">D154+D149</f>
        <v>10761.529680365296</v>
      </c>
      <c r="E162" s="214">
        <f t="shared" si="93"/>
        <v>13916.830169863009</v>
      </c>
      <c r="F162" s="214">
        <f t="shared" si="93"/>
        <v>19754.176845567643</v>
      </c>
      <c r="G162" s="214">
        <f t="shared" si="93"/>
        <v>27441.541246486308</v>
      </c>
      <c r="H162" s="215">
        <f t="shared" si="93"/>
        <v>37469.451562024842</v>
      </c>
      <c r="I162" s="155"/>
    </row>
    <row r="163" spans="1:9" s="64" customFormat="1" ht="23.4" hidden="1" x14ac:dyDescent="0.3">
      <c r="A163" s="220" t="s">
        <v>103</v>
      </c>
      <c r="B163" s="200"/>
      <c r="C163" s="200"/>
      <c r="D163" s="200"/>
      <c r="E163" s="201"/>
      <c r="F163" s="201"/>
      <c r="G163" s="201"/>
      <c r="H163" s="202"/>
      <c r="I163" s="155"/>
    </row>
    <row r="164" spans="1:9" s="64" customFormat="1" ht="18" hidden="1" x14ac:dyDescent="0.3">
      <c r="A164" s="203" t="s">
        <v>104</v>
      </c>
      <c r="B164" s="204"/>
      <c r="C164" s="205">
        <f t="shared" ref="C164:H164" si="94">SUM(C166:C169)</f>
        <v>5000</v>
      </c>
      <c r="D164" s="205">
        <f t="shared" si="94"/>
        <v>10300</v>
      </c>
      <c r="E164" s="205">
        <f t="shared" si="94"/>
        <v>13623.987999999999</v>
      </c>
      <c r="F164" s="205">
        <f t="shared" si="94"/>
        <v>18932.042257202957</v>
      </c>
      <c r="G164" s="205">
        <f t="shared" si="94"/>
        <v>26444.376963608789</v>
      </c>
      <c r="H164" s="206">
        <f t="shared" si="94"/>
        <v>36285.321227683366</v>
      </c>
      <c r="I164" s="155"/>
    </row>
    <row r="165" spans="1:9" s="64" customFormat="1" hidden="1" x14ac:dyDescent="0.3">
      <c r="A165" s="207" t="s">
        <v>94</v>
      </c>
      <c r="B165" s="204"/>
      <c r="C165" s="204"/>
      <c r="D165" s="204"/>
      <c r="E165" s="208"/>
      <c r="F165" s="208"/>
      <c r="G165" s="208"/>
      <c r="H165" s="209"/>
      <c r="I165" s="155"/>
    </row>
    <row r="166" spans="1:9" s="64" customFormat="1" ht="15.6" hidden="1" x14ac:dyDescent="0.3">
      <c r="A166" s="210" t="s">
        <v>105</v>
      </c>
      <c r="B166" s="204"/>
      <c r="C166" s="204">
        <f>C5</f>
        <v>5000</v>
      </c>
      <c r="D166" s="204">
        <f>C166+D5</f>
        <v>7000</v>
      </c>
      <c r="E166" s="204">
        <f>D166+E5</f>
        <v>12000</v>
      </c>
      <c r="F166" s="204">
        <f>E166+F5</f>
        <v>12000</v>
      </c>
      <c r="G166" s="204">
        <f>F166+G5</f>
        <v>12000</v>
      </c>
      <c r="H166" s="211">
        <f>G166+H5</f>
        <v>12000</v>
      </c>
      <c r="I166" s="155"/>
    </row>
    <row r="167" spans="1:9" s="64" customFormat="1" ht="15.6" hidden="1" x14ac:dyDescent="0.3">
      <c r="A167" s="210" t="s">
        <v>106</v>
      </c>
      <c r="B167" s="204"/>
      <c r="C167" s="204"/>
      <c r="D167" s="204">
        <f>C32</f>
        <v>0</v>
      </c>
      <c r="E167" s="204">
        <f>D167+E32</f>
        <v>825</v>
      </c>
      <c r="F167" s="204">
        <f>E167+F32</f>
        <v>825</v>
      </c>
      <c r="G167" s="204">
        <f>F167+G32</f>
        <v>2152.0135643007388</v>
      </c>
      <c r="H167" s="211">
        <f>G167+H32</f>
        <v>4030.097240902197</v>
      </c>
      <c r="I167" s="155"/>
    </row>
    <row r="168" spans="1:9" s="64" customFormat="1" ht="15.6" hidden="1" x14ac:dyDescent="0.3">
      <c r="A168" s="210" t="s">
        <v>107</v>
      </c>
      <c r="B168" s="204"/>
      <c r="C168" s="204">
        <v>0</v>
      </c>
      <c r="D168" s="204">
        <f>C169-C32</f>
        <v>0</v>
      </c>
      <c r="E168" s="204">
        <f>D169-E32</f>
        <v>2475</v>
      </c>
      <c r="F168" s="204">
        <f>E168+E169-F32</f>
        <v>798.98799999999937</v>
      </c>
      <c r="G168" s="204">
        <f>F168+F169-G32</f>
        <v>4780.0286929022168</v>
      </c>
      <c r="H168" s="211">
        <f>G168+G169-H32</f>
        <v>10414.279722706591</v>
      </c>
      <c r="I168" s="155"/>
    </row>
    <row r="169" spans="1:9" s="64" customFormat="1" ht="15.6" hidden="1" x14ac:dyDescent="0.3">
      <c r="A169" s="210" t="s">
        <v>108</v>
      </c>
      <c r="B169" s="204"/>
      <c r="C169" s="204">
        <f t="shared" ref="C169:H169" si="95">C25</f>
        <v>0</v>
      </c>
      <c r="D169" s="204">
        <f t="shared" si="95"/>
        <v>3300</v>
      </c>
      <c r="E169" s="204">
        <f t="shared" si="95"/>
        <v>-1676.0120000000006</v>
      </c>
      <c r="F169" s="204">
        <f t="shared" si="95"/>
        <v>5308.0542572029563</v>
      </c>
      <c r="G169" s="204">
        <f t="shared" si="95"/>
        <v>7512.3347064058325</v>
      </c>
      <c r="H169" s="211">
        <f t="shared" si="95"/>
        <v>9840.9442640745801</v>
      </c>
      <c r="I169" s="155"/>
    </row>
    <row r="170" spans="1:9" s="64" customFormat="1" ht="18" hidden="1" x14ac:dyDescent="0.3">
      <c r="A170" s="203" t="s">
        <v>113</v>
      </c>
      <c r="B170" s="204"/>
      <c r="C170" s="205">
        <f>SUM(C172:C174)</f>
        <v>0</v>
      </c>
      <c r="D170" s="205">
        <f t="shared" ref="D170:H170" si="96">SUM(D172:D174)</f>
        <v>0</v>
      </c>
      <c r="E170" s="205">
        <f t="shared" si="96"/>
        <v>0</v>
      </c>
      <c r="F170" s="205">
        <f t="shared" si="96"/>
        <v>0</v>
      </c>
      <c r="G170" s="205">
        <f t="shared" si="96"/>
        <v>0</v>
      </c>
      <c r="H170" s="206">
        <f t="shared" si="96"/>
        <v>0</v>
      </c>
      <c r="I170" s="155"/>
    </row>
    <row r="171" spans="1:9" s="64" customFormat="1" hidden="1" x14ac:dyDescent="0.3">
      <c r="A171" s="207" t="s">
        <v>94</v>
      </c>
      <c r="B171" s="204"/>
      <c r="C171" s="204"/>
      <c r="D171" s="204"/>
      <c r="E171" s="208"/>
      <c r="F171" s="208"/>
      <c r="G171" s="208"/>
      <c r="H171" s="209"/>
      <c r="I171" s="155"/>
    </row>
    <row r="172" spans="1:9" s="64" customFormat="1" ht="15.6" hidden="1" x14ac:dyDescent="0.3">
      <c r="A172" s="210" t="s">
        <v>109</v>
      </c>
      <c r="B172" s="204"/>
      <c r="C172" s="204"/>
      <c r="D172" s="204"/>
      <c r="E172" s="208"/>
      <c r="F172" s="208"/>
      <c r="G172" s="208"/>
      <c r="H172" s="209"/>
      <c r="I172" s="155"/>
    </row>
    <row r="173" spans="1:9" s="64" customFormat="1" ht="15.6" hidden="1" x14ac:dyDescent="0.3">
      <c r="A173" s="210" t="s">
        <v>110</v>
      </c>
      <c r="B173" s="204"/>
      <c r="C173" s="204"/>
      <c r="D173" s="204"/>
      <c r="E173" s="208"/>
      <c r="F173" s="208"/>
      <c r="G173" s="208"/>
      <c r="H173" s="209"/>
      <c r="I173" s="155"/>
    </row>
    <row r="174" spans="1:9" s="64" customFormat="1" ht="15.6" hidden="1" x14ac:dyDescent="0.3">
      <c r="A174" s="210" t="s">
        <v>111</v>
      </c>
      <c r="B174" s="204"/>
      <c r="C174" s="204"/>
      <c r="D174" s="204"/>
      <c r="E174" s="208"/>
      <c r="F174" s="208"/>
      <c r="G174" s="208"/>
      <c r="H174" s="209"/>
      <c r="I174" s="155"/>
    </row>
    <row r="175" spans="1:9" s="64" customFormat="1" ht="18" hidden="1" x14ac:dyDescent="0.3">
      <c r="A175" s="203" t="s">
        <v>112</v>
      </c>
      <c r="B175" s="204"/>
      <c r="C175" s="205">
        <f>SUM(C177:C180)</f>
        <v>0</v>
      </c>
      <c r="D175" s="205">
        <f t="shared" ref="D175:H175" si="97">SUM(D177:D180)</f>
        <v>461.52968036529683</v>
      </c>
      <c r="E175" s="205">
        <f t="shared" si="97"/>
        <v>292.84216986301368</v>
      </c>
      <c r="F175" s="205">
        <f t="shared" si="97"/>
        <v>822.1345883646942</v>
      </c>
      <c r="G175" s="205">
        <f t="shared" si="97"/>
        <v>997.16428287753229</v>
      </c>
      <c r="H175" s="206">
        <f t="shared" si="97"/>
        <v>1184.130334341485</v>
      </c>
      <c r="I175" s="155"/>
    </row>
    <row r="176" spans="1:9" s="64" customFormat="1" hidden="1" x14ac:dyDescent="0.3">
      <c r="A176" s="207" t="s">
        <v>94</v>
      </c>
      <c r="B176" s="204"/>
      <c r="C176" s="204"/>
      <c r="D176" s="204"/>
      <c r="E176" s="208"/>
      <c r="F176" s="208"/>
      <c r="G176" s="208"/>
      <c r="H176" s="209"/>
      <c r="I176" s="155"/>
    </row>
    <row r="177" spans="1:11" s="64" customFormat="1" ht="15.6" hidden="1" x14ac:dyDescent="0.3">
      <c r="A177" s="210" t="s">
        <v>114</v>
      </c>
      <c r="B177" s="204"/>
      <c r="C177" s="204"/>
      <c r="D177" s="204"/>
      <c r="E177" s="208"/>
      <c r="F177" s="208"/>
      <c r="G177" s="208"/>
      <c r="H177" s="209"/>
      <c r="I177" s="155"/>
    </row>
    <row r="178" spans="1:11" s="64" customFormat="1" ht="15.6" hidden="1" x14ac:dyDescent="0.3">
      <c r="A178" s="210" t="s">
        <v>115</v>
      </c>
      <c r="B178" s="204"/>
      <c r="C178" s="204"/>
      <c r="D178" s="204"/>
      <c r="E178" s="208"/>
      <c r="F178" s="208"/>
      <c r="G178" s="208"/>
      <c r="H178" s="209"/>
      <c r="I178" s="155"/>
    </row>
    <row r="179" spans="1:11" s="64" customFormat="1" ht="15.6" hidden="1" x14ac:dyDescent="0.3">
      <c r="A179" s="210" t="s">
        <v>116</v>
      </c>
      <c r="B179" s="204"/>
      <c r="C179" s="204">
        <f t="shared" ref="C179:H179" si="98">C122</f>
        <v>0</v>
      </c>
      <c r="D179" s="204">
        <f t="shared" si="98"/>
        <v>461.52968036529683</v>
      </c>
      <c r="E179" s="204">
        <f t="shared" si="98"/>
        <v>292.84216986301368</v>
      </c>
      <c r="F179" s="204">
        <f t="shared" si="98"/>
        <v>822.1345883646942</v>
      </c>
      <c r="G179" s="204">
        <f t="shared" si="98"/>
        <v>997.16428287753229</v>
      </c>
      <c r="H179" s="211">
        <f t="shared" si="98"/>
        <v>1184.130334341485</v>
      </c>
      <c r="I179" s="155"/>
    </row>
    <row r="180" spans="1:11" s="64" customFormat="1" ht="15.6" hidden="1" x14ac:dyDescent="0.3">
      <c r="A180" s="210" t="s">
        <v>117</v>
      </c>
      <c r="B180" s="204"/>
      <c r="C180" s="204"/>
      <c r="D180" s="204"/>
      <c r="E180" s="208"/>
      <c r="F180" s="208"/>
      <c r="G180" s="208"/>
      <c r="H180" s="209"/>
      <c r="I180" s="155"/>
    </row>
    <row r="181" spans="1:11" s="64" customFormat="1" ht="21.6" hidden="1" thickBot="1" x14ac:dyDescent="0.35">
      <c r="A181" s="212" t="s">
        <v>118</v>
      </c>
      <c r="B181" s="213"/>
      <c r="C181" s="214">
        <f t="shared" ref="C181:H181" si="99">C164+C170+C175</f>
        <v>5000</v>
      </c>
      <c r="D181" s="214">
        <f t="shared" si="99"/>
        <v>10761.529680365296</v>
      </c>
      <c r="E181" s="214">
        <f t="shared" si="99"/>
        <v>13916.830169863013</v>
      </c>
      <c r="F181" s="214">
        <f t="shared" si="99"/>
        <v>19754.17684556765</v>
      </c>
      <c r="G181" s="214">
        <f t="shared" si="99"/>
        <v>27441.541246486322</v>
      </c>
      <c r="H181" s="215">
        <f t="shared" si="99"/>
        <v>37469.451562024849</v>
      </c>
      <c r="I181" s="155"/>
    </row>
    <row r="182" spans="1:11" s="64" customFormat="1" ht="18" hidden="1" x14ac:dyDescent="0.3">
      <c r="A182" s="222" t="s">
        <v>165</v>
      </c>
      <c r="E182" s="154"/>
      <c r="F182" s="154"/>
      <c r="G182" s="154"/>
      <c r="H182" s="154"/>
      <c r="I182" s="155"/>
    </row>
    <row r="183" spans="1:11" ht="28.8" hidden="1" x14ac:dyDescent="0.3">
      <c r="A183" s="223" t="s">
        <v>166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28.8" hidden="1" x14ac:dyDescent="0.3">
      <c r="A184" s="223" t="s">
        <v>167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idden="1" x14ac:dyDescent="0.3">
      <c r="A185" s="224" t="s">
        <v>189</v>
      </c>
      <c r="G185" s="65"/>
      <c r="J185" s="65"/>
      <c r="K185" s="65"/>
    </row>
    <row r="186" spans="1:11" ht="28.8" hidden="1" x14ac:dyDescent="0.3">
      <c r="A186" s="223" t="s">
        <v>174</v>
      </c>
    </row>
    <row r="187" spans="1:11" hidden="1" x14ac:dyDescent="0.3">
      <c r="A187" s="224" t="s">
        <v>178</v>
      </c>
    </row>
    <row r="188" spans="1:11" hidden="1" x14ac:dyDescent="0.3">
      <c r="A188" s="224" t="s">
        <v>175</v>
      </c>
    </row>
    <row r="189" spans="1:11" ht="28.8" hidden="1" x14ac:dyDescent="0.3">
      <c r="A189" s="223" t="s">
        <v>190</v>
      </c>
    </row>
    <row r="190" spans="1:11" hidden="1" x14ac:dyDescent="0.3">
      <c r="A190" s="224" t="s">
        <v>170</v>
      </c>
    </row>
    <row r="191" spans="1:11" hidden="1" x14ac:dyDescent="0.3">
      <c r="A191" s="224" t="s">
        <v>188</v>
      </c>
    </row>
    <row r="192" spans="1:11" hidden="1" x14ac:dyDescent="0.3">
      <c r="A192" s="224" t="s">
        <v>194</v>
      </c>
    </row>
    <row r="193" spans="1:12" ht="15" hidden="1" thickBot="1" x14ac:dyDescent="0.35">
      <c r="A193" s="225" t="s">
        <v>196</v>
      </c>
    </row>
    <row r="194" spans="1:12" ht="81.599999999999994" thickBot="1" x14ac:dyDescent="0.35">
      <c r="A194" s="173" t="s">
        <v>535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232</v>
      </c>
      <c r="J194" s="268" t="s">
        <v>585</v>
      </c>
    </row>
    <row r="195" spans="1:12" ht="36.6" thickBot="1" x14ac:dyDescent="0.35">
      <c r="A195" s="273" t="s">
        <v>536</v>
      </c>
    </row>
    <row r="196" spans="1:12" ht="36.6" thickBot="1" x14ac:dyDescent="0.35">
      <c r="A196" s="18" t="s">
        <v>393</v>
      </c>
      <c r="B196" s="130">
        <f>'Вариативные ставки'!B59</f>
        <v>0.18516293810914031</v>
      </c>
    </row>
    <row r="197" spans="1:12" ht="18.600000000000001" thickBot="1" x14ac:dyDescent="0.35">
      <c r="A197" s="18" t="s">
        <v>537</v>
      </c>
      <c r="C197" s="75">
        <f>C144</f>
        <v>-5000</v>
      </c>
      <c r="D197" s="75">
        <f t="shared" ref="D197:H197" si="100">D144</f>
        <v>1951.0844748858435</v>
      </c>
      <c r="E197" s="75">
        <f t="shared" si="100"/>
        <v>280.00587579908461</v>
      </c>
      <c r="F197" s="75">
        <f t="shared" si="100"/>
        <v>4591.5572825497911</v>
      </c>
      <c r="G197" s="75">
        <f t="shared" si="100"/>
        <v>8196.8126975722043</v>
      </c>
      <c r="H197" s="75">
        <f t="shared" si="100"/>
        <v>10406.056633829408</v>
      </c>
      <c r="I197" s="227">
        <f>SUM(C197:H197)</f>
        <v>20425.516964636332</v>
      </c>
      <c r="J197" s="226">
        <f>'Вариативные ставки'!I61</f>
        <v>24976.386169999991</v>
      </c>
    </row>
    <row r="198" spans="1:12" ht="21.6" thickBot="1" x14ac:dyDescent="0.35">
      <c r="A198" s="161" t="s">
        <v>78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199.34760438972452</v>
      </c>
      <c r="F198" s="8">
        <f>F197*'Вариативные ставки'!F63</f>
        <v>2758.2004241295062</v>
      </c>
      <c r="G198" s="8">
        <f>G197*'Вариативные ставки'!G63</f>
        <v>4154.6339289987673</v>
      </c>
      <c r="H198" s="8">
        <f>H197*'Вариативные ставки'!H63</f>
        <v>4450.3674999644272</v>
      </c>
      <c r="I198" s="81">
        <f>SUM(C198:H198)</f>
        <v>8208.8078850355923</v>
      </c>
      <c r="J198" s="226">
        <f>'Вариативные ставки'!I64</f>
        <v>11007.325678089361</v>
      </c>
    </row>
    <row r="199" spans="1:12" ht="21.6" thickBot="1" x14ac:dyDescent="0.35">
      <c r="A199" s="229" t="s">
        <v>214</v>
      </c>
      <c r="I199" s="91">
        <f>IRR(C197:H197,0.0001)</f>
        <v>0.56830619740549615</v>
      </c>
      <c r="J199" s="228">
        <f>'Вариативные ставки'!I66</f>
        <v>0.71462228398451022</v>
      </c>
    </row>
    <row r="200" spans="1:12" ht="16.2" thickBot="1" x14ac:dyDescent="0.35">
      <c r="A200" s="230" t="s">
        <v>538</v>
      </c>
      <c r="B200" s="230"/>
      <c r="C200" s="231">
        <f>C198</f>
        <v>-5000</v>
      </c>
      <c r="D200" s="231">
        <f>C200+D198</f>
        <v>-3353.7415724468337</v>
      </c>
      <c r="E200" s="231">
        <f t="shared" ref="E200:H200" si="101">D200+E198</f>
        <v>-3154.3939680571093</v>
      </c>
      <c r="F200" s="231">
        <f t="shared" si="101"/>
        <v>-396.19354392760306</v>
      </c>
      <c r="G200" s="231">
        <f t="shared" si="101"/>
        <v>3758.4403850711642</v>
      </c>
      <c r="H200" s="231">
        <f t="shared" si="101"/>
        <v>8208.8078850355923</v>
      </c>
    </row>
    <row r="201" spans="1:12" ht="21.6" thickBot="1" x14ac:dyDescent="0.35">
      <c r="A201" s="229" t="s">
        <v>65</v>
      </c>
      <c r="G201" s="20">
        <f>G200/G198</f>
        <v>0.90463815809084236</v>
      </c>
      <c r="I201" s="85">
        <f>COUNTIF(C200:H200,"&lt;0")-G201</f>
        <v>3.0953618419091575</v>
      </c>
      <c r="J201" s="95">
        <f>'Вариативные ставки'!I90</f>
        <v>2.5833994956627619</v>
      </c>
    </row>
    <row r="202" spans="1:12" ht="15.6" x14ac:dyDescent="0.3">
      <c r="A202" s="274" t="s">
        <v>539</v>
      </c>
      <c r="B202" s="130">
        <f>'Вариативные ставки'!B95</f>
        <v>0.1</v>
      </c>
      <c r="C202" s="232">
        <f>IF(C197&gt;0,C197*'Вариативные ставки'!C73,0)</f>
        <v>0</v>
      </c>
      <c r="D202" s="232">
        <f>IF(D197&gt;0,D197*'Вариативные ставки'!D73,0)</f>
        <v>2856.5827796803642</v>
      </c>
      <c r="E202" s="232">
        <f>IF(E197&gt;0,E197*'Вариативные ставки'!E73,0)</f>
        <v>372.68782068858172</v>
      </c>
      <c r="F202" s="232">
        <f>IF(F197&gt;0,F197*'Вариативные ставки'!F73,0)</f>
        <v>5555.7843118852479</v>
      </c>
      <c r="G202" s="232">
        <f>IF(G197&gt;0,G197*'Вариативные ставки'!G73,0)</f>
        <v>9016.4939673294248</v>
      </c>
      <c r="H202" s="232">
        <f>IF(H197&gt;0,H197*'Вариативные ставки'!H73,0)</f>
        <v>10406.056633829408</v>
      </c>
      <c r="I202" s="29">
        <f>SUM(C202:H202)</f>
        <v>28207.605513413029</v>
      </c>
    </row>
    <row r="203" spans="1:12" ht="31.2" x14ac:dyDescent="0.3">
      <c r="A203" s="274" t="s">
        <v>540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1.8" thickBot="1" x14ac:dyDescent="0.35">
      <c r="A204" s="274" t="s">
        <v>541</v>
      </c>
      <c r="B204" s="130">
        <f>B203</f>
        <v>0.18516293810914031</v>
      </c>
      <c r="I204" s="29">
        <f>I202/(1+B204)^G4</f>
        <v>12063.571749226045</v>
      </c>
      <c r="L204" s="20"/>
    </row>
    <row r="205" spans="1:12" ht="21.6" thickBot="1" x14ac:dyDescent="0.35">
      <c r="A205" s="229" t="s">
        <v>66</v>
      </c>
      <c r="I205" s="81">
        <f>I204-I203</f>
        <v>7063.5717492260446</v>
      </c>
      <c r="J205" s="233">
        <f>'Вариативные ставки'!I78</f>
        <v>9338.6136917972744</v>
      </c>
    </row>
    <row r="206" spans="1:12" ht="42.6" thickBot="1" x14ac:dyDescent="0.35">
      <c r="A206" s="229" t="s">
        <v>42</v>
      </c>
      <c r="I206" s="87">
        <f>MIRR(C197:H197,B203,B202)</f>
        <v>0.41344607245511478</v>
      </c>
      <c r="J206" s="234">
        <f>'Вариативные ставки'!I80</f>
        <v>0.44660141593824876</v>
      </c>
    </row>
    <row r="207" spans="1:12" ht="105" thickBot="1" x14ac:dyDescent="0.35">
      <c r="A207" s="173" t="s">
        <v>542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584</v>
      </c>
    </row>
    <row r="208" spans="1:12" ht="36.6" thickBot="1" x14ac:dyDescent="0.35">
      <c r="A208" s="18" t="s">
        <v>544</v>
      </c>
      <c r="C208" s="3">
        <f>C149</f>
        <v>5000</v>
      </c>
      <c r="D208" s="3">
        <f t="shared" ref="D208:H208" si="102">D149</f>
        <v>6775</v>
      </c>
      <c r="E208" s="3">
        <f t="shared" si="102"/>
        <v>10750</v>
      </c>
      <c r="F208" s="3">
        <f t="shared" si="102"/>
        <v>9149.1666216666654</v>
      </c>
      <c r="G208" s="3">
        <f t="shared" si="102"/>
        <v>7694.4999010000001</v>
      </c>
      <c r="H208" s="3">
        <f t="shared" si="102"/>
        <v>6309.1996129999825</v>
      </c>
      <c r="I208" s="233">
        <f>AVERAGE(C208:H208)</f>
        <v>7612.9776892777745</v>
      </c>
      <c r="J208"/>
    </row>
    <row r="209" spans="1:12" ht="18.600000000000001" thickBot="1" x14ac:dyDescent="0.35">
      <c r="A209" s="14" t="s">
        <v>545</v>
      </c>
      <c r="C209" s="3">
        <f>C25</f>
        <v>0</v>
      </c>
      <c r="D209" s="3">
        <f t="shared" ref="D209:H209" si="103">D25</f>
        <v>3300</v>
      </c>
      <c r="E209" s="3">
        <f t="shared" si="103"/>
        <v>-1676.0120000000006</v>
      </c>
      <c r="F209" s="3">
        <f t="shared" si="103"/>
        <v>5308.0542572029563</v>
      </c>
      <c r="G209" s="3">
        <f t="shared" si="103"/>
        <v>7512.3347064058325</v>
      </c>
      <c r="H209" s="3">
        <f t="shared" si="103"/>
        <v>9840.9442640745801</v>
      </c>
      <c r="I209" s="233">
        <f>AVERAGE(C209:H209)</f>
        <v>4047.5535379472281</v>
      </c>
    </row>
    <row r="210" spans="1:12" ht="63.6" thickBot="1" x14ac:dyDescent="0.35">
      <c r="A210" s="275" t="s">
        <v>546</v>
      </c>
      <c r="I210" s="87">
        <f>I209/I208</f>
        <v>0.53166496778886663</v>
      </c>
    </row>
    <row r="211" spans="1:12" ht="81.599999999999994" thickBot="1" x14ac:dyDescent="0.35">
      <c r="A211" s="173" t="s">
        <v>547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584</v>
      </c>
    </row>
    <row r="212" spans="1:12" ht="18" x14ac:dyDescent="0.3">
      <c r="A212" s="14" t="s">
        <v>226</v>
      </c>
      <c r="D212" s="3">
        <f>D25-D23-D21</f>
        <v>3925</v>
      </c>
      <c r="E212" s="3">
        <f>E25-E23-E21</f>
        <v>-231.01200000000063</v>
      </c>
      <c r="F212" s="3">
        <f>F25-F23-F21</f>
        <v>7328.88770553629</v>
      </c>
      <c r="G212" s="3">
        <f>G25-G23-G21</f>
        <v>9366.9854937364998</v>
      </c>
      <c r="H212" s="3">
        <f>H25-H23-H21</f>
        <v>11631.228419571898</v>
      </c>
    </row>
    <row r="213" spans="1:12" ht="54.6" thickBot="1" x14ac:dyDescent="0.35">
      <c r="A213" s="263" t="s">
        <v>548</v>
      </c>
      <c r="D213" s="3">
        <f>-D18-D23</f>
        <v>5400</v>
      </c>
      <c r="E213" s="3">
        <f t="shared" ref="E213:H213" si="104">-E18-E23</f>
        <v>6420</v>
      </c>
      <c r="F213" s="3">
        <f t="shared" si="104"/>
        <v>7420.0000700000001</v>
      </c>
      <c r="G213" s="3">
        <f t="shared" si="104"/>
        <v>8399.9840666639993</v>
      </c>
      <c r="H213" s="3">
        <f t="shared" si="104"/>
        <v>9404.9838674972998</v>
      </c>
    </row>
    <row r="214" spans="1:12" ht="42.6" thickBot="1" x14ac:dyDescent="0.35">
      <c r="A214" s="275" t="s">
        <v>549</v>
      </c>
      <c r="D214" s="97">
        <f>D212/D213</f>
        <v>0.72685185185185186</v>
      </c>
      <c r="E214" s="97">
        <f t="shared" ref="E214:H214" si="105">E212/E213</f>
        <v>-3.5983177570093554E-2</v>
      </c>
      <c r="F214" s="97">
        <f t="shared" si="105"/>
        <v>0.98772070571372517</v>
      </c>
      <c r="G214" s="97">
        <f t="shared" si="105"/>
        <v>1.1151194358701373</v>
      </c>
      <c r="H214" s="97">
        <f t="shared" si="105"/>
        <v>1.2367090240067589</v>
      </c>
      <c r="I214" s="83">
        <f>AVERAGE(D214:H214)</f>
        <v>0.80608356797447589</v>
      </c>
    </row>
    <row r="215" spans="1:12" ht="15" thickBot="1" x14ac:dyDescent="0.35"/>
    <row r="216" spans="1:12" ht="72.599999999999994" thickBot="1" x14ac:dyDescent="0.35">
      <c r="A216" s="240" t="s">
        <v>587</v>
      </c>
      <c r="B216" s="64"/>
      <c r="C216" s="58" t="s">
        <v>5</v>
      </c>
      <c r="D216" s="59" t="s">
        <v>0</v>
      </c>
      <c r="E216" s="59" t="s">
        <v>1</v>
      </c>
      <c r="F216" s="59" t="s">
        <v>2</v>
      </c>
      <c r="G216" s="59" t="s">
        <v>3</v>
      </c>
      <c r="H216" s="59" t="s">
        <v>4</v>
      </c>
      <c r="I216" s="60" t="s">
        <v>576</v>
      </c>
    </row>
    <row r="217" spans="1:12" ht="29.4" thickBot="1" x14ac:dyDescent="0.35">
      <c r="A217" s="173" t="s">
        <v>590</v>
      </c>
      <c r="C217" s="1">
        <v>0</v>
      </c>
      <c r="D217" s="1">
        <v>1</v>
      </c>
      <c r="E217" s="1">
        <v>2</v>
      </c>
      <c r="F217" s="1">
        <v>3</v>
      </c>
      <c r="G217" s="1">
        <v>4</v>
      </c>
      <c r="H217" s="1">
        <v>5</v>
      </c>
    </row>
    <row r="218" spans="1:12" ht="42.6" thickBot="1" x14ac:dyDescent="0.35">
      <c r="A218" s="275" t="s">
        <v>591</v>
      </c>
      <c r="D218" s="1">
        <f>740-J218</f>
        <v>0</v>
      </c>
      <c r="E218" s="1">
        <f>D218*0.42027</f>
        <v>0</v>
      </c>
      <c r="F218" s="1">
        <f>E218*4.35048</f>
        <v>0</v>
      </c>
      <c r="G218" s="1">
        <f>F218*1.2476</f>
        <v>0</v>
      </c>
      <c r="H218" s="1">
        <f>G218*1.21327</f>
        <v>0</v>
      </c>
      <c r="J218" s="242">
        <v>740</v>
      </c>
      <c r="K218" s="1" t="s">
        <v>588</v>
      </c>
      <c r="L218" s="77"/>
    </row>
    <row r="219" spans="1:12" ht="21.6" thickBot="1" x14ac:dyDescent="0.35">
      <c r="A219" s="150"/>
      <c r="D219" s="1">
        <f>J219-462</f>
        <v>0</v>
      </c>
      <c r="E219" s="1">
        <f>D219*0.633858</f>
        <v>0</v>
      </c>
      <c r="F219" s="1">
        <f>E219*2.805461</f>
        <v>0</v>
      </c>
      <c r="G219" s="1">
        <f>F219*1.213</f>
        <v>0</v>
      </c>
      <c r="H219" s="1">
        <f>G219*1.18763</f>
        <v>0</v>
      </c>
      <c r="J219" s="242">
        <v>462</v>
      </c>
      <c r="K219" s="1" t="s">
        <v>589</v>
      </c>
      <c r="L219" s="77"/>
    </row>
    <row r="220" spans="1:12" ht="15.6" x14ac:dyDescent="0.3">
      <c r="A220" s="1" t="s">
        <v>593</v>
      </c>
      <c r="C220" s="1">
        <f>C7</f>
        <v>0</v>
      </c>
      <c r="D220" s="250">
        <f>D7</f>
        <v>75</v>
      </c>
      <c r="E220" s="1">
        <f>D220*0.4</f>
        <v>30</v>
      </c>
      <c r="F220" s="1">
        <f>E220*4.166667</f>
        <v>125.00001</v>
      </c>
      <c r="G220" s="1">
        <f>F220*1.2</f>
        <v>150.000012</v>
      </c>
      <c r="H220" s="1">
        <f>G220*1.166667</f>
        <v>175.00006400000399</v>
      </c>
    </row>
    <row r="221" spans="1:12" ht="15.6" x14ac:dyDescent="0.3">
      <c r="A221" s="99" t="s">
        <v>594</v>
      </c>
      <c r="C221" s="1">
        <f>C8</f>
        <v>0</v>
      </c>
      <c r="D221" s="251">
        <f t="shared" ref="D221" si="106">D8</f>
        <v>0.06</v>
      </c>
      <c r="E221" s="241">
        <f>D221*0.8333</f>
        <v>4.9998000000000001E-2</v>
      </c>
      <c r="F221" s="241">
        <f>E221*0.9</f>
        <v>4.4998200000000002E-2</v>
      </c>
      <c r="G221" s="241">
        <f>F221*0.8889</f>
        <v>3.9998899980000002E-2</v>
      </c>
      <c r="H221" s="241">
        <f>G221</f>
        <v>3.9998899980000002E-2</v>
      </c>
      <c r="K221" s="78"/>
    </row>
    <row r="222" spans="1:12" ht="24.6" x14ac:dyDescent="0.3">
      <c r="A222" s="277" t="s">
        <v>596</v>
      </c>
      <c r="C222" s="1">
        <f>C11</f>
        <v>0</v>
      </c>
      <c r="D222" s="251">
        <f t="shared" ref="D222" si="107">D11</f>
        <v>0.08</v>
      </c>
      <c r="E222" s="241">
        <f>D222*0.875</f>
        <v>7.0000000000000007E-2</v>
      </c>
      <c r="F222" s="241">
        <f>E222*0.857143</f>
        <v>6.0000010000000006E-2</v>
      </c>
      <c r="G222" s="241">
        <f>F222*0.8333</f>
        <v>4.9998008333000006E-2</v>
      </c>
      <c r="H222" s="241">
        <f>G222*0.9</f>
        <v>4.4998207499700009E-2</v>
      </c>
    </row>
    <row r="223" spans="1:12" ht="15.6" x14ac:dyDescent="0.3">
      <c r="A223" s="99" t="s">
        <v>595</v>
      </c>
      <c r="C223" s="1">
        <f>C19</f>
        <v>0</v>
      </c>
      <c r="D223" s="251">
        <f t="shared" ref="D223" si="108">D19</f>
        <v>0.08</v>
      </c>
      <c r="E223" s="241">
        <f>D223*0.875</f>
        <v>7.0000000000000007E-2</v>
      </c>
      <c r="F223" s="241">
        <f>E223*0.857143</f>
        <v>6.0000010000000006E-2</v>
      </c>
      <c r="G223" s="241">
        <f>F223*0.8333</f>
        <v>4.9998008333000006E-2</v>
      </c>
      <c r="H223" s="241">
        <f>G223*0.9</f>
        <v>4.4998207499700009E-2</v>
      </c>
    </row>
    <row r="224" spans="1:12" ht="31.2" x14ac:dyDescent="0.3">
      <c r="A224" s="182" t="s">
        <v>592</v>
      </c>
      <c r="C224" s="1">
        <f>C112</f>
        <v>0</v>
      </c>
      <c r="D224" s="252">
        <f t="shared" ref="D224:H224" si="109">D112</f>
        <v>739.72602739726028</v>
      </c>
      <c r="E224" s="1">
        <f t="shared" si="109"/>
        <v>310.68433972602742</v>
      </c>
      <c r="F224" s="1">
        <f t="shared" si="109"/>
        <v>1352.7691739793884</v>
      </c>
      <c r="G224" s="1">
        <f t="shared" si="109"/>
        <v>1688.2541434385007</v>
      </c>
      <c r="H224" s="1">
        <f t="shared" si="109"/>
        <v>2048.4134460006544</v>
      </c>
    </row>
    <row r="225" spans="1:9" ht="31.8" thickBot="1" x14ac:dyDescent="0.35">
      <c r="A225" s="182" t="s">
        <v>597</v>
      </c>
      <c r="C225" s="1">
        <f>C122</f>
        <v>0</v>
      </c>
      <c r="D225" s="253">
        <f t="shared" ref="D225:H225" si="110">D122</f>
        <v>461.52968036529683</v>
      </c>
      <c r="E225" s="1">
        <f t="shared" si="110"/>
        <v>292.84216986301368</v>
      </c>
      <c r="F225" s="1">
        <f t="shared" si="110"/>
        <v>822.1345883646942</v>
      </c>
      <c r="G225" s="1">
        <f t="shared" si="110"/>
        <v>997.16428287753229</v>
      </c>
      <c r="H225" s="1">
        <f t="shared" si="110"/>
        <v>1184.130334341485</v>
      </c>
    </row>
    <row r="226" spans="1:9" ht="18.600000000000001" thickBot="1" x14ac:dyDescent="0.35">
      <c r="A226" s="14" t="s">
        <v>598</v>
      </c>
      <c r="B226" s="14"/>
      <c r="C226" s="199">
        <f>C144+C218+C219</f>
        <v>-5000</v>
      </c>
      <c r="D226" s="199">
        <f t="shared" ref="D226:H226" si="111">D144+D218+D219</f>
        <v>1951.0844748858435</v>
      </c>
      <c r="E226" s="199">
        <f t="shared" si="111"/>
        <v>280.00587579908461</v>
      </c>
      <c r="F226" s="199">
        <f t="shared" si="111"/>
        <v>4591.5572825497911</v>
      </c>
      <c r="G226" s="199">
        <f t="shared" si="111"/>
        <v>8196.8126975722043</v>
      </c>
      <c r="H226" s="199">
        <f t="shared" si="111"/>
        <v>10406.056633829408</v>
      </c>
    </row>
    <row r="227" spans="1:9" ht="21.6" thickBot="1" x14ac:dyDescent="0.35">
      <c r="A227" s="243" t="s">
        <v>78</v>
      </c>
      <c r="C227" s="1">
        <f>C226*((1+$B$228)^(-C217))</f>
        <v>-5000</v>
      </c>
      <c r="D227" s="1">
        <f t="shared" ref="D227:H227" si="112">D226*((1+$B$228)^(-D217))</f>
        <v>1646.2584275531663</v>
      </c>
      <c r="E227" s="1">
        <f t="shared" si="112"/>
        <v>199.34760438972452</v>
      </c>
      <c r="F227" s="1">
        <f t="shared" si="112"/>
        <v>2758.2004241295062</v>
      </c>
      <c r="G227" s="1">
        <f t="shared" si="112"/>
        <v>4154.6339289987673</v>
      </c>
      <c r="H227" s="1">
        <f t="shared" si="112"/>
        <v>4450.3674999644272</v>
      </c>
      <c r="I227" s="81">
        <f>SUM(C227:H227)</f>
        <v>8208.8078850355923</v>
      </c>
    </row>
    <row r="228" spans="1:9" ht="36.6" thickBot="1" x14ac:dyDescent="0.35">
      <c r="A228" s="18" t="s">
        <v>393</v>
      </c>
      <c r="B228" s="130">
        <f>B196</f>
        <v>0.18516293810914031</v>
      </c>
    </row>
    <row r="229" spans="1:9" ht="58.2" thickBot="1" x14ac:dyDescent="0.35">
      <c r="C229" s="278" t="s">
        <v>599</v>
      </c>
      <c r="D229" s="278" t="s">
        <v>600</v>
      </c>
      <c r="E229" s="278" t="s">
        <v>601</v>
      </c>
      <c r="F229" s="278" t="s">
        <v>602</v>
      </c>
    </row>
    <row r="230" spans="1:9" s="64" customFormat="1" ht="42.6" thickBot="1" x14ac:dyDescent="0.35">
      <c r="A230" s="229" t="s">
        <v>603</v>
      </c>
      <c r="C230" s="64">
        <v>50</v>
      </c>
      <c r="D230" s="64">
        <v>75</v>
      </c>
      <c r="E230" s="64">
        <v>100</v>
      </c>
      <c r="F230" s="247">
        <f t="shared" ref="F230:F241" si="113">E230-C230</f>
        <v>50</v>
      </c>
    </row>
    <row r="231" spans="1:9" ht="18.600000000000001" thickBot="1" x14ac:dyDescent="0.35">
      <c r="A231" s="14" t="s">
        <v>10</v>
      </c>
      <c r="C231" s="1">
        <v>1037.1614365914425</v>
      </c>
      <c r="D231" s="1">
        <v>8208.8078850355923</v>
      </c>
      <c r="E231" s="1">
        <v>15380.454333479749</v>
      </c>
      <c r="F231" s="248">
        <f t="shared" si="113"/>
        <v>14343.292896888306</v>
      </c>
    </row>
    <row r="232" spans="1:9" ht="42.6" thickBot="1" x14ac:dyDescent="0.35">
      <c r="A232" s="229" t="s">
        <v>604</v>
      </c>
      <c r="C232" s="241">
        <v>0.05</v>
      </c>
      <c r="D232" s="241">
        <f>D8</f>
        <v>0.06</v>
      </c>
      <c r="E232" s="241">
        <v>0.09</v>
      </c>
      <c r="F232" s="249">
        <f t="shared" si="113"/>
        <v>3.9999999999999994E-2</v>
      </c>
    </row>
    <row r="233" spans="1:9" ht="18.600000000000001" thickBot="1" x14ac:dyDescent="0.35">
      <c r="A233" s="14" t="s">
        <v>10</v>
      </c>
      <c r="C233" s="1">
        <v>7299.8813586691722</v>
      </c>
      <c r="D233" s="1">
        <f>D231</f>
        <v>8208.8078850355923</v>
      </c>
      <c r="E233" s="1">
        <v>11018.854302489664</v>
      </c>
      <c r="F233" s="248">
        <f t="shared" si="113"/>
        <v>3718.9729438204922</v>
      </c>
    </row>
    <row r="234" spans="1:9" ht="42.6" thickBot="1" x14ac:dyDescent="0.35">
      <c r="A234" s="229" t="s">
        <v>605</v>
      </c>
      <c r="C234" s="241">
        <v>0.1</v>
      </c>
      <c r="D234" s="241">
        <v>0.08</v>
      </c>
      <c r="E234" s="241">
        <v>7.0000000000000007E-2</v>
      </c>
      <c r="F234" s="249">
        <f t="shared" si="113"/>
        <v>-0.03</v>
      </c>
    </row>
    <row r="235" spans="1:9" ht="18.600000000000001" thickBot="1" x14ac:dyDescent="0.35">
      <c r="A235" s="14" t="s">
        <v>10</v>
      </c>
      <c r="C235" s="1">
        <v>6948.8643222087412</v>
      </c>
      <c r="D235" s="1">
        <f>D233</f>
        <v>8208.8078850355923</v>
      </c>
      <c r="E235" s="1">
        <v>8825.5093606292794</v>
      </c>
      <c r="F235" s="248">
        <f t="shared" si="113"/>
        <v>1876.6450384205382</v>
      </c>
    </row>
    <row r="236" spans="1:9" ht="42.6" thickBot="1" x14ac:dyDescent="0.35">
      <c r="A236" s="229" t="s">
        <v>606</v>
      </c>
      <c r="C236" s="241">
        <v>0.12</v>
      </c>
      <c r="D236" s="241">
        <v>0.08</v>
      </c>
      <c r="E236" s="241">
        <v>7.0000000000000007E-2</v>
      </c>
      <c r="F236" s="249">
        <f t="shared" si="113"/>
        <v>-4.9999999999999989E-2</v>
      </c>
    </row>
    <row r="237" spans="1:9" ht="18.600000000000001" thickBot="1" x14ac:dyDescent="0.35">
      <c r="A237" s="14" t="s">
        <v>10</v>
      </c>
      <c r="C237" s="1">
        <v>7673.0040227562986</v>
      </c>
      <c r="D237" s="1">
        <f>D235</f>
        <v>8208.8078850355923</v>
      </c>
      <c r="E237" s="1">
        <v>8342.7588506054126</v>
      </c>
      <c r="F237" s="248">
        <f t="shared" si="113"/>
        <v>669.75482784911401</v>
      </c>
    </row>
    <row r="238" spans="1:9" ht="63.6" thickBot="1" x14ac:dyDescent="0.35">
      <c r="A238" s="229" t="s">
        <v>607</v>
      </c>
      <c r="C238" s="1">
        <v>1000</v>
      </c>
      <c r="D238" s="1">
        <v>740</v>
      </c>
      <c r="E238" s="1">
        <v>500</v>
      </c>
      <c r="F238" s="247">
        <f t="shared" si="113"/>
        <v>-500</v>
      </c>
    </row>
    <row r="239" spans="1:9" ht="18.600000000000001" thickBot="1" x14ac:dyDescent="0.35">
      <c r="A239" s="14" t="s">
        <v>10</v>
      </c>
      <c r="C239" s="1">
        <v>7017.7227663591902</v>
      </c>
      <c r="D239" s="1">
        <f>D237</f>
        <v>8208.8078850355923</v>
      </c>
      <c r="E239" s="1">
        <v>9308.2710715061166</v>
      </c>
      <c r="F239" s="248">
        <f t="shared" si="113"/>
        <v>2290.5483051469264</v>
      </c>
    </row>
    <row r="240" spans="1:9" ht="63.6" thickBot="1" x14ac:dyDescent="0.35">
      <c r="A240" s="229" t="s">
        <v>608</v>
      </c>
      <c r="C240" s="1">
        <v>300</v>
      </c>
      <c r="D240" s="1">
        <f>D225</f>
        <v>461.52968036529683</v>
      </c>
      <c r="E240" s="1">
        <v>500</v>
      </c>
      <c r="F240" s="247">
        <f t="shared" si="113"/>
        <v>200</v>
      </c>
    </row>
    <row r="241" spans="1:9" ht="18.600000000000001" thickBot="1" x14ac:dyDescent="0.35">
      <c r="A241" s="14" t="s">
        <v>10</v>
      </c>
      <c r="C241" s="1">
        <v>8035.8257445689251</v>
      </c>
      <c r="D241" s="1">
        <f>D239</f>
        <v>8208.8078850355923</v>
      </c>
      <c r="E241" s="1">
        <v>8946.258062814537</v>
      </c>
      <c r="F241" s="248">
        <f t="shared" si="113"/>
        <v>910.4323182456119</v>
      </c>
    </row>
    <row r="242" spans="1:9" ht="72.599999999999994" thickBot="1" x14ac:dyDescent="0.35">
      <c r="A242" s="240" t="s">
        <v>582</v>
      </c>
      <c r="B242" s="64"/>
      <c r="C242" s="58" t="s">
        <v>5</v>
      </c>
      <c r="D242" s="59" t="s">
        <v>0</v>
      </c>
      <c r="E242" s="59" t="s">
        <v>1</v>
      </c>
      <c r="F242" s="59" t="s">
        <v>2</v>
      </c>
      <c r="G242" s="59" t="s">
        <v>3</v>
      </c>
      <c r="H242" s="59" t="s">
        <v>4</v>
      </c>
      <c r="I242" s="60" t="s">
        <v>576</v>
      </c>
    </row>
    <row r="243" spans="1:9" ht="58.2" thickBot="1" x14ac:dyDescent="0.35">
      <c r="A243" s="173" t="s">
        <v>583</v>
      </c>
      <c r="C243" s="1">
        <v>0</v>
      </c>
      <c r="D243" s="1">
        <v>1</v>
      </c>
      <c r="E243" s="1">
        <v>2</v>
      </c>
      <c r="F243" s="1">
        <v>3</v>
      </c>
      <c r="G243" s="1">
        <v>4</v>
      </c>
      <c r="H243" s="1">
        <v>5</v>
      </c>
    </row>
    <row r="244" spans="1:9" ht="15.6" x14ac:dyDescent="0.3">
      <c r="A244" s="1" t="s">
        <v>593</v>
      </c>
      <c r="C244" s="1">
        <v>0</v>
      </c>
      <c r="D244" s="250">
        <v>75</v>
      </c>
      <c r="E244" s="1">
        <f>D244*0.4</f>
        <v>30</v>
      </c>
      <c r="F244" s="1">
        <f>E244*4.166667</f>
        <v>125.00001</v>
      </c>
      <c r="G244" s="1">
        <f>F244*1.2</f>
        <v>150.000012</v>
      </c>
      <c r="H244" s="1">
        <f>G244*1.166667</f>
        <v>175.00006400000399</v>
      </c>
    </row>
    <row r="245" spans="1:9" ht="15.6" x14ac:dyDescent="0.3">
      <c r="A245" s="99" t="s">
        <v>594</v>
      </c>
      <c r="C245" s="1">
        <f>C32</f>
        <v>0</v>
      </c>
      <c r="D245" s="251">
        <v>0.06</v>
      </c>
      <c r="E245" s="241">
        <f>D245*0.8333</f>
        <v>4.9998000000000001E-2</v>
      </c>
      <c r="F245" s="241">
        <f>E245*0.9</f>
        <v>4.4998200000000002E-2</v>
      </c>
      <c r="G245" s="241">
        <f>F245*0.8889</f>
        <v>3.9998899980000002E-2</v>
      </c>
      <c r="H245" s="241">
        <f>G245</f>
        <v>3.9998899980000002E-2</v>
      </c>
    </row>
    <row r="246" spans="1:9" ht="24.6" x14ac:dyDescent="0.3">
      <c r="A246" s="277" t="s">
        <v>596</v>
      </c>
      <c r="C246" s="1">
        <f>C35</f>
        <v>0</v>
      </c>
      <c r="D246" s="251">
        <v>0.08</v>
      </c>
      <c r="E246" s="241">
        <f>D246*0.875</f>
        <v>7.0000000000000007E-2</v>
      </c>
      <c r="F246" s="241">
        <f>E246*0.857143</f>
        <v>6.0000010000000006E-2</v>
      </c>
      <c r="G246" s="241">
        <f>F246*0.8333</f>
        <v>4.9998008333000006E-2</v>
      </c>
      <c r="H246" s="241">
        <f>G246*0.9</f>
        <v>4.4998207499700009E-2</v>
      </c>
    </row>
    <row r="247" spans="1:9" ht="15.6" x14ac:dyDescent="0.3">
      <c r="A247" s="99" t="s">
        <v>595</v>
      </c>
      <c r="C247" s="1">
        <f>C43</f>
        <v>0</v>
      </c>
      <c r="D247" s="251">
        <v>0.08</v>
      </c>
      <c r="E247" s="241">
        <f>D247*0.875</f>
        <v>7.0000000000000007E-2</v>
      </c>
      <c r="F247" s="241">
        <f>E247*0.857143</f>
        <v>6.0000010000000006E-2</v>
      </c>
      <c r="G247" s="241">
        <f>F247*0.8333</f>
        <v>4.9998008333000006E-2</v>
      </c>
      <c r="H247" s="241">
        <f>G247*0.9</f>
        <v>4.4998207499700009E-2</v>
      </c>
    </row>
    <row r="248" spans="1:9" ht="31.2" x14ac:dyDescent="0.3">
      <c r="A248" s="182" t="s">
        <v>592</v>
      </c>
      <c r="C248" s="1">
        <v>0</v>
      </c>
      <c r="D248" s="252">
        <v>739.72602739726028</v>
      </c>
      <c r="E248" s="1">
        <f>D248*0.42027</f>
        <v>310.88465753424657</v>
      </c>
      <c r="F248" s="1">
        <f>E248*4.35048</f>
        <v>1352.497484909589</v>
      </c>
      <c r="G248" s="1">
        <f>F248*1.2476</f>
        <v>1687.3758621732034</v>
      </c>
      <c r="H248" s="1">
        <f>G248*1.21327</f>
        <v>2047.2425122988825</v>
      </c>
    </row>
    <row r="249" spans="1:9" ht="31.8" thickBot="1" x14ac:dyDescent="0.35">
      <c r="A249" s="182" t="s">
        <v>597</v>
      </c>
      <c r="C249" s="1">
        <f>C146</f>
        <v>0</v>
      </c>
      <c r="D249" s="253">
        <v>461.52968036529683</v>
      </c>
      <c r="E249" s="1">
        <f>D249*0.633858</f>
        <v>292.54428013698634</v>
      </c>
      <c r="F249" s="1">
        <f>E249*2.805461</f>
        <v>820.7215686973899</v>
      </c>
      <c r="G249" s="1">
        <f>F249*1.213</f>
        <v>995.53526282993403</v>
      </c>
      <c r="H249" s="1">
        <f>G249*1.18763</f>
        <v>1182.3275441947146</v>
      </c>
    </row>
    <row r="250" spans="1:9" ht="21.6" thickBot="1" x14ac:dyDescent="0.35">
      <c r="A250" s="243" t="s">
        <v>78</v>
      </c>
      <c r="B250" s="81">
        <v>8208.8078850355923</v>
      </c>
    </row>
    <row r="251" spans="1:9" ht="58.2" thickBot="1" x14ac:dyDescent="0.35">
      <c r="A251" s="173" t="s">
        <v>609</v>
      </c>
    </row>
    <row r="252" spans="1:9" ht="15.6" x14ac:dyDescent="0.3">
      <c r="A252" s="1" t="s">
        <v>593</v>
      </c>
      <c r="C252" s="1">
        <v>0</v>
      </c>
      <c r="D252" s="250">
        <f>50</f>
        <v>50</v>
      </c>
      <c r="E252" s="1">
        <f>D252*0.4</f>
        <v>20</v>
      </c>
      <c r="F252" s="1">
        <f>E252*4.166667</f>
        <v>83.333340000000007</v>
      </c>
      <c r="G252" s="1">
        <f>F252*1.2</f>
        <v>100.00000800000001</v>
      </c>
      <c r="H252" s="1">
        <f>G252*1.166667</f>
        <v>116.666709333336</v>
      </c>
    </row>
    <row r="253" spans="1:9" ht="15.6" x14ac:dyDescent="0.3">
      <c r="A253" s="99" t="s">
        <v>594</v>
      </c>
      <c r="C253" s="1">
        <f>C40</f>
        <v>0</v>
      </c>
      <c r="D253" s="251">
        <v>0.05</v>
      </c>
      <c r="E253" s="241">
        <f>D253*0.8333</f>
        <v>4.1665000000000008E-2</v>
      </c>
      <c r="F253" s="241">
        <f>E253*0.9</f>
        <v>3.7498500000000011E-2</v>
      </c>
      <c r="G253" s="241">
        <f>F253*0.8889</f>
        <v>3.3332416650000009E-2</v>
      </c>
      <c r="H253" s="241">
        <f>G253</f>
        <v>3.3332416650000009E-2</v>
      </c>
    </row>
    <row r="254" spans="1:9" ht="24.6" x14ac:dyDescent="0.3">
      <c r="A254" s="277" t="s">
        <v>596</v>
      </c>
      <c r="C254" s="1">
        <f>C43</f>
        <v>0</v>
      </c>
      <c r="D254" s="251">
        <v>0.1</v>
      </c>
      <c r="E254" s="241">
        <f>D254*0.875</f>
        <v>8.7500000000000008E-2</v>
      </c>
      <c r="F254" s="241">
        <f>E254*0.857143</f>
        <v>7.5000012500000005E-2</v>
      </c>
      <c r="G254" s="241">
        <f>F254*0.8333</f>
        <v>6.2497510416250006E-2</v>
      </c>
      <c r="H254" s="241">
        <f>G254*0.9</f>
        <v>5.6247759374625006E-2</v>
      </c>
    </row>
    <row r="255" spans="1:9" ht="15.6" x14ac:dyDescent="0.3">
      <c r="A255" s="99" t="s">
        <v>595</v>
      </c>
      <c r="C255" s="1">
        <f>C51</f>
        <v>0</v>
      </c>
      <c r="D255" s="251">
        <v>0.12</v>
      </c>
      <c r="E255" s="241">
        <f>D255*0.875</f>
        <v>0.105</v>
      </c>
      <c r="F255" s="241">
        <f>E255*0.857143</f>
        <v>9.0000014999999989E-2</v>
      </c>
      <c r="G255" s="241">
        <f>F255*0.8333</f>
        <v>7.4997012499499999E-2</v>
      </c>
      <c r="H255" s="241">
        <f>G255*0.9</f>
        <v>6.7497311249549996E-2</v>
      </c>
    </row>
    <row r="256" spans="1:9" ht="31.2" x14ac:dyDescent="0.3">
      <c r="A256" s="182" t="s">
        <v>592</v>
      </c>
      <c r="C256" s="1">
        <v>0</v>
      </c>
      <c r="D256" s="252">
        <v>1000</v>
      </c>
      <c r="E256" s="1">
        <f>D256*0.42027</f>
        <v>420.27</v>
      </c>
      <c r="F256" s="1">
        <f>E256*4.35048</f>
        <v>1828.3762296</v>
      </c>
      <c r="G256" s="1">
        <f>F256*1.2476</f>
        <v>2281.0821840489602</v>
      </c>
      <c r="H256" s="1">
        <f>G256*1.21327</f>
        <v>2767.5685814410822</v>
      </c>
    </row>
    <row r="257" spans="1:9" ht="31.8" thickBot="1" x14ac:dyDescent="0.35">
      <c r="A257" s="182" t="s">
        <v>597</v>
      </c>
      <c r="C257" s="1">
        <f>C154</f>
        <v>0</v>
      </c>
      <c r="D257" s="253">
        <v>300</v>
      </c>
      <c r="E257" s="1">
        <f>D257*0.633858</f>
        <v>190.1574</v>
      </c>
      <c r="F257" s="1">
        <f>E257*2.805461</f>
        <v>533.4791695614</v>
      </c>
      <c r="G257" s="1">
        <f>F257*1.213</f>
        <v>647.11023267797827</v>
      </c>
      <c r="H257" s="1">
        <f>G257*1.18763</f>
        <v>768.52752563534727</v>
      </c>
    </row>
    <row r="258" spans="1:9" ht="21.6" thickBot="1" x14ac:dyDescent="0.35">
      <c r="A258" s="243" t="s">
        <v>78</v>
      </c>
      <c r="B258" s="81">
        <v>-2906.6776143295806</v>
      </c>
    </row>
    <row r="259" spans="1:9" ht="58.2" thickBot="1" x14ac:dyDescent="0.35">
      <c r="A259" s="173" t="s">
        <v>610</v>
      </c>
    </row>
    <row r="260" spans="1:9" ht="15.6" x14ac:dyDescent="0.3">
      <c r="A260" s="1" t="s">
        <v>593</v>
      </c>
      <c r="D260" s="250">
        <v>100</v>
      </c>
      <c r="E260" s="1">
        <f>D260*0.4</f>
        <v>40</v>
      </c>
      <c r="F260" s="1">
        <f>E260*4.166667</f>
        <v>166.66668000000001</v>
      </c>
      <c r="G260" s="1">
        <f>F260*1.2</f>
        <v>200.00001600000002</v>
      </c>
      <c r="H260" s="1">
        <f>G260*1.166667</f>
        <v>233.333418666672</v>
      </c>
    </row>
    <row r="261" spans="1:9" ht="15.6" x14ac:dyDescent="0.3">
      <c r="A261" s="99" t="s">
        <v>594</v>
      </c>
      <c r="D261" s="251">
        <v>0.09</v>
      </c>
      <c r="E261" s="241">
        <f>D261*0.8333</f>
        <v>7.4996999999999994E-2</v>
      </c>
      <c r="F261" s="241">
        <f>E261*0.9</f>
        <v>6.7497299999999996E-2</v>
      </c>
      <c r="G261" s="241">
        <f>F261*0.8889</f>
        <v>5.9998349969999996E-2</v>
      </c>
      <c r="H261" s="241">
        <f>G261</f>
        <v>5.9998349969999996E-2</v>
      </c>
    </row>
    <row r="262" spans="1:9" ht="24.6" x14ac:dyDescent="0.3">
      <c r="A262" s="277" t="s">
        <v>596</v>
      </c>
      <c r="D262" s="251">
        <v>7.0000000000000007E-2</v>
      </c>
      <c r="E262" s="241">
        <f>D262*0.875</f>
        <v>6.1250000000000006E-2</v>
      </c>
      <c r="F262" s="241">
        <f>E262*0.857143</f>
        <v>5.2500008750000007E-2</v>
      </c>
      <c r="G262" s="241">
        <f>F262*0.8333</f>
        <v>4.3748257291375006E-2</v>
      </c>
      <c r="H262" s="241">
        <f>G262*0.9</f>
        <v>3.9373431562237507E-2</v>
      </c>
    </row>
    <row r="263" spans="1:9" ht="15.6" x14ac:dyDescent="0.3">
      <c r="A263" s="99" t="s">
        <v>595</v>
      </c>
      <c r="D263" s="251">
        <v>7.0000000000000007E-2</v>
      </c>
      <c r="E263" s="241">
        <f>D263*0.875</f>
        <v>6.1250000000000006E-2</v>
      </c>
      <c r="F263" s="241">
        <f>E263*0.857143</f>
        <v>5.2500008750000007E-2</v>
      </c>
      <c r="G263" s="241">
        <f>F263*0.8333</f>
        <v>4.3748257291375006E-2</v>
      </c>
      <c r="H263" s="241">
        <f>G263*0.9</f>
        <v>3.9373431562237507E-2</v>
      </c>
    </row>
    <row r="264" spans="1:9" ht="31.2" x14ac:dyDescent="0.3">
      <c r="A264" s="182" t="s">
        <v>592</v>
      </c>
      <c r="D264" s="252">
        <v>500</v>
      </c>
      <c r="E264" s="1">
        <f>D264*0.42027</f>
        <v>210.13499999999999</v>
      </c>
      <c r="F264" s="1">
        <f>E264*4.35048</f>
        <v>914.18811479999999</v>
      </c>
      <c r="G264" s="1">
        <f>F264*1.2476</f>
        <v>1140.5410920244801</v>
      </c>
      <c r="H264" s="1">
        <f>G264*1.21327</f>
        <v>1383.7842907205411</v>
      </c>
    </row>
    <row r="265" spans="1:9" ht="31.8" thickBot="1" x14ac:dyDescent="0.35">
      <c r="A265" s="182" t="s">
        <v>597</v>
      </c>
      <c r="D265" s="253">
        <v>500</v>
      </c>
      <c r="E265" s="1">
        <f>D265*0.633858</f>
        <v>316.92900000000003</v>
      </c>
      <c r="F265" s="1">
        <f>E265*2.805461</f>
        <v>889.13194926900019</v>
      </c>
      <c r="G265" s="1">
        <f>F265*1.213</f>
        <v>1078.5170544632972</v>
      </c>
      <c r="H265" s="1">
        <f>G265*1.18763</f>
        <v>1280.8792093922457</v>
      </c>
    </row>
    <row r="266" spans="1:9" ht="21.6" thickBot="1" x14ac:dyDescent="0.35">
      <c r="A266" s="243" t="s">
        <v>78</v>
      </c>
      <c r="B266" s="276">
        <v>21339.24352601268</v>
      </c>
    </row>
    <row r="267" spans="1:9" ht="87" thickBot="1" x14ac:dyDescent="0.35">
      <c r="A267" s="240" t="s">
        <v>581</v>
      </c>
      <c r="B267" s="64"/>
      <c r="C267" s="58" t="s">
        <v>5</v>
      </c>
      <c r="D267" s="59" t="s">
        <v>0</v>
      </c>
      <c r="E267" s="59" t="s">
        <v>1</v>
      </c>
      <c r="F267" s="59" t="s">
        <v>2</v>
      </c>
      <c r="G267" s="59" t="s">
        <v>3</v>
      </c>
      <c r="H267" s="59" t="s">
        <v>4</v>
      </c>
      <c r="I267" s="60" t="s">
        <v>576</v>
      </c>
    </row>
    <row r="268" spans="1:9" ht="63" thickBot="1" x14ac:dyDescent="0.35">
      <c r="A268" s="183" t="s">
        <v>10</v>
      </c>
      <c r="C268" s="2" t="s">
        <v>574</v>
      </c>
      <c r="D268" s="254" t="s">
        <v>578</v>
      </c>
      <c r="E268" s="254" t="s">
        <v>579</v>
      </c>
      <c r="F268" s="254" t="s">
        <v>580</v>
      </c>
    </row>
    <row r="269" spans="1:9" ht="18" customHeight="1" x14ac:dyDescent="0.3">
      <c r="A269" s="370" t="s">
        <v>577</v>
      </c>
      <c r="B269" s="1">
        <v>-6304</v>
      </c>
      <c r="C269" s="372">
        <f>AVERAGE(B269:B281)</f>
        <v>5862.3076923076924</v>
      </c>
      <c r="D269" s="375">
        <f>_xlfn.VAR.S(B269:B281)</f>
        <v>91717649.564102575</v>
      </c>
      <c r="E269" s="372">
        <f>_xlfn.STDEV.P(B269:B281)</f>
        <v>9201.2197969334084</v>
      </c>
      <c r="F269" s="372">
        <f>MEDIAN(B269:B281)</f>
        <v>3476</v>
      </c>
    </row>
    <row r="270" spans="1:9" x14ac:dyDescent="0.3">
      <c r="A270" s="371"/>
      <c r="B270" s="1">
        <v>-4579</v>
      </c>
      <c r="C270" s="373"/>
      <c r="D270" s="376"/>
      <c r="E270" s="373"/>
      <c r="F270" s="373"/>
    </row>
    <row r="271" spans="1:9" x14ac:dyDescent="0.3">
      <c r="A271" s="371"/>
      <c r="B271" s="1">
        <v>-2907</v>
      </c>
      <c r="C271" s="373"/>
      <c r="D271" s="376"/>
      <c r="E271" s="373"/>
      <c r="F271" s="373"/>
    </row>
    <row r="272" spans="1:9" x14ac:dyDescent="0.3">
      <c r="A272" s="371"/>
      <c r="B272" s="1">
        <v>-908</v>
      </c>
      <c r="C272" s="373"/>
      <c r="D272" s="376"/>
      <c r="E272" s="373"/>
      <c r="F272" s="373"/>
    </row>
    <row r="273" spans="1:6" x14ac:dyDescent="0.3">
      <c r="A273" s="371"/>
      <c r="B273" s="1">
        <v>204</v>
      </c>
      <c r="C273" s="373"/>
      <c r="D273" s="376"/>
      <c r="E273" s="373"/>
      <c r="F273" s="373"/>
    </row>
    <row r="274" spans="1:6" x14ac:dyDescent="0.3">
      <c r="A274" s="371"/>
      <c r="B274" s="1">
        <v>1235</v>
      </c>
      <c r="C274" s="373"/>
      <c r="D274" s="376"/>
      <c r="E274" s="373"/>
      <c r="F274" s="373"/>
    </row>
    <row r="275" spans="1:6" x14ac:dyDescent="0.3">
      <c r="A275" s="371"/>
      <c r="B275" s="1">
        <v>3476</v>
      </c>
      <c r="C275" s="373"/>
      <c r="D275" s="376"/>
      <c r="E275" s="373"/>
      <c r="F275" s="373"/>
    </row>
    <row r="276" spans="1:6" x14ac:dyDescent="0.3">
      <c r="A276" s="371"/>
      <c r="B276" s="1">
        <v>5783</v>
      </c>
      <c r="C276" s="373"/>
      <c r="D276" s="376"/>
      <c r="E276" s="373"/>
      <c r="F276" s="373"/>
    </row>
    <row r="277" spans="1:6" x14ac:dyDescent="0.3">
      <c r="A277" s="371"/>
      <c r="B277" s="1">
        <v>8209</v>
      </c>
      <c r="C277" s="373"/>
      <c r="D277" s="376"/>
      <c r="E277" s="373"/>
      <c r="F277" s="373"/>
    </row>
    <row r="278" spans="1:6" x14ac:dyDescent="0.3">
      <c r="A278" s="371"/>
      <c r="B278" s="1">
        <v>12367</v>
      </c>
      <c r="C278" s="373"/>
      <c r="D278" s="376"/>
      <c r="E278" s="373"/>
      <c r="F278" s="373"/>
    </row>
    <row r="279" spans="1:6" x14ac:dyDescent="0.3">
      <c r="A279" s="371"/>
      <c r="B279" s="1">
        <v>15879</v>
      </c>
      <c r="C279" s="373"/>
      <c r="D279" s="376"/>
      <c r="E279" s="373"/>
      <c r="F279" s="373"/>
    </row>
    <row r="280" spans="1:6" x14ac:dyDescent="0.3">
      <c r="A280" s="371"/>
      <c r="B280" s="1">
        <v>21339</v>
      </c>
      <c r="C280" s="373"/>
      <c r="D280" s="376"/>
      <c r="E280" s="373"/>
      <c r="F280" s="373"/>
    </row>
    <row r="281" spans="1:6" ht="15" thickBot="1" x14ac:dyDescent="0.35">
      <c r="A281" s="371"/>
      <c r="B281" s="1">
        <v>22416</v>
      </c>
      <c r="C281" s="374"/>
      <c r="D281" s="377"/>
      <c r="E281" s="374"/>
      <c r="F281" s="374"/>
    </row>
    <row r="282" spans="1:6" ht="31.8" thickBot="1" x14ac:dyDescent="0.35">
      <c r="A282" s="229" t="s">
        <v>570</v>
      </c>
      <c r="C282" s="254" t="s">
        <v>572</v>
      </c>
      <c r="D282" s="254" t="s">
        <v>573</v>
      </c>
      <c r="E282" s="254" t="s">
        <v>574</v>
      </c>
      <c r="F282" s="254" t="s">
        <v>575</v>
      </c>
    </row>
    <row r="283" spans="1:6" ht="18.600000000000001" thickBot="1" x14ac:dyDescent="0.35">
      <c r="A283" s="14" t="s">
        <v>571</v>
      </c>
      <c r="C283" s="81">
        <f>C269-E269</f>
        <v>-3338.912104625716</v>
      </c>
      <c r="D283" s="12">
        <f>F269</f>
        <v>3476</v>
      </c>
      <c r="E283" s="12">
        <f>C269</f>
        <v>5862.3076923076924</v>
      </c>
      <c r="F283" s="255">
        <f>C269+E269</f>
        <v>15063.5274892411</v>
      </c>
    </row>
  </sheetData>
  <mergeCells count="12">
    <mergeCell ref="C69:H69"/>
    <mergeCell ref="A269:A281"/>
    <mergeCell ref="C269:C281"/>
    <mergeCell ref="D269:D281"/>
    <mergeCell ref="E269:E281"/>
    <mergeCell ref="F269:F281"/>
    <mergeCell ref="E59:J59"/>
    <mergeCell ref="C50:H50"/>
    <mergeCell ref="I50:O50"/>
    <mergeCell ref="I51:O51"/>
    <mergeCell ref="J54:L54"/>
    <mergeCell ref="J55:L5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51FB-6594-40C6-84EE-577BEF531437}">
  <dimension ref="A1:I81"/>
  <sheetViews>
    <sheetView workbookViewId="0">
      <selection activeCell="C2" sqref="C2"/>
    </sheetView>
  </sheetViews>
  <sheetFormatPr defaultRowHeight="14.4" x14ac:dyDescent="0.3"/>
  <cols>
    <col min="1" max="1" width="35.109375" style="299" customWidth="1"/>
    <col min="2" max="2" width="16.5546875" style="299" customWidth="1"/>
    <col min="3" max="3" width="134.33203125" customWidth="1"/>
  </cols>
  <sheetData>
    <row r="1" spans="1:9" ht="73.8" customHeight="1" x14ac:dyDescent="0.3">
      <c r="A1" s="378" t="s">
        <v>842</v>
      </c>
      <c r="B1" s="378"/>
      <c r="C1" s="282" t="s">
        <v>643</v>
      </c>
    </row>
    <row r="2" spans="1:9" s="284" customFormat="1" ht="18" x14ac:dyDescent="0.35">
      <c r="A2" s="283" t="s">
        <v>644</v>
      </c>
      <c r="B2" s="283" t="s">
        <v>645</v>
      </c>
      <c r="C2" s="283" t="s">
        <v>80</v>
      </c>
    </row>
    <row r="3" spans="1:9" ht="43.2" x14ac:dyDescent="0.3">
      <c r="A3" s="285" t="s">
        <v>646</v>
      </c>
      <c r="B3" s="286" t="str">
        <f t="shared" ref="B3:B12" si="0">A3</f>
        <v>Accounts Receivable (Credit) Turnover</v>
      </c>
      <c r="C3" s="64" t="s">
        <v>647</v>
      </c>
      <c r="D3" s="1"/>
      <c r="E3" s="1"/>
      <c r="F3" s="1"/>
      <c r="G3" s="1"/>
      <c r="H3" s="1"/>
      <c r="I3" s="1"/>
    </row>
    <row r="4" spans="1:9" ht="28.8" x14ac:dyDescent="0.3">
      <c r="A4" s="285" t="s">
        <v>648</v>
      </c>
      <c r="B4" s="286" t="str">
        <f t="shared" si="0"/>
        <v>Annual Inventory Turnover</v>
      </c>
      <c r="C4" s="64" t="s">
        <v>649</v>
      </c>
      <c r="D4" s="1"/>
      <c r="E4" s="1"/>
      <c r="F4" s="1"/>
      <c r="G4" s="1"/>
      <c r="H4" s="1"/>
      <c r="I4" s="1"/>
    </row>
    <row r="5" spans="1:9" x14ac:dyDescent="0.3">
      <c r="A5" s="146" t="s">
        <v>650</v>
      </c>
      <c r="B5" s="286" t="s">
        <v>651</v>
      </c>
      <c r="C5" s="64" t="s">
        <v>652</v>
      </c>
      <c r="D5" s="1"/>
      <c r="E5" s="1"/>
      <c r="F5" s="1"/>
      <c r="G5" s="1"/>
      <c r="H5" s="1"/>
      <c r="I5" s="1"/>
    </row>
    <row r="6" spans="1:9" x14ac:dyDescent="0.3">
      <c r="A6" s="146" t="s">
        <v>653</v>
      </c>
      <c r="B6" s="286" t="s">
        <v>654</v>
      </c>
      <c r="C6" s="64" t="s">
        <v>655</v>
      </c>
      <c r="D6" s="1"/>
      <c r="E6" s="1"/>
      <c r="F6" s="1"/>
      <c r="G6" s="1"/>
      <c r="H6" s="1"/>
      <c r="I6" s="1"/>
    </row>
    <row r="7" spans="1:9" ht="14.4" customHeight="1" x14ac:dyDescent="0.3">
      <c r="A7" s="287" t="s">
        <v>656</v>
      </c>
      <c r="B7" s="286" t="str">
        <f t="shared" si="0"/>
        <v>Cash to Total Assets</v>
      </c>
      <c r="C7" s="64" t="s">
        <v>657</v>
      </c>
      <c r="D7" s="286"/>
      <c r="E7" s="286"/>
      <c r="F7" s="286"/>
      <c r="G7" s="286"/>
      <c r="H7" s="286"/>
      <c r="I7" s="286"/>
    </row>
    <row r="8" spans="1:9" x14ac:dyDescent="0.3">
      <c r="A8" s="287" t="s">
        <v>658</v>
      </c>
      <c r="B8" s="286" t="str">
        <f t="shared" si="0"/>
        <v>Cash Turnover</v>
      </c>
      <c r="C8" s="64" t="s">
        <v>659</v>
      </c>
      <c r="D8" s="1"/>
      <c r="E8" s="1"/>
      <c r="F8" s="1"/>
      <c r="G8" s="1"/>
      <c r="H8" s="1"/>
      <c r="I8" s="1"/>
    </row>
    <row r="9" spans="1:9" x14ac:dyDescent="0.3">
      <c r="A9" s="287" t="s">
        <v>660</v>
      </c>
      <c r="B9" s="286" t="s">
        <v>661</v>
      </c>
      <c r="C9" s="64" t="s">
        <v>662</v>
      </c>
      <c r="D9" s="1"/>
      <c r="E9" s="1"/>
      <c r="F9" s="1"/>
      <c r="G9" s="1"/>
      <c r="H9" s="1"/>
      <c r="I9" s="1"/>
    </row>
    <row r="10" spans="1:9" x14ac:dyDescent="0.3">
      <c r="A10" s="288" t="s">
        <v>663</v>
      </c>
      <c r="B10" s="286" t="str">
        <f>A10</f>
        <v>Capital Employed</v>
      </c>
      <c r="C10" s="64" t="s">
        <v>664</v>
      </c>
      <c r="D10" s="1"/>
      <c r="E10" s="1"/>
      <c r="F10" s="1"/>
      <c r="G10" s="1"/>
      <c r="H10" s="1"/>
      <c r="I10" s="1"/>
    </row>
    <row r="11" spans="1:9" x14ac:dyDescent="0.3">
      <c r="A11" s="285" t="s">
        <v>665</v>
      </c>
      <c r="B11" s="286" t="str">
        <f t="shared" si="0"/>
        <v>Collection Period</v>
      </c>
      <c r="C11" s="64" t="s">
        <v>666</v>
      </c>
      <c r="D11" s="1"/>
      <c r="E11" s="1"/>
      <c r="F11" s="1"/>
      <c r="G11" s="1"/>
      <c r="H11" s="1"/>
      <c r="I11" s="1"/>
    </row>
    <row r="12" spans="1:9" ht="28.8" x14ac:dyDescent="0.3">
      <c r="A12" s="287" t="s">
        <v>667</v>
      </c>
      <c r="B12" s="286" t="str">
        <f t="shared" si="0"/>
        <v>Cost of Sales to Payables</v>
      </c>
      <c r="C12" s="64" t="s">
        <v>668</v>
      </c>
      <c r="D12" s="1"/>
      <c r="E12" s="1"/>
      <c r="F12" s="1"/>
      <c r="G12" s="1"/>
      <c r="H12" s="1"/>
      <c r="I12" s="1"/>
    </row>
    <row r="13" spans="1:9" x14ac:dyDescent="0.3">
      <c r="A13" s="288" t="s">
        <v>669</v>
      </c>
      <c r="B13" s="286" t="s">
        <v>670</v>
      </c>
      <c r="C13" s="64" t="s">
        <v>671</v>
      </c>
      <c r="D13" s="1"/>
      <c r="E13" s="1"/>
      <c r="F13" s="1"/>
      <c r="G13" s="1"/>
      <c r="H13" s="1"/>
      <c r="I13" s="1"/>
    </row>
    <row r="14" spans="1:9" x14ac:dyDescent="0.3">
      <c r="A14" s="287" t="s">
        <v>672</v>
      </c>
      <c r="B14" s="286" t="s">
        <v>673</v>
      </c>
      <c r="C14" s="64" t="s">
        <v>674</v>
      </c>
      <c r="D14" s="1"/>
      <c r="E14" s="1"/>
      <c r="F14" s="1"/>
      <c r="G14" s="1"/>
      <c r="H14" s="1"/>
      <c r="I14" s="1"/>
    </row>
    <row r="15" spans="1:9" ht="28.8" x14ac:dyDescent="0.3">
      <c r="A15" s="287" t="s">
        <v>675</v>
      </c>
      <c r="B15" s="286" t="str">
        <f t="shared" ref="B15:B19" si="1">A15</f>
        <v>Days payables Ratio</v>
      </c>
      <c r="C15" s="64" t="s">
        <v>676</v>
      </c>
      <c r="D15" s="1"/>
      <c r="E15" s="1"/>
      <c r="F15" s="1"/>
      <c r="G15" s="1"/>
      <c r="H15" s="1"/>
      <c r="I15" s="1"/>
    </row>
    <row r="16" spans="1:9" ht="28.8" x14ac:dyDescent="0.3">
      <c r="A16" s="287" t="s">
        <v>677</v>
      </c>
      <c r="B16" s="286" t="str">
        <f t="shared" si="1"/>
        <v>Days receivables Ratio</v>
      </c>
      <c r="C16" s="64" t="s">
        <v>678</v>
      </c>
      <c r="D16" s="1"/>
      <c r="E16" s="1"/>
      <c r="F16" s="1"/>
      <c r="G16" s="1"/>
      <c r="H16" s="1"/>
      <c r="I16" s="1"/>
    </row>
    <row r="17" spans="1:9" x14ac:dyDescent="0.3">
      <c r="A17" s="146" t="s">
        <v>679</v>
      </c>
      <c r="B17" s="286" t="str">
        <f t="shared" si="1"/>
        <v>Debt Ratio</v>
      </c>
      <c r="C17" s="64" t="s">
        <v>680</v>
      </c>
      <c r="D17" s="286"/>
      <c r="E17" s="286"/>
      <c r="F17" s="286"/>
      <c r="G17" s="286"/>
      <c r="H17" s="286"/>
      <c r="I17" s="1"/>
    </row>
    <row r="18" spans="1:9" ht="28.8" x14ac:dyDescent="0.3">
      <c r="A18" s="146" t="s">
        <v>681</v>
      </c>
      <c r="B18" s="286" t="str">
        <f t="shared" si="1"/>
        <v>Debt to Equity Ratio</v>
      </c>
      <c r="C18" s="64" t="s">
        <v>682</v>
      </c>
      <c r="D18" s="1"/>
      <c r="E18" s="1"/>
      <c r="F18" s="1"/>
      <c r="G18" s="1"/>
      <c r="H18" s="1"/>
      <c r="I18" s="1"/>
    </row>
    <row r="19" spans="1:9" x14ac:dyDescent="0.3">
      <c r="A19" s="64" t="s">
        <v>683</v>
      </c>
      <c r="B19" s="286" t="str">
        <f t="shared" si="1"/>
        <v>Dividend Yield</v>
      </c>
      <c r="C19" s="64" t="s">
        <v>684</v>
      </c>
      <c r="D19" s="1"/>
      <c r="E19" s="1"/>
      <c r="F19" s="1"/>
      <c r="G19" s="1"/>
      <c r="H19" s="1"/>
      <c r="I19" s="1"/>
    </row>
    <row r="20" spans="1:9" x14ac:dyDescent="0.3">
      <c r="A20" s="64" t="s">
        <v>685</v>
      </c>
      <c r="B20" s="286" t="s">
        <v>686</v>
      </c>
      <c r="C20" s="64" t="s">
        <v>687</v>
      </c>
      <c r="D20" s="1"/>
      <c r="E20" s="1"/>
      <c r="F20" s="1"/>
      <c r="G20" s="1"/>
      <c r="H20" s="1"/>
      <c r="I20" s="1"/>
    </row>
    <row r="21" spans="1:9" ht="28.8" x14ac:dyDescent="0.3">
      <c r="A21" s="289" t="s">
        <v>688</v>
      </c>
      <c r="B21" s="286" t="s">
        <v>689</v>
      </c>
      <c r="C21" s="64" t="s">
        <v>690</v>
      </c>
      <c r="D21" s="1"/>
      <c r="E21" s="1"/>
      <c r="G21" s="1"/>
      <c r="H21" s="1"/>
      <c r="I21" s="1"/>
    </row>
    <row r="22" spans="1:9" x14ac:dyDescent="0.3">
      <c r="A22" s="289" t="s">
        <v>691</v>
      </c>
      <c r="B22" s="286" t="s">
        <v>692</v>
      </c>
      <c r="C22" s="64" t="s">
        <v>693</v>
      </c>
      <c r="D22" s="1"/>
      <c r="E22" s="1"/>
      <c r="G22" s="1"/>
      <c r="H22" s="1"/>
      <c r="I22" s="1"/>
    </row>
    <row r="23" spans="1:9" ht="28.8" x14ac:dyDescent="0.3">
      <c r="A23" s="289" t="s">
        <v>694</v>
      </c>
      <c r="B23" s="286" t="s">
        <v>695</v>
      </c>
      <c r="C23" s="64" t="s">
        <v>696</v>
      </c>
      <c r="D23" s="1"/>
      <c r="E23" s="1"/>
      <c r="G23" s="1"/>
      <c r="H23" s="1"/>
      <c r="I23" s="1"/>
    </row>
    <row r="24" spans="1:9" ht="43.2" x14ac:dyDescent="0.3">
      <c r="A24" s="289" t="s">
        <v>697</v>
      </c>
      <c r="B24" s="286" t="s">
        <v>698</v>
      </c>
      <c r="C24" s="64" t="s">
        <v>699</v>
      </c>
      <c r="D24" s="1"/>
      <c r="E24" s="1"/>
      <c r="F24" s="1"/>
      <c r="G24" s="1"/>
      <c r="H24" s="1"/>
    </row>
    <row r="25" spans="1:9" ht="43.2" x14ac:dyDescent="0.3">
      <c r="A25" s="289" t="s">
        <v>700</v>
      </c>
      <c r="B25" s="286" t="s">
        <v>701</v>
      </c>
      <c r="C25" s="64" t="s">
        <v>702</v>
      </c>
      <c r="D25" s="1"/>
      <c r="E25" s="1"/>
      <c r="G25" s="1"/>
      <c r="H25" s="1"/>
      <c r="I25" s="1"/>
    </row>
    <row r="26" spans="1:9" x14ac:dyDescent="0.3">
      <c r="A26" s="289" t="s">
        <v>703</v>
      </c>
      <c r="B26" s="286" t="s">
        <v>704</v>
      </c>
      <c r="C26" s="64" t="s">
        <v>705</v>
      </c>
      <c r="D26" s="1"/>
      <c r="E26" s="1"/>
      <c r="G26" s="1"/>
      <c r="H26" s="1"/>
      <c r="I26" s="1"/>
    </row>
    <row r="27" spans="1:9" ht="28.8" x14ac:dyDescent="0.3">
      <c r="A27" s="290" t="s">
        <v>706</v>
      </c>
      <c r="B27" s="286" t="s">
        <v>707</v>
      </c>
      <c r="C27" s="64" t="s">
        <v>708</v>
      </c>
      <c r="D27" s="1"/>
      <c r="E27" s="1"/>
      <c r="F27" s="1"/>
      <c r="G27" s="1"/>
      <c r="H27" s="1"/>
      <c r="I27" s="1"/>
    </row>
    <row r="28" spans="1:9" x14ac:dyDescent="0.3">
      <c r="A28" s="64" t="s">
        <v>709</v>
      </c>
      <c r="B28" s="286" t="s">
        <v>710</v>
      </c>
      <c r="C28" s="64"/>
      <c r="D28" s="1"/>
      <c r="E28" s="1"/>
      <c r="F28" s="1"/>
      <c r="G28" s="1"/>
      <c r="H28" s="1"/>
      <c r="I28" s="1"/>
    </row>
    <row r="29" spans="1:9" ht="28.8" x14ac:dyDescent="0.3">
      <c r="A29" s="291" t="s">
        <v>711</v>
      </c>
      <c r="B29" s="286" t="s">
        <v>712</v>
      </c>
      <c r="C29" s="292" t="s">
        <v>713</v>
      </c>
      <c r="D29" s="1"/>
      <c r="E29" s="1"/>
      <c r="F29" s="1"/>
      <c r="G29" s="1"/>
      <c r="H29" s="1"/>
      <c r="I29" s="1"/>
    </row>
    <row r="30" spans="1:9" ht="28.8" x14ac:dyDescent="0.3">
      <c r="A30" s="293" t="s">
        <v>714</v>
      </c>
      <c r="B30" s="286" t="s">
        <v>715</v>
      </c>
      <c r="C30" s="64" t="s">
        <v>716</v>
      </c>
      <c r="D30" s="1"/>
      <c r="E30" s="1"/>
      <c r="F30" s="1"/>
      <c r="G30" s="1"/>
      <c r="H30" s="1"/>
      <c r="I30" s="1"/>
    </row>
    <row r="31" spans="1:9" x14ac:dyDescent="0.3">
      <c r="A31" s="293" t="s">
        <v>717</v>
      </c>
      <c r="B31" s="286" t="s">
        <v>718</v>
      </c>
      <c r="C31" s="64" t="s">
        <v>719</v>
      </c>
      <c r="D31" s="1"/>
      <c r="E31" s="1"/>
      <c r="F31" s="1"/>
      <c r="G31" s="1"/>
      <c r="H31" s="1"/>
      <c r="I31" s="1"/>
    </row>
    <row r="32" spans="1:9" ht="26.4" customHeight="1" x14ac:dyDescent="0.3">
      <c r="A32" s="294" t="s">
        <v>720</v>
      </c>
      <c r="B32" s="286" t="s">
        <v>721</v>
      </c>
      <c r="C32" s="64" t="s">
        <v>722</v>
      </c>
      <c r="D32" s="1"/>
      <c r="E32" s="1"/>
      <c r="F32" s="1"/>
      <c r="G32" s="1"/>
      <c r="H32" s="1"/>
      <c r="I32" s="1"/>
    </row>
    <row r="33" spans="1:9" ht="26.4" customHeight="1" x14ac:dyDescent="0.3">
      <c r="A33" s="294" t="s">
        <v>723</v>
      </c>
      <c r="B33" s="286" t="s">
        <v>724</v>
      </c>
      <c r="C33" s="292" t="s">
        <v>725</v>
      </c>
      <c r="D33" s="1"/>
      <c r="E33" s="1"/>
      <c r="F33" s="1"/>
      <c r="G33" s="1"/>
      <c r="H33" s="1"/>
      <c r="I33" s="1"/>
    </row>
    <row r="34" spans="1:9" ht="26.4" customHeight="1" x14ac:dyDescent="0.3">
      <c r="A34" s="294" t="s">
        <v>726</v>
      </c>
      <c r="B34" s="286" t="str">
        <f>A34</f>
        <v>Free Cash Flow to Operating Cash</v>
      </c>
      <c r="C34" s="64" t="s">
        <v>727</v>
      </c>
      <c r="D34" s="1"/>
      <c r="E34" s="1"/>
      <c r="F34" s="1"/>
      <c r="G34" s="1"/>
      <c r="H34" s="1"/>
      <c r="I34" s="1"/>
    </row>
    <row r="35" spans="1:9" ht="28.8" x14ac:dyDescent="0.3">
      <c r="A35" s="294" t="s">
        <v>728</v>
      </c>
      <c r="B35" s="286" t="str">
        <f>A35</f>
        <v>Fixed to Worth Ratio</v>
      </c>
      <c r="C35" s="64" t="s">
        <v>729</v>
      </c>
      <c r="D35" s="1"/>
      <c r="E35" s="1"/>
      <c r="F35" s="1"/>
      <c r="G35" s="1"/>
      <c r="H35" s="1"/>
      <c r="I35" s="1"/>
    </row>
    <row r="36" spans="1:9" x14ac:dyDescent="0.3">
      <c r="A36" s="288" t="s">
        <v>730</v>
      </c>
      <c r="B36" s="286" t="s">
        <v>731</v>
      </c>
      <c r="C36" s="64" t="s">
        <v>732</v>
      </c>
      <c r="D36" s="1"/>
      <c r="E36" s="1"/>
      <c r="F36" s="1"/>
      <c r="G36" s="1"/>
      <c r="H36" s="1"/>
      <c r="I36" s="1"/>
    </row>
    <row r="37" spans="1:9" x14ac:dyDescent="0.3">
      <c r="A37" s="146" t="s">
        <v>733</v>
      </c>
      <c r="B37" s="286" t="str">
        <f>A37</f>
        <v>Interest Coverage</v>
      </c>
      <c r="C37" s="64" t="s">
        <v>734</v>
      </c>
      <c r="D37" s="1"/>
      <c r="E37" s="1"/>
      <c r="F37" s="1"/>
      <c r="G37" s="1"/>
      <c r="H37" s="1"/>
      <c r="I37" s="1"/>
    </row>
    <row r="38" spans="1:9" x14ac:dyDescent="0.3">
      <c r="A38" s="289" t="s">
        <v>735</v>
      </c>
      <c r="B38" s="286" t="s">
        <v>736</v>
      </c>
      <c r="C38" s="64" t="s">
        <v>737</v>
      </c>
      <c r="D38" s="1"/>
      <c r="E38" s="1"/>
      <c r="F38" s="1"/>
      <c r="G38" s="1"/>
      <c r="H38" s="1"/>
      <c r="I38" s="1"/>
    </row>
    <row r="39" spans="1:9" ht="28.8" x14ac:dyDescent="0.3">
      <c r="A39" s="285" t="s">
        <v>738</v>
      </c>
      <c r="B39" s="286" t="str">
        <f>A39</f>
        <v>Inventory Holding Period</v>
      </c>
      <c r="C39" s="64" t="s">
        <v>739</v>
      </c>
      <c r="D39" s="1"/>
      <c r="E39" s="1"/>
      <c r="F39" s="1"/>
      <c r="G39" s="1"/>
      <c r="H39" s="1"/>
      <c r="I39" s="1"/>
    </row>
    <row r="40" spans="1:9" ht="28.8" x14ac:dyDescent="0.3">
      <c r="A40" s="285" t="s">
        <v>740</v>
      </c>
      <c r="B40" s="286" t="str">
        <f>A40</f>
        <v>Inventory to Assets Ratio</v>
      </c>
      <c r="C40" s="64" t="s">
        <v>741</v>
      </c>
      <c r="D40" s="1"/>
      <c r="E40" s="1"/>
      <c r="F40" s="1"/>
      <c r="G40" s="1"/>
      <c r="H40" s="1"/>
      <c r="I40" s="1"/>
    </row>
    <row r="41" spans="1:9" ht="28.8" x14ac:dyDescent="0.3">
      <c r="A41" s="295" t="s">
        <v>742</v>
      </c>
      <c r="B41" s="286" t="str">
        <f>A41</f>
        <v>Investments Turnover</v>
      </c>
      <c r="C41" s="64" t="s">
        <v>743</v>
      </c>
      <c r="D41" s="1"/>
      <c r="E41" s="1"/>
      <c r="F41" s="1"/>
      <c r="G41" s="1"/>
      <c r="H41" s="1"/>
      <c r="I41" s="1"/>
    </row>
    <row r="42" spans="1:9" x14ac:dyDescent="0.3">
      <c r="A42" s="292" t="s">
        <v>744</v>
      </c>
      <c r="B42" s="286" t="s">
        <v>745</v>
      </c>
      <c r="C42" s="64" t="s">
        <v>746</v>
      </c>
      <c r="D42" s="1"/>
      <c r="E42" s="1"/>
      <c r="F42" s="1"/>
      <c r="G42" s="1"/>
      <c r="H42" s="1"/>
      <c r="I42" s="1"/>
    </row>
    <row r="43" spans="1:9" ht="28.8" x14ac:dyDescent="0.3">
      <c r="A43" s="292" t="s">
        <v>747</v>
      </c>
      <c r="B43" s="286" t="s">
        <v>748</v>
      </c>
      <c r="C43" s="64" t="s">
        <v>749</v>
      </c>
      <c r="D43" s="1"/>
      <c r="E43" s="1"/>
      <c r="F43" s="1"/>
      <c r="G43" s="1"/>
      <c r="H43" s="1"/>
      <c r="I43" s="1"/>
    </row>
    <row r="44" spans="1:9" ht="28.8" x14ac:dyDescent="0.3">
      <c r="A44" s="292" t="s">
        <v>750</v>
      </c>
      <c r="B44" s="286" t="s">
        <v>748</v>
      </c>
      <c r="C44" s="64" t="s">
        <v>751</v>
      </c>
      <c r="D44" s="1"/>
      <c r="E44" s="1"/>
      <c r="F44" s="1"/>
      <c r="G44" s="1"/>
      <c r="H44" s="1"/>
      <c r="I44" s="1"/>
    </row>
    <row r="45" spans="1:9" ht="28.8" x14ac:dyDescent="0.3">
      <c r="A45" s="296" t="s">
        <v>752</v>
      </c>
      <c r="B45" s="286" t="s">
        <v>752</v>
      </c>
      <c r="C45" s="64" t="s">
        <v>753</v>
      </c>
      <c r="D45" s="1"/>
      <c r="E45" s="1"/>
      <c r="F45" s="1"/>
      <c r="G45" s="1"/>
      <c r="H45" s="1"/>
      <c r="I45" s="1"/>
    </row>
    <row r="46" spans="1:9" x14ac:dyDescent="0.3">
      <c r="A46" s="288" t="s">
        <v>754</v>
      </c>
      <c r="B46" s="286" t="s">
        <v>755</v>
      </c>
      <c r="C46" s="64" t="s">
        <v>756</v>
      </c>
      <c r="D46" s="1"/>
      <c r="E46" s="1"/>
      <c r="F46" s="1"/>
      <c r="G46" s="1"/>
      <c r="H46" s="1"/>
      <c r="I46" s="1"/>
    </row>
    <row r="47" spans="1:9" ht="28.8" x14ac:dyDescent="0.3">
      <c r="A47" s="297" t="s">
        <v>757</v>
      </c>
      <c r="B47" s="286" t="s">
        <v>757</v>
      </c>
      <c r="C47" s="64" t="s">
        <v>758</v>
      </c>
      <c r="D47" s="1"/>
      <c r="E47" s="1"/>
      <c r="F47" s="1"/>
      <c r="G47" s="1"/>
      <c r="H47" s="1"/>
      <c r="I47" s="1"/>
    </row>
    <row r="48" spans="1:9" ht="43.2" x14ac:dyDescent="0.3">
      <c r="A48" s="289" t="s">
        <v>759</v>
      </c>
      <c r="B48" s="286" t="s">
        <v>760</v>
      </c>
      <c r="C48" s="64" t="s">
        <v>761</v>
      </c>
      <c r="D48" s="1"/>
      <c r="E48" s="1"/>
      <c r="F48" s="1"/>
      <c r="G48" s="1"/>
      <c r="H48" s="1"/>
      <c r="I48" s="1"/>
    </row>
    <row r="49" spans="1:9" ht="43.2" x14ac:dyDescent="0.3">
      <c r="A49" s="289" t="s">
        <v>759</v>
      </c>
      <c r="B49" s="286" t="s">
        <v>762</v>
      </c>
      <c r="C49" s="64" t="s">
        <v>761</v>
      </c>
      <c r="D49" s="1"/>
      <c r="E49" s="1"/>
      <c r="F49" s="1"/>
      <c r="G49" s="1"/>
      <c r="H49" s="1"/>
      <c r="I49" s="1"/>
    </row>
    <row r="50" spans="1:9" ht="28.8" x14ac:dyDescent="0.3">
      <c r="A50" s="289" t="s">
        <v>763</v>
      </c>
      <c r="B50" s="286" t="s">
        <v>764</v>
      </c>
      <c r="C50" s="64" t="s">
        <v>765</v>
      </c>
      <c r="D50" s="1"/>
      <c r="E50" s="1"/>
      <c r="F50" s="1"/>
      <c r="G50" s="1"/>
      <c r="H50" s="1"/>
      <c r="I50" s="1"/>
    </row>
    <row r="51" spans="1:9" x14ac:dyDescent="0.3">
      <c r="A51" s="288" t="s">
        <v>766</v>
      </c>
      <c r="B51" s="286" t="s">
        <v>767</v>
      </c>
      <c r="C51" s="64" t="s">
        <v>768</v>
      </c>
      <c r="D51" s="1"/>
      <c r="E51" s="1"/>
      <c r="F51" s="1"/>
      <c r="G51" s="1"/>
      <c r="H51" s="1"/>
      <c r="I51" s="1"/>
    </row>
    <row r="52" spans="1:9" x14ac:dyDescent="0.3">
      <c r="A52" s="298" t="s">
        <v>769</v>
      </c>
      <c r="B52" s="286" t="s">
        <v>769</v>
      </c>
      <c r="C52" s="64" t="s">
        <v>770</v>
      </c>
      <c r="D52" s="1"/>
      <c r="E52" s="1"/>
      <c r="F52" s="1"/>
      <c r="G52" s="1"/>
      <c r="H52" s="1"/>
      <c r="I52" s="1"/>
    </row>
    <row r="53" spans="1:9" x14ac:dyDescent="0.3">
      <c r="A53" s="288" t="s">
        <v>771</v>
      </c>
      <c r="B53" s="286" t="s">
        <v>772</v>
      </c>
      <c r="C53" s="64" t="s">
        <v>773</v>
      </c>
      <c r="D53" s="1"/>
      <c r="E53" s="1"/>
      <c r="F53" s="1"/>
      <c r="G53" s="1"/>
      <c r="H53" s="1"/>
      <c r="I53" s="1"/>
    </row>
    <row r="54" spans="1:9" x14ac:dyDescent="0.3">
      <c r="A54" s="287" t="s">
        <v>774</v>
      </c>
      <c r="B54" s="286" t="s">
        <v>775</v>
      </c>
      <c r="C54" s="64" t="s">
        <v>776</v>
      </c>
      <c r="D54" s="1"/>
      <c r="E54" s="1"/>
      <c r="F54" s="1"/>
      <c r="G54" s="1"/>
      <c r="H54" s="1"/>
      <c r="I54" s="1"/>
    </row>
    <row r="55" spans="1:9" x14ac:dyDescent="0.3">
      <c r="A55" s="288" t="s">
        <v>777</v>
      </c>
      <c r="B55" s="286" t="s">
        <v>778</v>
      </c>
      <c r="C55" s="64" t="s">
        <v>779</v>
      </c>
      <c r="D55" s="1"/>
      <c r="E55" s="1"/>
      <c r="F55" s="1"/>
      <c r="G55" s="1"/>
      <c r="H55" s="1"/>
      <c r="I55" s="1"/>
    </row>
    <row r="56" spans="1:9" ht="28.8" x14ac:dyDescent="0.3">
      <c r="A56" s="298" t="s">
        <v>780</v>
      </c>
      <c r="B56" s="286" t="s">
        <v>780</v>
      </c>
      <c r="C56" s="64" t="s">
        <v>781</v>
      </c>
    </row>
    <row r="57" spans="1:9" x14ac:dyDescent="0.3">
      <c r="A57" s="288" t="s">
        <v>782</v>
      </c>
      <c r="B57" s="286" t="s">
        <v>783</v>
      </c>
      <c r="C57" s="64" t="s">
        <v>784</v>
      </c>
    </row>
    <row r="58" spans="1:9" x14ac:dyDescent="0.3">
      <c r="A58" s="288" t="s">
        <v>785</v>
      </c>
      <c r="B58" s="286" t="s">
        <v>786</v>
      </c>
      <c r="C58" s="64" t="s">
        <v>787</v>
      </c>
    </row>
    <row r="59" spans="1:9" ht="28.8" x14ac:dyDescent="0.3">
      <c r="A59" s="288" t="s">
        <v>788</v>
      </c>
      <c r="B59" s="286" t="s">
        <v>789</v>
      </c>
      <c r="C59" s="64" t="s">
        <v>790</v>
      </c>
    </row>
    <row r="60" spans="1:9" x14ac:dyDescent="0.3">
      <c r="A60" s="288" t="s">
        <v>791</v>
      </c>
      <c r="B60" s="286" t="s">
        <v>792</v>
      </c>
      <c r="C60" s="64" t="s">
        <v>793</v>
      </c>
    </row>
    <row r="61" spans="1:9" ht="28.8" x14ac:dyDescent="0.3">
      <c r="A61" s="288" t="s">
        <v>794</v>
      </c>
      <c r="B61" s="286" t="s">
        <v>795</v>
      </c>
      <c r="C61" s="292" t="s">
        <v>796</v>
      </c>
    </row>
    <row r="62" spans="1:9" x14ac:dyDescent="0.3">
      <c r="A62" s="288" t="s">
        <v>797</v>
      </c>
      <c r="B62" s="286" t="s">
        <v>798</v>
      </c>
      <c r="C62" s="64" t="s">
        <v>799</v>
      </c>
    </row>
    <row r="63" spans="1:9" x14ac:dyDescent="0.3">
      <c r="A63" s="288" t="s">
        <v>800</v>
      </c>
      <c r="B63" s="286" t="s">
        <v>801</v>
      </c>
      <c r="C63" s="64" t="s">
        <v>802</v>
      </c>
    </row>
    <row r="64" spans="1:9" x14ac:dyDescent="0.3">
      <c r="A64" s="288" t="s">
        <v>803</v>
      </c>
      <c r="B64" s="286" t="s">
        <v>804</v>
      </c>
      <c r="C64" s="64" t="s">
        <v>805</v>
      </c>
    </row>
    <row r="65" spans="1:3" x14ac:dyDescent="0.3">
      <c r="A65" s="288" t="s">
        <v>806</v>
      </c>
      <c r="B65" s="286" t="s">
        <v>807</v>
      </c>
      <c r="C65" s="292" t="s">
        <v>808</v>
      </c>
    </row>
    <row r="66" spans="1:3" x14ac:dyDescent="0.3">
      <c r="A66" s="288" t="s">
        <v>809</v>
      </c>
      <c r="B66" s="286" t="s">
        <v>810</v>
      </c>
      <c r="C66" s="64" t="s">
        <v>811</v>
      </c>
    </row>
    <row r="67" spans="1:3" x14ac:dyDescent="0.3">
      <c r="A67" s="288" t="s">
        <v>812</v>
      </c>
      <c r="B67" s="286" t="s">
        <v>813</v>
      </c>
      <c r="C67" s="64" t="s">
        <v>814</v>
      </c>
    </row>
    <row r="68" spans="1:3" x14ac:dyDescent="0.3">
      <c r="A68" s="288" t="s">
        <v>815</v>
      </c>
      <c r="B68" s="286" t="s">
        <v>816</v>
      </c>
      <c r="C68" s="64" t="s">
        <v>817</v>
      </c>
    </row>
    <row r="69" spans="1:3" x14ac:dyDescent="0.3">
      <c r="A69" s="288" t="s">
        <v>818</v>
      </c>
      <c r="B69" s="286" t="s">
        <v>819</v>
      </c>
      <c r="C69" s="64" t="s">
        <v>820</v>
      </c>
    </row>
    <row r="70" spans="1:3" x14ac:dyDescent="0.3">
      <c r="A70" s="288" t="s">
        <v>821</v>
      </c>
      <c r="B70" s="286" t="s">
        <v>822</v>
      </c>
      <c r="C70" s="64" t="s">
        <v>823</v>
      </c>
    </row>
    <row r="71" spans="1:3" x14ac:dyDescent="0.3">
      <c r="A71" s="288" t="s">
        <v>824</v>
      </c>
      <c r="B71" s="286" t="s">
        <v>825</v>
      </c>
      <c r="C71" s="64" t="s">
        <v>826</v>
      </c>
    </row>
    <row r="72" spans="1:3" x14ac:dyDescent="0.3">
      <c r="A72" s="288" t="s">
        <v>827</v>
      </c>
      <c r="B72" s="286" t="s">
        <v>828</v>
      </c>
      <c r="C72" s="64" t="s">
        <v>829</v>
      </c>
    </row>
    <row r="73" spans="1:3" x14ac:dyDescent="0.3">
      <c r="A73" s="288" t="s">
        <v>830</v>
      </c>
      <c r="B73" s="286" t="s">
        <v>831</v>
      </c>
      <c r="C73" s="64" t="s">
        <v>832</v>
      </c>
    </row>
    <row r="74" spans="1:3" ht="28.8" x14ac:dyDescent="0.3">
      <c r="A74" s="290" t="s">
        <v>833</v>
      </c>
      <c r="B74" s="286" t="s">
        <v>834</v>
      </c>
      <c r="C74" s="64" t="s">
        <v>835</v>
      </c>
    </row>
    <row r="75" spans="1:3" ht="15" thickBot="1" x14ac:dyDescent="0.35"/>
    <row r="76" spans="1:3" ht="16.2" thickBot="1" x14ac:dyDescent="0.35">
      <c r="A76" s="13" t="s">
        <v>836</v>
      </c>
      <c r="B76" s="300"/>
    </row>
    <row r="77" spans="1:3" ht="31.8" thickBot="1" x14ac:dyDescent="0.35">
      <c r="A77" s="13" t="s">
        <v>837</v>
      </c>
      <c r="B77" s="235"/>
    </row>
    <row r="78" spans="1:3" ht="16.2" thickBot="1" x14ac:dyDescent="0.35">
      <c r="A78" s="13" t="s">
        <v>838</v>
      </c>
      <c r="B78" s="301"/>
    </row>
    <row r="79" spans="1:3" ht="16.2" thickBot="1" x14ac:dyDescent="0.35">
      <c r="A79" s="3" t="s">
        <v>839</v>
      </c>
      <c r="B79" s="302"/>
    </row>
    <row r="80" spans="1:3" ht="16.2" thickBot="1" x14ac:dyDescent="0.35">
      <c r="A80" s="3" t="s">
        <v>840</v>
      </c>
      <c r="B80" s="236"/>
    </row>
    <row r="81" spans="1:2" ht="16.2" thickBot="1" x14ac:dyDescent="0.35">
      <c r="A81" s="3" t="s">
        <v>841</v>
      </c>
      <c r="B81" s="303"/>
    </row>
  </sheetData>
  <mergeCells count="1">
    <mergeCell ref="A1:B1"/>
  </mergeCells>
  <hyperlinks>
    <hyperlink ref="C1" r:id="rId1" display="http://www.readyratios.com/reference/ " xr:uid="{058720C8-44DB-4306-89F3-01697D055DF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D8D-7A17-450B-B5EB-66CFAA592648}">
  <dimension ref="A1:M174"/>
  <sheetViews>
    <sheetView tabSelected="1" topLeftCell="A155" zoomScale="140" zoomScaleNormal="140" workbookViewId="0">
      <selection activeCell="A160" sqref="A160"/>
    </sheetView>
  </sheetViews>
  <sheetFormatPr defaultColWidth="8.88671875" defaultRowHeight="14.4" x14ac:dyDescent="0.3"/>
  <cols>
    <col min="1" max="1" width="51.5546875" style="1" customWidth="1"/>
    <col min="2" max="2" width="11.66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0" ht="28.8" x14ac:dyDescent="0.3">
      <c r="A1" s="221" t="s">
        <v>849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47.4" thickBot="1" x14ac:dyDescent="0.35">
      <c r="A3" s="305" t="s">
        <v>850</v>
      </c>
      <c r="B3" s="53" t="s">
        <v>851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7</v>
      </c>
    </row>
    <row r="4" spans="1:10" ht="18" x14ac:dyDescent="0.3">
      <c r="A4" s="22" t="s">
        <v>852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853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854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855</v>
      </c>
      <c r="C7" s="7"/>
      <c r="D7" s="7">
        <f>'[1]Adj Cash Flow'!D7</f>
        <v>75</v>
      </c>
      <c r="E7" s="7">
        <f>'[1]Adj Cash Flow'!E7</f>
        <v>30</v>
      </c>
      <c r="F7" s="7">
        <f>'[1]Adj Cash Flow'!F7</f>
        <v>125</v>
      </c>
      <c r="G7" s="7">
        <f>'[1]Adj Cash Flow'!G7</f>
        <v>150</v>
      </c>
      <c r="H7" s="7">
        <f>'[1]Adj Cash Flow'!H7</f>
        <v>175</v>
      </c>
      <c r="I7" s="8">
        <f t="shared" ref="I7" si="1">SUM(D7:H7)</f>
        <v>555</v>
      </c>
    </row>
    <row r="8" spans="1:10" s="6" customFormat="1" ht="15.6" x14ac:dyDescent="0.3">
      <c r="A8" s="99" t="s">
        <v>856</v>
      </c>
      <c r="B8" s="99"/>
      <c r="C8" s="100"/>
      <c r="D8" s="101">
        <f>'[1]Adj Cash Flow'!D8</f>
        <v>0.06</v>
      </c>
      <c r="E8" s="101">
        <f>'[1]Adj Cash Flow'!E8</f>
        <v>0.05</v>
      </c>
      <c r="F8" s="101">
        <f>'[1]Adj Cash Flow'!F8</f>
        <v>4.4999999999999998E-2</v>
      </c>
      <c r="G8" s="101">
        <f>'[1]Adj Cash Flow'!G8</f>
        <v>0.04</v>
      </c>
      <c r="H8" s="101">
        <f>'[1]Adj Cash Flow'!H8</f>
        <v>0.04</v>
      </c>
      <c r="I8" s="102"/>
    </row>
    <row r="9" spans="1:10" ht="16.2" thickBot="1" x14ac:dyDescent="0.35">
      <c r="A9" s="1" t="s">
        <v>857</v>
      </c>
      <c r="C9" s="7">
        <f>'[1]Adj Cash Flow'!C9</f>
        <v>188.67924528301887</v>
      </c>
      <c r="D9" s="7">
        <f>'[1]Adj Cash Flow'!D9</f>
        <v>200</v>
      </c>
      <c r="E9" s="7">
        <f>'[1]Adj Cash Flow'!E9</f>
        <v>210</v>
      </c>
      <c r="F9" s="7">
        <f>'[1]Adj Cash Flow'!F9</f>
        <v>219.45</v>
      </c>
      <c r="G9" s="7">
        <f>'[1]Adj Cash Flow'!G9</f>
        <v>228.22800000000001</v>
      </c>
      <c r="H9" s="7">
        <f>'[1]Adj Cash Flow'!H9</f>
        <v>237.35712000000001</v>
      </c>
      <c r="I9" s="8">
        <f>SUM(D9:H9)/COUNTA(D9:H9)</f>
        <v>219.007024</v>
      </c>
      <c r="J9" s="1" t="s">
        <v>8</v>
      </c>
    </row>
    <row r="10" spans="1:10" s="29" customFormat="1" ht="18.600000000000001" thickBot="1" x14ac:dyDescent="0.35">
      <c r="A10" s="14" t="s">
        <v>858</v>
      </c>
      <c r="B10" s="48"/>
      <c r="C10" s="306"/>
      <c r="D10" s="197">
        <f>'[1]Adj Cash Flow'!D10</f>
        <v>15000</v>
      </c>
      <c r="E10" s="197">
        <f>'[1]Adj Cash Flow'!E10</f>
        <v>6300</v>
      </c>
      <c r="F10" s="197">
        <f>'[1]Adj Cash Flow'!F10</f>
        <v>27431.25</v>
      </c>
      <c r="G10" s="197">
        <f>'[1]Adj Cash Flow'!G10</f>
        <v>34234.200000000004</v>
      </c>
      <c r="H10" s="197">
        <f>'[1]Adj Cash Flow'!H10</f>
        <v>41537.495999999999</v>
      </c>
      <c r="I10" s="15">
        <f>SUM(D10:H10)</f>
        <v>124502.94600000001</v>
      </c>
    </row>
    <row r="11" spans="1:10" s="6" customFormat="1" ht="15.6" x14ac:dyDescent="0.3">
      <c r="A11" s="99" t="s">
        <v>859</v>
      </c>
      <c r="B11" s="99"/>
      <c r="C11" s="100"/>
      <c r="D11" s="101">
        <f>'[1]Adj Cash Flow'!D11</f>
        <v>0.08</v>
      </c>
      <c r="E11" s="101">
        <f>'[1]Adj Cash Flow'!E11</f>
        <v>7.0000000000000007E-2</v>
      </c>
      <c r="F11" s="101">
        <f>'[1]Adj Cash Flow'!F11</f>
        <v>0.06</v>
      </c>
      <c r="G11" s="101">
        <f>'[1]Adj Cash Flow'!G11</f>
        <v>0.05</v>
      </c>
      <c r="H11" s="101">
        <f>'[1]Adj Cash Flow'!H11</f>
        <v>4.4999999999999998E-2</v>
      </c>
      <c r="I11" s="102"/>
    </row>
    <row r="12" spans="1:10" s="6" customFormat="1" ht="15.6" x14ac:dyDescent="0.3">
      <c r="A12" s="4" t="s">
        <v>860</v>
      </c>
      <c r="C12" s="10"/>
      <c r="D12" s="10">
        <f>'[1]Adj Cash Flow'!D14</f>
        <v>-8250</v>
      </c>
      <c r="E12" s="10">
        <f>'[1]Adj Cash Flow'!E14</f>
        <v>-3531</v>
      </c>
      <c r="F12" s="10">
        <f>'[1]Adj Cash Flow'!F14</f>
        <v>-15595.250000000002</v>
      </c>
      <c r="G12" s="10">
        <f>'[1]Adj Cash Flow'!G14</f>
        <v>-19650.015000000003</v>
      </c>
      <c r="H12" s="10">
        <f>'[1]Adj Cash Flow'!H14</f>
        <v>-23956.643287500006</v>
      </c>
      <c r="I12" s="8">
        <f t="shared" ref="I12" si="2">SUM(D12:H12)</f>
        <v>-70982.908287500002</v>
      </c>
    </row>
    <row r="13" spans="1:10" s="6" customFormat="1" ht="15.6" x14ac:dyDescent="0.3">
      <c r="A13" s="6" t="s">
        <v>861</v>
      </c>
      <c r="C13" s="10"/>
      <c r="D13" s="10">
        <f>'[1]Adj Cash Flow'!D15</f>
        <v>110</v>
      </c>
      <c r="E13" s="10">
        <f>'[1]Adj Cash Flow'!E15</f>
        <v>117.7</v>
      </c>
      <c r="F13" s="10">
        <f>'[1]Adj Cash Flow'!F15</f>
        <v>124.76200000000001</v>
      </c>
      <c r="G13" s="10">
        <f>'[1]Adj Cash Flow'!G15</f>
        <v>131.00010000000003</v>
      </c>
      <c r="H13" s="10">
        <f>'[1]Adj Cash Flow'!H15</f>
        <v>136.89510450000003</v>
      </c>
      <c r="I13" s="8">
        <f>SUM(D13:H13)/COUNTA(D13:H13)</f>
        <v>124.07144090000001</v>
      </c>
      <c r="J13" s="1" t="s">
        <v>9</v>
      </c>
    </row>
    <row r="14" spans="1:10" s="6" customFormat="1" ht="15.6" x14ac:dyDescent="0.3">
      <c r="A14" s="6" t="s">
        <v>862</v>
      </c>
      <c r="C14" s="10"/>
      <c r="D14" s="10">
        <f>'[1]Adj Cash Flow'!D16</f>
        <v>136.66666666666666</v>
      </c>
      <c r="E14" s="10">
        <f>'[1]Adj Cash Flow'!E16</f>
        <v>217.7</v>
      </c>
      <c r="F14" s="10">
        <f>'[1]Adj Cash Flow'!F16</f>
        <v>150.202</v>
      </c>
      <c r="G14" s="10">
        <f>'[1]Adj Cash Flow'!G16</f>
        <v>153.26010000000002</v>
      </c>
      <c r="H14" s="10">
        <f>'[1]Adj Cash Flow'!H16</f>
        <v>156.83370450000004</v>
      </c>
      <c r="I14" s="8">
        <f>SUM(D14:H14)/COUNTA(D14:H14)</f>
        <v>162.93249423333336</v>
      </c>
      <c r="J14" s="1" t="s">
        <v>9</v>
      </c>
    </row>
    <row r="15" spans="1:10" s="6" customFormat="1" ht="16.2" thickBot="1" x14ac:dyDescent="0.35">
      <c r="A15" s="5" t="s">
        <v>863</v>
      </c>
      <c r="C15" s="10"/>
      <c r="D15" s="9">
        <v>150</v>
      </c>
      <c r="E15" s="9">
        <v>200</v>
      </c>
      <c r="F15" s="9">
        <v>250</v>
      </c>
      <c r="G15" s="9">
        <v>300</v>
      </c>
      <c r="H15" s="9">
        <v>350</v>
      </c>
      <c r="I15" s="8"/>
      <c r="J15" s="1"/>
    </row>
    <row r="16" spans="1:10" s="6" customFormat="1" ht="18.600000000000001" thickBot="1" x14ac:dyDescent="0.35">
      <c r="A16" s="18" t="s">
        <v>864</v>
      </c>
      <c r="C16" s="10"/>
      <c r="D16" s="8">
        <f>D10+D12</f>
        <v>6750</v>
      </c>
      <c r="E16" s="8">
        <f>E10+E12</f>
        <v>2769</v>
      </c>
      <c r="F16" s="8">
        <f>F10+F12</f>
        <v>11835.999999999998</v>
      </c>
      <c r="G16" s="8">
        <f>G10+G12</f>
        <v>14584.185000000001</v>
      </c>
      <c r="H16" s="8">
        <f>H10+H12</f>
        <v>17580.852712499993</v>
      </c>
      <c r="I16" s="15">
        <f>SUM(C16:H16)</f>
        <v>53520.037712499994</v>
      </c>
      <c r="J16" s="1"/>
    </row>
    <row r="17" spans="1:13" s="143" customFormat="1" ht="28.8" x14ac:dyDescent="0.3">
      <c r="A17" s="307" t="s">
        <v>865</v>
      </c>
      <c r="B17" s="308"/>
      <c r="C17" s="309"/>
      <c r="D17" s="309">
        <f>'[1]Adj Cash Flow'!D17</f>
        <v>5000</v>
      </c>
      <c r="E17" s="309">
        <f>'[1]Adj Cash Flow'!E17</f>
        <v>6000</v>
      </c>
      <c r="F17" s="309">
        <f>'[1]Adj Cash Flow'!F17</f>
        <v>7000</v>
      </c>
      <c r="G17" s="309">
        <f>'[1]Adj Cash Flow'!G17</f>
        <v>8000</v>
      </c>
      <c r="H17" s="309">
        <f>'[1]Adj Cash Flow'!H17</f>
        <v>9000</v>
      </c>
      <c r="I17" s="310">
        <f t="shared" ref="I17:I37" si="3">SUM(D17:H17)</f>
        <v>35000</v>
      </c>
      <c r="J17" s="308" t="s">
        <v>866</v>
      </c>
      <c r="K17" s="308"/>
      <c r="L17" s="308"/>
      <c r="M17" s="308"/>
    </row>
    <row r="18" spans="1:13" s="143" customFormat="1" ht="15.6" x14ac:dyDescent="0.3">
      <c r="A18" s="308" t="s">
        <v>867</v>
      </c>
      <c r="B18" s="308"/>
      <c r="C18" s="309"/>
      <c r="D18" s="309">
        <f>'[1]Adj Cash Flow'!D18</f>
        <v>-5000</v>
      </c>
      <c r="E18" s="309">
        <f>'[1]Adj Cash Flow'!E18</f>
        <v>-6000</v>
      </c>
      <c r="F18" s="309">
        <f>'[1]Adj Cash Flow'!F18</f>
        <v>-7000</v>
      </c>
      <c r="G18" s="309">
        <f>'[1]Adj Cash Flow'!G18</f>
        <v>-8000</v>
      </c>
      <c r="H18" s="309">
        <f>'[1]Adj Cash Flow'!H18</f>
        <v>-9000</v>
      </c>
      <c r="I18" s="310">
        <f t="shared" si="3"/>
        <v>-35000</v>
      </c>
      <c r="J18" s="308" t="s">
        <v>866</v>
      </c>
      <c r="K18" s="308"/>
      <c r="L18" s="308"/>
      <c r="M18" s="308"/>
    </row>
    <row r="19" spans="1:13" s="6" customFormat="1" ht="15.6" x14ac:dyDescent="0.3">
      <c r="A19" s="99" t="s">
        <v>868</v>
      </c>
      <c r="B19" s="99"/>
      <c r="C19" s="100"/>
      <c r="D19" s="101">
        <f>'[1]Adj Cash Flow'!D19</f>
        <v>0.08</v>
      </c>
      <c r="E19" s="101">
        <f>'[1]Adj Cash Flow'!E19</f>
        <v>7.0000000000000007E-2</v>
      </c>
      <c r="F19" s="101">
        <f>'[1]Adj Cash Flow'!F19</f>
        <v>0.06</v>
      </c>
      <c r="G19" s="101">
        <f>'[1]Adj Cash Flow'!G19</f>
        <v>0.05</v>
      </c>
      <c r="H19" s="101">
        <f>'[1]Adj Cash Flow'!H19</f>
        <v>4.4999999999999998E-2</v>
      </c>
      <c r="I19" s="102"/>
    </row>
    <row r="20" spans="1:13" s="6" customFormat="1" ht="28.8" x14ac:dyDescent="0.3">
      <c r="A20" s="258" t="s">
        <v>869</v>
      </c>
      <c r="B20" s="111">
        <v>1</v>
      </c>
      <c r="C20" s="10"/>
      <c r="D20" s="10">
        <f>'[1]Adj Cash Flow'!D13</f>
        <v>-2000</v>
      </c>
      <c r="E20" s="10">
        <f>'[1]Adj Cash Flow'!E13</f>
        <v>-3000</v>
      </c>
      <c r="F20" s="10">
        <f>'[1]Adj Cash Flow'!F13</f>
        <v>-3180</v>
      </c>
      <c r="G20" s="10">
        <f>'[1]Adj Cash Flow'!G13</f>
        <v>-3339</v>
      </c>
      <c r="H20" s="10">
        <f>'[1]Adj Cash Flow'!H13</f>
        <v>-3489.2549999999997</v>
      </c>
      <c r="I20" s="8">
        <f t="shared" ref="I20:I26" si="4">SUM(D20:H20)</f>
        <v>-15008.254999999999</v>
      </c>
    </row>
    <row r="21" spans="1:13" s="315" customFormat="1" x14ac:dyDescent="0.3">
      <c r="A21" s="311" t="s">
        <v>870</v>
      </c>
      <c r="B21" s="312">
        <v>0.15</v>
      </c>
      <c r="C21" s="313"/>
      <c r="D21" s="313">
        <f>D20*$B$21</f>
        <v>-300</v>
      </c>
      <c r="E21" s="313">
        <f>E20*$B$21</f>
        <v>-450</v>
      </c>
      <c r="F21" s="313">
        <f>F20*$B$21</f>
        <v>-477</v>
      </c>
      <c r="G21" s="313">
        <f>G20*$B$21</f>
        <v>-500.84999999999997</v>
      </c>
      <c r="H21" s="313">
        <f>H20*$B$21</f>
        <v>-523.38824999999997</v>
      </c>
      <c r="I21" s="314">
        <f t="shared" si="4"/>
        <v>-2251.2382499999999</v>
      </c>
    </row>
    <row r="22" spans="1:13" s="315" customFormat="1" x14ac:dyDescent="0.3">
      <c r="A22" s="311" t="s">
        <v>871</v>
      </c>
      <c r="B22" s="312">
        <v>0.5</v>
      </c>
      <c r="C22" s="313"/>
      <c r="D22" s="313">
        <f>D20*$B$22</f>
        <v>-1000</v>
      </c>
      <c r="E22" s="313">
        <f>E20*$B$22</f>
        <v>-1500</v>
      </c>
      <c r="F22" s="313">
        <f>F20*$B$22</f>
        <v>-1590</v>
      </c>
      <c r="G22" s="313">
        <f>G20*$B$22</f>
        <v>-1669.5</v>
      </c>
      <c r="H22" s="313">
        <f>H20*$B$22</f>
        <v>-1744.6274999999998</v>
      </c>
      <c r="I22" s="314">
        <f t="shared" si="4"/>
        <v>-7504.1274999999996</v>
      </c>
    </row>
    <row r="23" spans="1:13" s="315" customFormat="1" x14ac:dyDescent="0.3">
      <c r="A23" s="99" t="s">
        <v>872</v>
      </c>
      <c r="B23" s="107">
        <v>0.2</v>
      </c>
      <c r="C23" s="100"/>
      <c r="D23" s="100">
        <f>D20*$B$23</f>
        <v>-400</v>
      </c>
      <c r="E23" s="100">
        <f>E20*$B$23</f>
        <v>-600</v>
      </c>
      <c r="F23" s="100">
        <f>F20*$B$23</f>
        <v>-636</v>
      </c>
      <c r="G23" s="100">
        <f>G20*$B$23</f>
        <v>-667.80000000000007</v>
      </c>
      <c r="H23" s="100">
        <f>H20*$B$23</f>
        <v>-697.851</v>
      </c>
      <c r="I23" s="316">
        <f t="shared" si="4"/>
        <v>-3001.6510000000003</v>
      </c>
    </row>
    <row r="24" spans="1:13" s="315" customFormat="1" x14ac:dyDescent="0.3">
      <c r="A24" s="99" t="s">
        <v>873</v>
      </c>
      <c r="B24" s="107">
        <v>0.15</v>
      </c>
      <c r="C24" s="100"/>
      <c r="D24" s="100">
        <f>D20*$B$24</f>
        <v>-300</v>
      </c>
      <c r="E24" s="100">
        <f>E20*$B$24</f>
        <v>-450</v>
      </c>
      <c r="F24" s="100">
        <f>F20*$B$24</f>
        <v>-477</v>
      </c>
      <c r="G24" s="100">
        <f>G20*$B$24</f>
        <v>-500.84999999999997</v>
      </c>
      <c r="H24" s="100">
        <f>H20*$B$24</f>
        <v>-523.38824999999997</v>
      </c>
      <c r="I24" s="316">
        <f t="shared" si="4"/>
        <v>-2251.2382499999999</v>
      </c>
    </row>
    <row r="25" spans="1:13" s="315" customFormat="1" x14ac:dyDescent="0.3">
      <c r="A25" s="99" t="s">
        <v>874</v>
      </c>
      <c r="B25" s="107">
        <v>0.02</v>
      </c>
      <c r="C25" s="100"/>
      <c r="D25" s="100">
        <f>$B$25*(-D65)</f>
        <v>-135.5</v>
      </c>
      <c r="E25" s="100">
        <f t="shared" ref="E25:H25" si="5">$B$25*(-E65)</f>
        <v>-196.6</v>
      </c>
      <c r="F25" s="100">
        <f t="shared" si="5"/>
        <v>-171.63400000000001</v>
      </c>
      <c r="G25" s="100">
        <f t="shared" si="5"/>
        <v>-147.73576</v>
      </c>
      <c r="H25" s="100">
        <f t="shared" si="5"/>
        <v>-123.71088640000001</v>
      </c>
      <c r="I25" s="316">
        <f t="shared" si="4"/>
        <v>-775.18064640000011</v>
      </c>
    </row>
    <row r="26" spans="1:13" s="29" customFormat="1" ht="16.2" thickBot="1" x14ac:dyDescent="0.35">
      <c r="A26" s="48" t="s">
        <v>875</v>
      </c>
      <c r="B26" s="48"/>
      <c r="C26" s="306"/>
      <c r="D26" s="306">
        <f>D20+D12</f>
        <v>-10250</v>
      </c>
      <c r="E26" s="306">
        <f>E20+E12</f>
        <v>-6531</v>
      </c>
      <c r="F26" s="306">
        <f>F20+F12</f>
        <v>-18775.25</v>
      </c>
      <c r="G26" s="306">
        <f>G20+G12</f>
        <v>-22989.015000000003</v>
      </c>
      <c r="H26" s="306">
        <f>H20+H12</f>
        <v>-27445.898287500007</v>
      </c>
      <c r="I26" s="8">
        <f t="shared" si="4"/>
        <v>-85991.163287500007</v>
      </c>
    </row>
    <row r="27" spans="1:13" s="29" customFormat="1" ht="36.6" thickBot="1" x14ac:dyDescent="0.35">
      <c r="A27" s="18" t="s">
        <v>876</v>
      </c>
      <c r="B27" s="18"/>
      <c r="C27" s="197">
        <f>C8+C22</f>
        <v>0</v>
      </c>
      <c r="D27" s="197">
        <f>D10+D26</f>
        <v>4750</v>
      </c>
      <c r="E27" s="197">
        <f>E10+E26</f>
        <v>-231</v>
      </c>
      <c r="F27" s="197">
        <f>F10+F26</f>
        <v>8656</v>
      </c>
      <c r="G27" s="197">
        <f>G10+G26</f>
        <v>11245.185000000001</v>
      </c>
      <c r="H27" s="197">
        <f>H10+H26</f>
        <v>14091.597712499992</v>
      </c>
      <c r="I27" s="15">
        <f>SUM(C27:H27)</f>
        <v>38511.782712499989</v>
      </c>
    </row>
    <row r="28" spans="1:13" s="5" customFormat="1" ht="16.2" thickBot="1" x14ac:dyDescent="0.35">
      <c r="A28" s="5" t="s">
        <v>877</v>
      </c>
      <c r="B28" s="16"/>
      <c r="C28" s="9">
        <v>0</v>
      </c>
      <c r="D28" s="9">
        <f>C28</f>
        <v>0</v>
      </c>
      <c r="E28" s="9">
        <f t="shared" ref="E28:H28" si="6">D28</f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8">
        <f t="shared" ref="I28" si="7">SUM(D28:H28)</f>
        <v>0</v>
      </c>
    </row>
    <row r="29" spans="1:13" s="14" customFormat="1" ht="36.6" thickBot="1" x14ac:dyDescent="0.35">
      <c r="A29" s="18" t="s">
        <v>878</v>
      </c>
      <c r="B29" s="18"/>
      <c r="C29" s="197">
        <f t="shared" ref="C29:H29" si="8">C10+C26</f>
        <v>0</v>
      </c>
      <c r="D29" s="197">
        <f t="shared" si="8"/>
        <v>4750</v>
      </c>
      <c r="E29" s="197">
        <f t="shared" si="8"/>
        <v>-231</v>
      </c>
      <c r="F29" s="197">
        <f t="shared" si="8"/>
        <v>8656</v>
      </c>
      <c r="G29" s="197">
        <f t="shared" si="8"/>
        <v>11245.185000000001</v>
      </c>
      <c r="H29" s="197">
        <f t="shared" si="8"/>
        <v>14091.597712499992</v>
      </c>
      <c r="I29" s="15">
        <f>SUM(C29:H29)</f>
        <v>38511.782712499989</v>
      </c>
    </row>
    <row r="30" spans="1:13" s="5" customFormat="1" ht="16.2" thickBot="1" x14ac:dyDescent="0.35">
      <c r="A30" s="5" t="s">
        <v>879</v>
      </c>
      <c r="B30" s="16"/>
      <c r="C30" s="9">
        <v>0</v>
      </c>
      <c r="D30" s="9">
        <f>'[1]Adj Cash Flow'!D21</f>
        <v>-225</v>
      </c>
      <c r="E30" s="9">
        <f>'[1]Adj Cash Flow'!E21</f>
        <v>-945</v>
      </c>
      <c r="F30" s="9">
        <f>'[1]Adj Cash Flow'!F21</f>
        <v>-1581.6333333333332</v>
      </c>
      <c r="G30" s="9">
        <f>'[1]Adj Cash Flow'!G21</f>
        <v>-1461.5786666666668</v>
      </c>
      <c r="H30" s="9">
        <f>'[1]Adj Cash Flow'!H21</f>
        <v>-1401.24368</v>
      </c>
      <c r="I30" s="8">
        <f t="shared" si="3"/>
        <v>-5614.4556799999991</v>
      </c>
    </row>
    <row r="31" spans="1:13" s="6" customFormat="1" ht="18.600000000000001" thickBot="1" x14ac:dyDescent="0.35">
      <c r="A31" s="18" t="s">
        <v>880</v>
      </c>
      <c r="C31" s="197">
        <f>C29+C30</f>
        <v>0</v>
      </c>
      <c r="D31" s="197">
        <f>D29+D30</f>
        <v>4525</v>
      </c>
      <c r="E31" s="197">
        <f t="shared" ref="E31:H31" si="9">E29+E30</f>
        <v>-1176</v>
      </c>
      <c r="F31" s="197">
        <f t="shared" si="9"/>
        <v>7074.3666666666668</v>
      </c>
      <c r="G31" s="197">
        <f t="shared" si="9"/>
        <v>9783.606333333335</v>
      </c>
      <c r="H31" s="197">
        <f t="shared" si="9"/>
        <v>12690.354032499992</v>
      </c>
      <c r="I31" s="15">
        <f>SUM(C31:H31)</f>
        <v>32897.32703249999</v>
      </c>
      <c r="J31" s="1"/>
    </row>
    <row r="32" spans="1:13" s="5" customFormat="1" ht="16.2" thickBot="1" x14ac:dyDescent="0.35">
      <c r="A32" s="5" t="s">
        <v>881</v>
      </c>
      <c r="B32" s="16"/>
      <c r="C32" s="9">
        <v>0</v>
      </c>
      <c r="D32" s="9">
        <f>C32</f>
        <v>0</v>
      </c>
      <c r="E32" s="9">
        <f t="shared" ref="E32:H32" si="10">D32</f>
        <v>0</v>
      </c>
      <c r="F32" s="9">
        <f t="shared" si="10"/>
        <v>0</v>
      </c>
      <c r="G32" s="9">
        <f t="shared" si="10"/>
        <v>0</v>
      </c>
      <c r="H32" s="9">
        <f t="shared" si="10"/>
        <v>0</v>
      </c>
      <c r="I32" s="8">
        <f t="shared" ref="I32" si="11">SUM(D32:H32)</f>
        <v>0</v>
      </c>
    </row>
    <row r="33" spans="1:11" s="47" customFormat="1" ht="18.600000000000001" thickBot="1" x14ac:dyDescent="0.35">
      <c r="A33" s="14" t="s">
        <v>882</v>
      </c>
      <c r="B33" s="317"/>
      <c r="C33" s="197">
        <f t="shared" ref="C33:H33" si="12">C29+C30</f>
        <v>0</v>
      </c>
      <c r="D33" s="197">
        <f t="shared" si="12"/>
        <v>4525</v>
      </c>
      <c r="E33" s="197">
        <f t="shared" si="12"/>
        <v>-1176</v>
      </c>
      <c r="F33" s="197">
        <f t="shared" si="12"/>
        <v>7074.3666666666668</v>
      </c>
      <c r="G33" s="197">
        <f t="shared" si="12"/>
        <v>9783.606333333335</v>
      </c>
      <c r="H33" s="197">
        <f t="shared" si="12"/>
        <v>12690.354032499992</v>
      </c>
      <c r="I33" s="15">
        <f>SUM(C33:H33)</f>
        <v>32897.32703249999</v>
      </c>
    </row>
    <row r="34" spans="1:11" s="5" customFormat="1" ht="15.6" x14ac:dyDescent="0.3">
      <c r="A34" s="5" t="s">
        <v>883</v>
      </c>
      <c r="B34" s="16"/>
      <c r="C34" s="9">
        <v>0</v>
      </c>
      <c r="D34" s="9">
        <f>C34</f>
        <v>0</v>
      </c>
      <c r="E34" s="9">
        <f t="shared" ref="E34:H34" si="13">D34</f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8">
        <f t="shared" ref="I34" si="14">SUM(D34:H34)</f>
        <v>0</v>
      </c>
    </row>
    <row r="35" spans="1:11" s="143" customFormat="1" ht="16.2" thickBot="1" x14ac:dyDescent="0.35">
      <c r="A35" s="318" t="s">
        <v>884</v>
      </c>
      <c r="B35" s="111">
        <v>0.14000000000000001</v>
      </c>
      <c r="D35" s="144">
        <f>'[1]Adj Cash Flow'!D23</f>
        <v>-700.00000000000011</v>
      </c>
      <c r="E35" s="144">
        <f>'[1]Adj Cash Flow'!E23</f>
        <v>-840.00000000000011</v>
      </c>
      <c r="F35" s="144">
        <f>'[1]Adj Cash Flow'!F23</f>
        <v>-980.00000000000011</v>
      </c>
      <c r="G35" s="144">
        <f>'[1]Adj Cash Flow'!G23</f>
        <v>-1120</v>
      </c>
      <c r="H35" s="144">
        <f>'[1]Adj Cash Flow'!H23</f>
        <v>-1260.0000000000002</v>
      </c>
      <c r="I35" s="145">
        <f t="shared" si="3"/>
        <v>-4900.0000000000009</v>
      </c>
    </row>
    <row r="36" spans="1:11" s="47" customFormat="1" ht="18.600000000000001" thickBot="1" x14ac:dyDescent="0.35">
      <c r="A36" s="14" t="s">
        <v>885</v>
      </c>
      <c r="B36" s="317"/>
      <c r="C36" s="197">
        <f t="shared" ref="C36" si="15">C32+C33</f>
        <v>0</v>
      </c>
      <c r="D36" s="197">
        <f>D33+D34+D35</f>
        <v>3825</v>
      </c>
      <c r="E36" s="197">
        <f t="shared" ref="E36:H36" si="16">E33+E34+E35</f>
        <v>-2016</v>
      </c>
      <c r="F36" s="197">
        <f t="shared" si="16"/>
        <v>6094.3666666666668</v>
      </c>
      <c r="G36" s="197">
        <f t="shared" si="16"/>
        <v>8663.606333333335</v>
      </c>
      <c r="H36" s="197">
        <f t="shared" si="16"/>
        <v>11430.354032499992</v>
      </c>
      <c r="I36" s="15">
        <f>SUM(C36:H36)</f>
        <v>27997.327032499994</v>
      </c>
    </row>
    <row r="37" spans="1:11" s="5" customFormat="1" ht="16.2" thickBot="1" x14ac:dyDescent="0.35">
      <c r="A37" s="5" t="s">
        <v>886</v>
      </c>
      <c r="B37" s="16">
        <v>0.2</v>
      </c>
      <c r="C37" s="9">
        <f t="shared" ref="C37" si="17">IF(C33&lt;0,0,-C33*$B$37)</f>
        <v>0</v>
      </c>
      <c r="D37" s="9">
        <f>'[1]Adj Cash Flow'!D24</f>
        <v>-765</v>
      </c>
      <c r="E37" s="9">
        <f>'[1]Adj Cash Flow'!E24</f>
        <v>0</v>
      </c>
      <c r="F37" s="9">
        <f>'[1]Adj Cash Flow'!F24</f>
        <v>-1218.8733333333334</v>
      </c>
      <c r="G37" s="9">
        <f>'[1]Adj Cash Flow'!G24</f>
        <v>-1732.7212666666671</v>
      </c>
      <c r="H37" s="9">
        <f>'[1]Adj Cash Flow'!H24</f>
        <v>-2286.0708064999985</v>
      </c>
      <c r="I37" s="8">
        <f t="shared" si="3"/>
        <v>-6002.6654064999984</v>
      </c>
    </row>
    <row r="38" spans="1:11" s="14" customFormat="1" ht="18.600000000000001" thickBot="1" x14ac:dyDescent="0.35">
      <c r="A38" s="14" t="s">
        <v>887</v>
      </c>
      <c r="C38" s="197">
        <f>C33+C35+C37</f>
        <v>0</v>
      </c>
      <c r="D38" s="197">
        <f>D33+D35+D37</f>
        <v>3060</v>
      </c>
      <c r="E38" s="197">
        <f t="shared" ref="E38:H38" si="18">E33+E35+E37</f>
        <v>-2016</v>
      </c>
      <c r="F38" s="197">
        <f t="shared" si="18"/>
        <v>4875.4933333333338</v>
      </c>
      <c r="G38" s="197">
        <f t="shared" si="18"/>
        <v>6930.8850666666676</v>
      </c>
      <c r="H38" s="197">
        <f t="shared" si="18"/>
        <v>9144.2832259999941</v>
      </c>
      <c r="I38" s="15">
        <f>SUM(C38:H38)</f>
        <v>21994.661625999994</v>
      </c>
    </row>
    <row r="39" spans="1:11" ht="16.2" thickBot="1" x14ac:dyDescent="0.35">
      <c r="A39" s="319" t="s">
        <v>888</v>
      </c>
      <c r="B39" s="111">
        <v>0.25</v>
      </c>
      <c r="C39" s="90"/>
      <c r="D39" s="112">
        <f>'[1]Adj Cash Flow'!D32</f>
        <v>0</v>
      </c>
      <c r="E39" s="112">
        <f>'[1]Adj Cash Flow'!E32</f>
        <v>765</v>
      </c>
      <c r="F39" s="112">
        <f>'[1]Adj Cash Flow'!F32</f>
        <v>0</v>
      </c>
      <c r="G39" s="112">
        <f>'[1]Adj Cash Flow'!G32</f>
        <v>1218.8733333333334</v>
      </c>
      <c r="H39" s="112">
        <f>'[1]Adj Cash Flow'!H32</f>
        <v>1732.7212666666669</v>
      </c>
      <c r="I39" s="320">
        <f>SUM(C39:H39)</f>
        <v>3716.5946000000004</v>
      </c>
    </row>
    <row r="40" spans="1:11" s="64" customFormat="1" ht="16.2" hidden="1" thickBot="1" x14ac:dyDescent="0.35">
      <c r="A40" s="117" t="s">
        <v>889</v>
      </c>
      <c r="B40" s="118">
        <v>0.05</v>
      </c>
      <c r="C40" s="119"/>
      <c r="D40" s="120"/>
      <c r="E40" s="120"/>
      <c r="F40" s="120"/>
      <c r="G40" s="120"/>
      <c r="H40" s="120"/>
      <c r="I40" s="121"/>
    </row>
    <row r="41" spans="1:11" s="64" customFormat="1" ht="15" hidden="1" thickBot="1" x14ac:dyDescent="0.35">
      <c r="A41" s="108" t="s">
        <v>890</v>
      </c>
      <c r="B41" s="37"/>
      <c r="C41" s="37"/>
      <c r="D41" s="37"/>
      <c r="E41" s="116">
        <f>(E29-D29)/D29</f>
        <v>-1.0486315789473684</v>
      </c>
      <c r="F41" s="116">
        <f>(F29-E29)/E29</f>
        <v>-38.471861471861473</v>
      </c>
      <c r="G41" s="116">
        <f>(G29-F29)/F29</f>
        <v>0.2991202634011092</v>
      </c>
      <c r="H41" s="116">
        <f>(H29-G29)/G29</f>
        <v>0.25312279989168612</v>
      </c>
      <c r="I41" s="126">
        <f>AVERAGE(E41:H41)</f>
        <v>-9.7420624968790115</v>
      </c>
    </row>
    <row r="42" spans="1:11" s="64" customFormat="1" ht="15" hidden="1" thickBot="1" x14ac:dyDescent="0.35">
      <c r="A42" s="119" t="s">
        <v>891</v>
      </c>
      <c r="B42" s="120"/>
      <c r="C42" s="120"/>
      <c r="D42" s="120"/>
      <c r="E42" s="125">
        <f>(E33-D33)/D33</f>
        <v>-1.2598895027624308</v>
      </c>
      <c r="F42" s="125">
        <f>(F33-E33)/E33</f>
        <v>-7.0156179138321999</v>
      </c>
      <c r="G42" s="125">
        <f>(G33-F33)/F33</f>
        <v>0.38296568361832173</v>
      </c>
      <c r="H42" s="125">
        <f>(H33-G33)/G33</f>
        <v>0.29710391037129047</v>
      </c>
      <c r="I42" s="127">
        <f t="shared" ref="I42:I43" si="19">AVERAGE(E42:H42)</f>
        <v>-1.8988594556512546</v>
      </c>
    </row>
    <row r="43" spans="1:11" s="64" customFormat="1" ht="15" hidden="1" thickBot="1" x14ac:dyDescent="0.35">
      <c r="A43" s="108" t="s">
        <v>892</v>
      </c>
      <c r="B43" s="37"/>
      <c r="C43" s="37"/>
      <c r="D43" s="37"/>
      <c r="E43" s="116">
        <f>(E38-D38)/D38</f>
        <v>-1.6588235294117648</v>
      </c>
      <c r="F43" s="116">
        <f>(F38-E38)/E38</f>
        <v>-3.4183994708994709</v>
      </c>
      <c r="G43" s="116">
        <f>(G38-F38)/F38</f>
        <v>0.42157615502841428</v>
      </c>
      <c r="H43" s="116">
        <f>(H38-G38)/G38</f>
        <v>0.31935288755233043</v>
      </c>
      <c r="I43" s="126">
        <f t="shared" si="19"/>
        <v>-1.0840734894326227</v>
      </c>
    </row>
    <row r="44" spans="1:11" ht="26.4" thickBot="1" x14ac:dyDescent="0.35">
      <c r="A44" s="161" t="s">
        <v>893</v>
      </c>
      <c r="B44" s="5"/>
      <c r="C44" s="58" t="s">
        <v>5</v>
      </c>
      <c r="D44" s="59" t="s">
        <v>0</v>
      </c>
      <c r="E44" s="59" t="s">
        <v>1</v>
      </c>
      <c r="F44" s="59" t="s">
        <v>2</v>
      </c>
      <c r="G44" s="59" t="s">
        <v>3</v>
      </c>
      <c r="H44" s="59" t="s">
        <v>4</v>
      </c>
      <c r="I44" s="9"/>
      <c r="J44" s="65"/>
      <c r="K44" s="65"/>
    </row>
    <row r="45" spans="1:11" x14ac:dyDescent="0.3">
      <c r="A45" s="5" t="s">
        <v>894</v>
      </c>
      <c r="B45" s="5"/>
      <c r="C45" s="9">
        <f>'[1]Adj Cash Flow'!C141</f>
        <v>5000</v>
      </c>
      <c r="D45" s="9">
        <f>'[1]Adj Cash Flow'!D141</f>
        <v>0</v>
      </c>
      <c r="E45" s="9">
        <f>'[1]Adj Cash Flow'!E141</f>
        <v>1711.0844748858435</v>
      </c>
      <c r="F45" s="9">
        <f>'[1]Adj Cash Flow'!F141</f>
        <v>1571.1020547945191</v>
      </c>
      <c r="G45" s="9">
        <f>'[1]Adj Cash Flow'!G141</f>
        <v>5710.896472602737</v>
      </c>
      <c r="H45" s="9">
        <f>'[1]Adj Cash Flow'!H141</f>
        <v>13333.16456780821</v>
      </c>
      <c r="I45" s="9"/>
      <c r="J45" s="65"/>
      <c r="K45" s="65"/>
    </row>
    <row r="46" spans="1:11" x14ac:dyDescent="0.3">
      <c r="A46" s="5" t="s">
        <v>895</v>
      </c>
      <c r="B46" s="5"/>
      <c r="C46" s="9">
        <f>'[1]Adj Cash Flow'!C142</f>
        <v>0</v>
      </c>
      <c r="D46" s="9">
        <f>'[1]Adj Cash Flow'!D142</f>
        <v>22000</v>
      </c>
      <c r="E46" s="9">
        <f>'[1]Adj Cash Flow'!E142</f>
        <v>17300</v>
      </c>
      <c r="F46" s="9">
        <f>'[1]Adj Cash Flow'!F142</f>
        <v>34431.25</v>
      </c>
      <c r="G46" s="9">
        <f>'[1]Adj Cash Flow'!G142</f>
        <v>42234.200000000004</v>
      </c>
      <c r="H46" s="9">
        <f>'[1]Adj Cash Flow'!H142</f>
        <v>50537.495999999999</v>
      </c>
      <c r="I46" s="9"/>
      <c r="J46" s="65"/>
      <c r="K46" s="65"/>
    </row>
    <row r="47" spans="1:11" x14ac:dyDescent="0.3">
      <c r="A47" s="5" t="s">
        <v>896</v>
      </c>
      <c r="B47" s="5"/>
      <c r="C47" s="9">
        <f>'[1]Adj Cash Flow'!C143</f>
        <v>-5000</v>
      </c>
      <c r="D47" s="9">
        <f>'[1]Adj Cash Flow'!D143</f>
        <v>-20288.915525114156</v>
      </c>
      <c r="E47" s="9">
        <f>'[1]Adj Cash Flow'!E143</f>
        <v>-17439.982420091324</v>
      </c>
      <c r="F47" s="9">
        <f>'[1]Adj Cash Flow'!F143</f>
        <v>-30291.455582191782</v>
      </c>
      <c r="G47" s="9">
        <f>'[1]Adj Cash Flow'!G143</f>
        <v>-34611.931904794532</v>
      </c>
      <c r="H47" s="9">
        <f>'[1]Adj Cash Flow'!H143</f>
        <v>-40812.164817398982</v>
      </c>
      <c r="I47" s="9"/>
      <c r="J47" s="65"/>
      <c r="K47" s="65"/>
    </row>
    <row r="48" spans="1:11" x14ac:dyDescent="0.3">
      <c r="A48" s="4" t="s">
        <v>897</v>
      </c>
      <c r="B48" s="5"/>
      <c r="C48" s="11">
        <f>'[1]Adj Cash Flow'!C144</f>
        <v>-5000</v>
      </c>
      <c r="D48" s="11">
        <f>'[1]Adj Cash Flow'!D144</f>
        <v>1711.0844748858435</v>
      </c>
      <c r="E48" s="11">
        <f>'[1]Adj Cash Flow'!E144</f>
        <v>-139.98242009132446</v>
      </c>
      <c r="F48" s="11">
        <f>'[1]Adj Cash Flow'!F144</f>
        <v>4139.794417808218</v>
      </c>
      <c r="G48" s="11">
        <f>'[1]Adj Cash Flow'!G144</f>
        <v>7622.2680952054725</v>
      </c>
      <c r="H48" s="11">
        <f>'[1]Adj Cash Flow'!H144</f>
        <v>9725.3311826010176</v>
      </c>
      <c r="I48" s="9"/>
      <c r="J48" s="65"/>
      <c r="K48" s="65"/>
    </row>
    <row r="49" spans="1:11" s="14" customFormat="1" ht="18" x14ac:dyDescent="0.3">
      <c r="A49" s="14" t="s">
        <v>898</v>
      </c>
      <c r="C49" s="199">
        <f>'[1]Adj Cash Flow'!C145</f>
        <v>0</v>
      </c>
      <c r="D49" s="199">
        <f>'[1]Adj Cash Flow'!D145</f>
        <v>1711.0844748858435</v>
      </c>
      <c r="E49" s="199">
        <f>'[1]Adj Cash Flow'!E145</f>
        <v>1571.1020547945191</v>
      </c>
      <c r="F49" s="199">
        <f>'[1]Adj Cash Flow'!F145</f>
        <v>5710.896472602737</v>
      </c>
      <c r="G49" s="199">
        <f>'[1]Adj Cash Flow'!G145</f>
        <v>13333.16456780821</v>
      </c>
      <c r="H49" s="199">
        <f>'[1]Adj Cash Flow'!H145</f>
        <v>23058.495750409227</v>
      </c>
      <c r="I49" s="197"/>
      <c r="J49" s="198"/>
      <c r="K49" s="198"/>
    </row>
    <row r="50" spans="1:11" x14ac:dyDescent="0.3">
      <c r="A50" s="5" t="s">
        <v>899</v>
      </c>
      <c r="B50" s="5"/>
      <c r="C50" s="9">
        <f>'[1]Adj Cash Flow'!C146</f>
        <v>0</v>
      </c>
      <c r="D50" s="9">
        <f>'[1]Adj Cash Flow'!D146</f>
        <v>1711.0844748858435</v>
      </c>
      <c r="E50" s="9">
        <f>'[1]Adj Cash Flow'!E146</f>
        <v>3282.1865296803626</v>
      </c>
      <c r="F50" s="9">
        <f>'[1]Adj Cash Flow'!F146</f>
        <v>8993.0830022830996</v>
      </c>
      <c r="G50" s="9">
        <f>'[1]Adj Cash Flow'!G146</f>
        <v>22326.247570091309</v>
      </c>
      <c r="H50" s="9">
        <f>'[1]Adj Cash Flow'!H146</f>
        <v>45384.743320500536</v>
      </c>
      <c r="I50" s="9"/>
      <c r="J50" s="65"/>
      <c r="K50" s="65"/>
    </row>
    <row r="51" spans="1:11" x14ac:dyDescent="0.3">
      <c r="A51" s="6" t="s">
        <v>156</v>
      </c>
      <c r="B51" s="5"/>
      <c r="C51" s="9"/>
      <c r="D51" s="9"/>
      <c r="E51" s="9"/>
      <c r="F51" s="9"/>
      <c r="G51" s="9"/>
      <c r="H51" s="9"/>
      <c r="I51" s="9"/>
      <c r="J51" s="65"/>
      <c r="K51" s="65"/>
    </row>
    <row r="52" spans="1:11" x14ac:dyDescent="0.3">
      <c r="A52" s="4" t="s">
        <v>900</v>
      </c>
      <c r="B52" s="5"/>
      <c r="C52" s="11">
        <f>C53+C54</f>
        <v>0</v>
      </c>
      <c r="D52" s="11">
        <f t="shared" ref="D52:H52" si="20">D53+D54</f>
        <v>2411.0844748858453</v>
      </c>
      <c r="E52" s="11">
        <f t="shared" si="20"/>
        <v>700.01757990867554</v>
      </c>
      <c r="F52" s="11">
        <f t="shared" si="20"/>
        <v>5119.794417808218</v>
      </c>
      <c r="G52" s="11">
        <f t="shared" si="20"/>
        <v>8742.2680952054798</v>
      </c>
      <c r="H52" s="11">
        <f t="shared" si="20"/>
        <v>10985.331182601018</v>
      </c>
      <c r="I52" s="9"/>
      <c r="J52" s="65"/>
      <c r="K52" s="65"/>
    </row>
    <row r="53" spans="1:11" x14ac:dyDescent="0.3">
      <c r="A53" s="5" t="s">
        <v>901</v>
      </c>
      <c r="B53" s="5"/>
      <c r="C53" s="9">
        <v>0</v>
      </c>
      <c r="D53" s="144">
        <f>D10+D28</f>
        <v>15000</v>
      </c>
      <c r="E53" s="144">
        <f t="shared" ref="E53:H53" si="21">E10+E28</f>
        <v>6300</v>
      </c>
      <c r="F53" s="144">
        <f t="shared" si="21"/>
        <v>27431.25</v>
      </c>
      <c r="G53" s="144">
        <f t="shared" si="21"/>
        <v>34234.200000000004</v>
      </c>
      <c r="H53" s="144">
        <f t="shared" si="21"/>
        <v>41537.495999999999</v>
      </c>
      <c r="I53" s="9"/>
      <c r="J53" s="65"/>
      <c r="K53" s="65"/>
    </row>
    <row r="54" spans="1:11" x14ac:dyDescent="0.3">
      <c r="A54" s="5" t="s">
        <v>902</v>
      </c>
      <c r="B54" s="5"/>
      <c r="C54" s="9">
        <v>0</v>
      </c>
      <c r="D54" s="144">
        <f>D26+D37-'[1]Adj Cash Flow'!D139</f>
        <v>-12588.915525114155</v>
      </c>
      <c r="E54" s="144">
        <f>E26+E37-'[1]Adj Cash Flow'!E139</f>
        <v>-5599.9824200913245</v>
      </c>
      <c r="F54" s="144">
        <f>F26+F37-'[1]Adj Cash Flow'!F139</f>
        <v>-22311.455582191782</v>
      </c>
      <c r="G54" s="144">
        <f>G26+G37-'[1]Adj Cash Flow'!G139</f>
        <v>-25491.931904794525</v>
      </c>
      <c r="H54" s="144">
        <f>H26+H37-'[1]Adj Cash Flow'!H139</f>
        <v>-30552.164817398982</v>
      </c>
      <c r="I54" s="9"/>
      <c r="J54" s="65"/>
      <c r="K54" s="65"/>
    </row>
    <row r="55" spans="1:11" x14ac:dyDescent="0.3">
      <c r="A55" s="4" t="s">
        <v>903</v>
      </c>
      <c r="B55" s="5"/>
      <c r="C55" s="11">
        <f>C56+C57</f>
        <v>5000</v>
      </c>
      <c r="D55" s="11">
        <f t="shared" ref="D55:H55" si="22">D56+D57</f>
        <v>1300</v>
      </c>
      <c r="E55" s="11">
        <f t="shared" si="22"/>
        <v>4160</v>
      </c>
      <c r="F55" s="11">
        <f t="shared" si="22"/>
        <v>-980</v>
      </c>
      <c r="G55" s="11">
        <f t="shared" si="22"/>
        <v>-1120</v>
      </c>
      <c r="H55" s="11">
        <f t="shared" si="22"/>
        <v>-1260</v>
      </c>
      <c r="I55" s="9"/>
      <c r="J55" s="65"/>
      <c r="K55" s="65"/>
    </row>
    <row r="56" spans="1:11" x14ac:dyDescent="0.3">
      <c r="A56" s="5" t="s">
        <v>904</v>
      </c>
      <c r="B56" s="5"/>
      <c r="C56" s="9">
        <f t="shared" ref="C56:H56" si="23">C17+C34+C5</f>
        <v>5000</v>
      </c>
      <c r="D56" s="9">
        <f t="shared" si="23"/>
        <v>7000</v>
      </c>
      <c r="E56" s="9">
        <f t="shared" si="23"/>
        <v>11000</v>
      </c>
      <c r="F56" s="9">
        <f t="shared" si="23"/>
        <v>7000</v>
      </c>
      <c r="G56" s="9">
        <f t="shared" si="23"/>
        <v>8000</v>
      </c>
      <c r="H56" s="9">
        <f t="shared" si="23"/>
        <v>9000</v>
      </c>
      <c r="I56" s="9"/>
      <c r="J56" s="65"/>
      <c r="K56" s="65"/>
    </row>
    <row r="57" spans="1:11" x14ac:dyDescent="0.3">
      <c r="A57" s="5" t="s">
        <v>905</v>
      </c>
      <c r="B57" s="5"/>
      <c r="C57" s="9">
        <f t="shared" ref="C57:H57" si="24">C18+C35</f>
        <v>0</v>
      </c>
      <c r="D57" s="9">
        <f t="shared" si="24"/>
        <v>-5700</v>
      </c>
      <c r="E57" s="9">
        <f t="shared" si="24"/>
        <v>-6840</v>
      </c>
      <c r="F57" s="9">
        <f t="shared" si="24"/>
        <v>-7980</v>
      </c>
      <c r="G57" s="9">
        <f t="shared" si="24"/>
        <v>-9120</v>
      </c>
      <c r="H57" s="9">
        <f t="shared" si="24"/>
        <v>-10260</v>
      </c>
      <c r="I57" s="9"/>
      <c r="J57" s="65"/>
      <c r="K57" s="65"/>
    </row>
    <row r="58" spans="1:11" x14ac:dyDescent="0.3">
      <c r="A58" s="4" t="s">
        <v>906</v>
      </c>
      <c r="B58" s="5"/>
      <c r="C58" s="11">
        <f>C59+C60</f>
        <v>-5000</v>
      </c>
      <c r="D58" s="11">
        <f t="shared" ref="D58:H58" si="25">D59+D60</f>
        <v>-2000</v>
      </c>
      <c r="E58" s="11">
        <f t="shared" si="25"/>
        <v>-5000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9"/>
      <c r="J58" s="65"/>
      <c r="K58" s="65"/>
    </row>
    <row r="59" spans="1:11" x14ac:dyDescent="0.3">
      <c r="A59" s="5" t="s">
        <v>907</v>
      </c>
      <c r="B59" s="5"/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65"/>
      <c r="K59" s="65"/>
    </row>
    <row r="60" spans="1:11" ht="15" thickBot="1" x14ac:dyDescent="0.35">
      <c r="A60" s="5" t="s">
        <v>908</v>
      </c>
      <c r="B60" s="5"/>
      <c r="C60" s="9">
        <f t="shared" ref="C60:H60" si="26">C6</f>
        <v>-5000</v>
      </c>
      <c r="D60" s="9">
        <f t="shared" si="26"/>
        <v>-2000</v>
      </c>
      <c r="E60" s="9">
        <f t="shared" si="26"/>
        <v>-5000</v>
      </c>
      <c r="F60" s="9">
        <f t="shared" si="26"/>
        <v>0</v>
      </c>
      <c r="G60" s="9">
        <f t="shared" si="26"/>
        <v>0</v>
      </c>
      <c r="H60" s="9">
        <f t="shared" si="26"/>
        <v>0</v>
      </c>
      <c r="I60" s="9"/>
      <c r="J60" s="65"/>
      <c r="K60" s="65"/>
    </row>
    <row r="61" spans="1:11" s="64" customFormat="1" ht="26.4" thickBot="1" x14ac:dyDescent="0.35">
      <c r="A61" s="321" t="s">
        <v>212</v>
      </c>
      <c r="B61" s="322"/>
      <c r="C61" s="216" t="s">
        <v>5</v>
      </c>
      <c r="D61" s="217" t="s">
        <v>0</v>
      </c>
      <c r="E61" s="217" t="s">
        <v>1</v>
      </c>
      <c r="F61" s="217" t="s">
        <v>2</v>
      </c>
      <c r="G61" s="217" t="s">
        <v>3</v>
      </c>
      <c r="H61" s="217" t="s">
        <v>4</v>
      </c>
      <c r="I61" s="155"/>
    </row>
    <row r="62" spans="1:11" s="64" customFormat="1" ht="23.4" x14ac:dyDescent="0.3">
      <c r="A62" s="220" t="s">
        <v>90</v>
      </c>
      <c r="B62" s="200"/>
      <c r="C62" s="200"/>
      <c r="D62" s="200"/>
      <c r="E62" s="201"/>
      <c r="F62" s="201"/>
      <c r="G62" s="201"/>
      <c r="H62" s="202"/>
      <c r="I62" s="155"/>
    </row>
    <row r="63" spans="1:11" s="64" customFormat="1" ht="18" x14ac:dyDescent="0.3">
      <c r="A63" s="203" t="s">
        <v>95</v>
      </c>
      <c r="B63" s="218"/>
      <c r="C63" s="205">
        <f>SUM(C65:C67)</f>
        <v>5000</v>
      </c>
      <c r="D63" s="205">
        <f t="shared" ref="D63:H63" si="27">SUM(D65:D67)</f>
        <v>6775</v>
      </c>
      <c r="E63" s="205">
        <f t="shared" si="27"/>
        <v>10830</v>
      </c>
      <c r="F63" s="205">
        <f t="shared" si="27"/>
        <v>9248.3666666666668</v>
      </c>
      <c r="G63" s="205">
        <f t="shared" si="27"/>
        <v>7786.7880000000005</v>
      </c>
      <c r="H63" s="206">
        <f t="shared" si="27"/>
        <v>6385.54432</v>
      </c>
      <c r="I63" s="155"/>
    </row>
    <row r="64" spans="1:11" s="64" customFormat="1" x14ac:dyDescent="0.3">
      <c r="A64" s="207" t="s">
        <v>94</v>
      </c>
      <c r="B64" s="204"/>
      <c r="C64" s="204"/>
      <c r="D64" s="204"/>
      <c r="E64" s="208"/>
      <c r="F64" s="208"/>
      <c r="G64" s="208"/>
      <c r="H64" s="209"/>
      <c r="I64" s="155"/>
    </row>
    <row r="65" spans="1:9" s="64" customFormat="1" ht="15.6" x14ac:dyDescent="0.3">
      <c r="A65" s="210" t="s">
        <v>909</v>
      </c>
      <c r="B65" s="204"/>
      <c r="C65" s="204">
        <f>'[1]Adj Cash Flow'!C151</f>
        <v>5000</v>
      </c>
      <c r="D65" s="204">
        <f>'[1]Adj Cash Flow'!D151</f>
        <v>6775</v>
      </c>
      <c r="E65" s="204">
        <f>'[1]Adj Cash Flow'!E151</f>
        <v>9830</v>
      </c>
      <c r="F65" s="204">
        <f>'[1]Adj Cash Flow'!F151</f>
        <v>8581.7000000000007</v>
      </c>
      <c r="G65" s="204">
        <f>'[1]Adj Cash Flow'!G151</f>
        <v>7386.7880000000005</v>
      </c>
      <c r="H65" s="211">
        <f>'[1]Adj Cash Flow'!H151</f>
        <v>6185.54432</v>
      </c>
      <c r="I65" s="155"/>
    </row>
    <row r="66" spans="1:9" s="64" customFormat="1" ht="15.6" x14ac:dyDescent="0.3">
      <c r="A66" s="210" t="s">
        <v>185</v>
      </c>
      <c r="B66" s="204"/>
      <c r="C66" s="204">
        <f>'[1]Adj Cash Flow'!C152</f>
        <v>0</v>
      </c>
      <c r="D66" s="204">
        <f>'[1]Adj Cash Flow'!D152</f>
        <v>0</v>
      </c>
      <c r="E66" s="204">
        <f>'[1]Adj Cash Flow'!E152</f>
        <v>1000</v>
      </c>
      <c r="F66" s="204">
        <f>'[1]Adj Cash Flow'!F152</f>
        <v>666.66666666666674</v>
      </c>
      <c r="G66" s="204">
        <f>'[1]Adj Cash Flow'!G152</f>
        <v>400.00000000000006</v>
      </c>
      <c r="H66" s="211">
        <f>'[1]Adj Cash Flow'!H152</f>
        <v>200.00000000000006</v>
      </c>
      <c r="I66" s="155"/>
    </row>
    <row r="67" spans="1:9" s="64" customFormat="1" ht="15.6" x14ac:dyDescent="0.3">
      <c r="A67" s="210" t="s">
        <v>92</v>
      </c>
      <c r="B67" s="204"/>
      <c r="C67" s="204"/>
      <c r="D67" s="204"/>
      <c r="E67" s="208"/>
      <c r="F67" s="208"/>
      <c r="G67" s="208"/>
      <c r="H67" s="209"/>
      <c r="I67" s="155"/>
    </row>
    <row r="68" spans="1:9" s="64" customFormat="1" ht="18" x14ac:dyDescent="0.3">
      <c r="A68" s="203" t="s">
        <v>93</v>
      </c>
      <c r="B68" s="204"/>
      <c r="C68" s="205">
        <f t="shared" ref="C68:H68" si="28">SUM(C70:C75)</f>
        <v>0</v>
      </c>
      <c r="D68" s="205">
        <f t="shared" si="28"/>
        <v>3746.5296803652955</v>
      </c>
      <c r="E68" s="205">
        <f t="shared" si="28"/>
        <v>2506.8424657534233</v>
      </c>
      <c r="F68" s="205">
        <f t="shared" si="28"/>
        <v>9493.2636529680349</v>
      </c>
      <c r="G68" s="205">
        <f t="shared" si="28"/>
        <v>18060.758858904101</v>
      </c>
      <c r="H68" s="206">
        <f t="shared" si="28"/>
        <v>28793.253723636968</v>
      </c>
      <c r="I68" s="155"/>
    </row>
    <row r="69" spans="1:9" s="64" customFormat="1" x14ac:dyDescent="0.3">
      <c r="A69" s="207" t="s">
        <v>94</v>
      </c>
      <c r="B69" s="204"/>
      <c r="C69" s="204"/>
      <c r="D69" s="204"/>
      <c r="E69" s="208"/>
      <c r="F69" s="208"/>
      <c r="G69" s="208"/>
      <c r="H69" s="209"/>
      <c r="I69" s="155"/>
    </row>
    <row r="70" spans="1:9" s="64" customFormat="1" ht="15.6" x14ac:dyDescent="0.3">
      <c r="A70" s="210" t="s">
        <v>96</v>
      </c>
      <c r="B70" s="204"/>
      <c r="C70" s="204">
        <f>'[1]Adj Cash Flow'!C156</f>
        <v>0</v>
      </c>
      <c r="D70" s="204">
        <f>'[1]Adj Cash Flow'!D156</f>
        <v>271.23287671232879</v>
      </c>
      <c r="E70" s="204">
        <f>'[1]Adj Cash Flow'!E156</f>
        <v>116.08767123287672</v>
      </c>
      <c r="F70" s="204">
        <f>'[1]Adj Cash Flow'!F156</f>
        <v>512.72054794520545</v>
      </c>
      <c r="G70" s="204">
        <f>'[1]Adj Cash Flow'!G156</f>
        <v>646.02789041095912</v>
      </c>
      <c r="H70" s="211">
        <f>'[1]Adj Cash Flow'!H156</f>
        <v>787.61566972602759</v>
      </c>
      <c r="I70" s="155"/>
    </row>
    <row r="71" spans="1:9" s="64" customFormat="1" ht="15.6" x14ac:dyDescent="0.3">
      <c r="A71" s="210" t="s">
        <v>97</v>
      </c>
      <c r="B71" s="204"/>
      <c r="C71" s="204">
        <f>'[1]Adj Cash Flow'!C157</f>
        <v>0</v>
      </c>
      <c r="D71" s="204">
        <f>'[1]Adj Cash Flow'!D157</f>
        <v>336.98630136986299</v>
      </c>
      <c r="E71" s="204">
        <f>'[1]Adj Cash Flow'!E157</f>
        <v>214.71780821917807</v>
      </c>
      <c r="F71" s="204">
        <f>'[1]Adj Cash Flow'!F157</f>
        <v>617.26849315068489</v>
      </c>
      <c r="G71" s="204">
        <f>'[1]Adj Cash Flow'!G157</f>
        <v>755.80323287671251</v>
      </c>
      <c r="H71" s="211">
        <f>'[1]Adj Cash Flow'!H157</f>
        <v>902.33090260273991</v>
      </c>
      <c r="I71" s="155"/>
    </row>
    <row r="72" spans="1:9" s="64" customFormat="1" ht="15.6" x14ac:dyDescent="0.3">
      <c r="A72" s="210" t="s">
        <v>98</v>
      </c>
      <c r="B72" s="204"/>
      <c r="C72" s="204">
        <f>'[1]Adj Cash Flow'!C158</f>
        <v>0</v>
      </c>
      <c r="D72" s="204">
        <f>'[1]Adj Cash Flow'!D158</f>
        <v>739.72602739726028</v>
      </c>
      <c r="E72" s="204">
        <f>'[1]Adj Cash Flow'!E158</f>
        <v>310.6849315068493</v>
      </c>
      <c r="F72" s="204">
        <f>'[1]Adj Cash Flow'!F158</f>
        <v>1352.7739726027398</v>
      </c>
      <c r="G72" s="204">
        <f>'[1]Adj Cash Flow'!G158</f>
        <v>1688.2619178082196</v>
      </c>
      <c r="H72" s="211">
        <f>'[1]Adj Cash Flow'!H158</f>
        <v>2048.4244602739727</v>
      </c>
      <c r="I72" s="155"/>
    </row>
    <row r="73" spans="1:9" s="64" customFormat="1" ht="15.6" x14ac:dyDescent="0.3">
      <c r="A73" s="210" t="s">
        <v>99</v>
      </c>
      <c r="B73" s="204"/>
      <c r="C73" s="204">
        <f>'[1]Adj Cash Flow'!C159</f>
        <v>0</v>
      </c>
      <c r="D73" s="204">
        <f>'[1]Adj Cash Flow'!D159</f>
        <v>687.5</v>
      </c>
      <c r="E73" s="204">
        <f>'[1]Adj Cash Flow'!E159</f>
        <v>294.25</v>
      </c>
      <c r="F73" s="204">
        <f>'[1]Adj Cash Flow'!F159</f>
        <v>1299.6041666666667</v>
      </c>
      <c r="G73" s="204">
        <f>'[1]Adj Cash Flow'!G159</f>
        <v>1637.5012500000003</v>
      </c>
      <c r="H73" s="211">
        <f>'[1]Adj Cash Flow'!H159</f>
        <v>1996.3869406250005</v>
      </c>
      <c r="I73" s="155"/>
    </row>
    <row r="74" spans="1:9" s="64" customFormat="1" ht="15.6" x14ac:dyDescent="0.3">
      <c r="A74" s="210" t="s">
        <v>100</v>
      </c>
      <c r="B74" s="204"/>
      <c r="C74" s="204">
        <f>'[1]Adj Cash Flow'!C160</f>
        <v>0</v>
      </c>
      <c r="D74" s="204">
        <f>'[1]Adj Cash Flow'!D160</f>
        <v>1711.0844748858435</v>
      </c>
      <c r="E74" s="204">
        <f>'[1]Adj Cash Flow'!E160</f>
        <v>1571.1020547945191</v>
      </c>
      <c r="F74" s="204">
        <f>'[1]Adj Cash Flow'!F160</f>
        <v>5710.896472602737</v>
      </c>
      <c r="G74" s="204">
        <f>'[1]Adj Cash Flow'!G160</f>
        <v>13333.16456780821</v>
      </c>
      <c r="H74" s="211">
        <f>'[1]Adj Cash Flow'!H160</f>
        <v>23058.495750409227</v>
      </c>
      <c r="I74" s="155"/>
    </row>
    <row r="75" spans="1:9" s="64" customFormat="1" ht="15.6" x14ac:dyDescent="0.3">
      <c r="A75" s="210" t="s">
        <v>101</v>
      </c>
      <c r="B75" s="204"/>
      <c r="C75" s="204"/>
      <c r="D75" s="204"/>
      <c r="E75" s="208"/>
      <c r="F75" s="208"/>
      <c r="G75" s="208"/>
      <c r="H75" s="209"/>
      <c r="I75" s="155"/>
    </row>
    <row r="76" spans="1:9" s="64" customFormat="1" ht="21.6" thickBot="1" x14ac:dyDescent="0.35">
      <c r="A76" s="212" t="s">
        <v>102</v>
      </c>
      <c r="B76" s="213"/>
      <c r="C76" s="214">
        <f>C68+C63</f>
        <v>5000</v>
      </c>
      <c r="D76" s="214">
        <f t="shared" ref="D76:H76" si="29">D68+D63</f>
        <v>10521.529680365296</v>
      </c>
      <c r="E76" s="214">
        <f t="shared" si="29"/>
        <v>13336.842465753423</v>
      </c>
      <c r="F76" s="214">
        <f t="shared" si="29"/>
        <v>18741.6303196347</v>
      </c>
      <c r="G76" s="214">
        <f t="shared" si="29"/>
        <v>25847.546858904101</v>
      </c>
      <c r="H76" s="215">
        <f t="shared" si="29"/>
        <v>35178.798043636969</v>
      </c>
      <c r="I76" s="155"/>
    </row>
    <row r="77" spans="1:9" s="64" customFormat="1" ht="23.4" x14ac:dyDescent="0.3">
      <c r="A77" s="220" t="s">
        <v>103</v>
      </c>
      <c r="B77" s="200"/>
      <c r="C77" s="200"/>
      <c r="D77" s="200"/>
      <c r="E77" s="201"/>
      <c r="F77" s="201"/>
      <c r="G77" s="201"/>
      <c r="H77" s="202"/>
      <c r="I77" s="155"/>
    </row>
    <row r="78" spans="1:9" s="64" customFormat="1" ht="18" x14ac:dyDescent="0.3">
      <c r="A78" s="203" t="s">
        <v>910</v>
      </c>
      <c r="B78" s="204"/>
      <c r="C78" s="205">
        <f t="shared" ref="C78:H78" si="30">SUM(C80:C83)</f>
        <v>5000</v>
      </c>
      <c r="D78" s="205">
        <f t="shared" si="30"/>
        <v>10060</v>
      </c>
      <c r="E78" s="205">
        <f t="shared" si="30"/>
        <v>13044</v>
      </c>
      <c r="F78" s="205">
        <f t="shared" si="30"/>
        <v>17919.493333333332</v>
      </c>
      <c r="G78" s="205">
        <f t="shared" si="30"/>
        <v>24850.378400000001</v>
      </c>
      <c r="H78" s="206">
        <f t="shared" si="30"/>
        <v>33994.661625999994</v>
      </c>
      <c r="I78" s="155"/>
    </row>
    <row r="79" spans="1:9" s="64" customFormat="1" x14ac:dyDescent="0.3">
      <c r="A79" s="207" t="s">
        <v>94</v>
      </c>
      <c r="B79" s="204"/>
      <c r="C79" s="204"/>
      <c r="D79" s="204"/>
      <c r="E79" s="208"/>
      <c r="F79" s="208"/>
      <c r="G79" s="208"/>
      <c r="H79" s="209"/>
      <c r="I79" s="155"/>
    </row>
    <row r="80" spans="1:9" s="64" customFormat="1" ht="15.6" x14ac:dyDescent="0.3">
      <c r="A80" s="210" t="s">
        <v>105</v>
      </c>
      <c r="B80" s="204"/>
      <c r="C80" s="204">
        <f>'[1]Adj Cash Flow'!C166</f>
        <v>5000</v>
      </c>
      <c r="D80" s="204">
        <f>'[1]Adj Cash Flow'!D166</f>
        <v>7000</v>
      </c>
      <c r="E80" s="204">
        <f>'[1]Adj Cash Flow'!E166</f>
        <v>12000</v>
      </c>
      <c r="F80" s="204">
        <f>'[1]Adj Cash Flow'!F166</f>
        <v>12000</v>
      </c>
      <c r="G80" s="204">
        <f>'[1]Adj Cash Flow'!G166</f>
        <v>12000</v>
      </c>
      <c r="H80" s="211">
        <f>'[1]Adj Cash Flow'!H166</f>
        <v>12000</v>
      </c>
      <c r="I80" s="155"/>
    </row>
    <row r="81" spans="1:9" s="64" customFormat="1" ht="15.6" x14ac:dyDescent="0.3">
      <c r="A81" s="210" t="s">
        <v>106</v>
      </c>
      <c r="B81" s="204"/>
      <c r="C81" s="204">
        <f>'[1]Adj Cash Flow'!C167</f>
        <v>0</v>
      </c>
      <c r="D81" s="204">
        <f>'[1]Adj Cash Flow'!D167</f>
        <v>0</v>
      </c>
      <c r="E81" s="204">
        <f>'[1]Adj Cash Flow'!E167</f>
        <v>765</v>
      </c>
      <c r="F81" s="204">
        <f>'[1]Adj Cash Flow'!F167</f>
        <v>765</v>
      </c>
      <c r="G81" s="204">
        <f>'[1]Adj Cash Flow'!G167</f>
        <v>1983.8733333333334</v>
      </c>
      <c r="H81" s="211">
        <f>'[1]Adj Cash Flow'!H167</f>
        <v>3716.5946000000004</v>
      </c>
      <c r="I81" s="155"/>
    </row>
    <row r="82" spans="1:9" s="64" customFormat="1" ht="15.6" x14ac:dyDescent="0.3">
      <c r="A82" s="210" t="s">
        <v>107</v>
      </c>
      <c r="B82" s="204"/>
      <c r="C82" s="204">
        <f>'[1]Adj Cash Flow'!C168</f>
        <v>0</v>
      </c>
      <c r="D82" s="204">
        <f>'[1]Adj Cash Flow'!D168</f>
        <v>0</v>
      </c>
      <c r="E82" s="204">
        <f>'[1]Adj Cash Flow'!E168</f>
        <v>2295</v>
      </c>
      <c r="F82" s="204">
        <f>'[1]Adj Cash Flow'!F168</f>
        <v>279</v>
      </c>
      <c r="G82" s="204">
        <f>'[1]Adj Cash Flow'!G168</f>
        <v>3935.6200000000003</v>
      </c>
      <c r="H82" s="211">
        <f>'[1]Adj Cash Flow'!H168</f>
        <v>9133.7838000000011</v>
      </c>
      <c r="I82" s="155"/>
    </row>
    <row r="83" spans="1:9" s="64" customFormat="1" ht="15.6" x14ac:dyDescent="0.3">
      <c r="A83" s="210" t="s">
        <v>108</v>
      </c>
      <c r="B83" s="204"/>
      <c r="C83" s="204">
        <f>'[1]Adj Cash Flow'!C169</f>
        <v>0</v>
      </c>
      <c r="D83" s="204">
        <f>'[1]Adj Cash Flow'!D169</f>
        <v>3060</v>
      </c>
      <c r="E83" s="204">
        <f>'[1]Adj Cash Flow'!E169</f>
        <v>-2016</v>
      </c>
      <c r="F83" s="204">
        <f>'[1]Adj Cash Flow'!F169</f>
        <v>4875.4933333333338</v>
      </c>
      <c r="G83" s="204">
        <f>'[1]Adj Cash Flow'!G169</f>
        <v>6930.8850666666676</v>
      </c>
      <c r="H83" s="211">
        <f>'[1]Adj Cash Flow'!H169</f>
        <v>9144.2832259999941</v>
      </c>
      <c r="I83" s="155"/>
    </row>
    <row r="84" spans="1:9" s="64" customFormat="1" ht="18" x14ac:dyDescent="0.3">
      <c r="A84" s="203" t="s">
        <v>113</v>
      </c>
      <c r="B84" s="204"/>
      <c r="C84" s="205">
        <f>SUM(C86:C88)</f>
        <v>0</v>
      </c>
      <c r="D84" s="205">
        <f t="shared" ref="D84:H84" si="31">SUM(D86:D88)</f>
        <v>0</v>
      </c>
      <c r="E84" s="205">
        <f t="shared" si="31"/>
        <v>0</v>
      </c>
      <c r="F84" s="205">
        <f t="shared" si="31"/>
        <v>0</v>
      </c>
      <c r="G84" s="205">
        <f t="shared" si="31"/>
        <v>0</v>
      </c>
      <c r="H84" s="206">
        <f t="shared" si="31"/>
        <v>0</v>
      </c>
      <c r="I84" s="155"/>
    </row>
    <row r="85" spans="1:9" s="64" customFormat="1" x14ac:dyDescent="0.3">
      <c r="A85" s="207" t="s">
        <v>94</v>
      </c>
      <c r="B85" s="204"/>
      <c r="C85" s="204"/>
      <c r="D85" s="204"/>
      <c r="E85" s="208"/>
      <c r="F85" s="208"/>
      <c r="G85" s="208"/>
      <c r="H85" s="209"/>
      <c r="I85" s="155"/>
    </row>
    <row r="86" spans="1:9" s="64" customFormat="1" ht="15.6" x14ac:dyDescent="0.3">
      <c r="A86" s="210" t="s">
        <v>109</v>
      </c>
      <c r="B86" s="204"/>
      <c r="C86" s="204"/>
      <c r="D86" s="204"/>
      <c r="E86" s="208"/>
      <c r="F86" s="208"/>
      <c r="G86" s="208"/>
      <c r="H86" s="209"/>
      <c r="I86" s="155"/>
    </row>
    <row r="87" spans="1:9" s="64" customFormat="1" ht="15.6" x14ac:dyDescent="0.3">
      <c r="A87" s="210" t="s">
        <v>110</v>
      </c>
      <c r="B87" s="204"/>
      <c r="C87" s="204"/>
      <c r="D87" s="204"/>
      <c r="E87" s="208"/>
      <c r="F87" s="208"/>
      <c r="G87" s="208"/>
      <c r="H87" s="209"/>
      <c r="I87" s="155"/>
    </row>
    <row r="88" spans="1:9" s="64" customFormat="1" ht="15.6" x14ac:dyDescent="0.3">
      <c r="A88" s="210" t="s">
        <v>111</v>
      </c>
      <c r="B88" s="204"/>
      <c r="C88" s="204"/>
      <c r="D88" s="204"/>
      <c r="E88" s="208"/>
      <c r="F88" s="208"/>
      <c r="G88" s="208"/>
      <c r="H88" s="209"/>
      <c r="I88" s="155"/>
    </row>
    <row r="89" spans="1:9" s="64" customFormat="1" ht="18" x14ac:dyDescent="0.3">
      <c r="A89" s="203" t="s">
        <v>112</v>
      </c>
      <c r="B89" s="204"/>
      <c r="C89" s="205">
        <f>SUM(C91:C94)</f>
        <v>0</v>
      </c>
      <c r="D89" s="205">
        <f t="shared" ref="D89:H89" si="32">SUM(D91:D94)</f>
        <v>461.52968036529683</v>
      </c>
      <c r="E89" s="205">
        <f t="shared" si="32"/>
        <v>292.84246575342468</v>
      </c>
      <c r="F89" s="205">
        <f t="shared" si="32"/>
        <v>822.13698630136992</v>
      </c>
      <c r="G89" s="205">
        <f t="shared" si="32"/>
        <v>997.16845890410946</v>
      </c>
      <c r="H89" s="206">
        <f t="shared" si="32"/>
        <v>1184.1364176369862</v>
      </c>
      <c r="I89" s="155"/>
    </row>
    <row r="90" spans="1:9" s="64" customFormat="1" x14ac:dyDescent="0.3">
      <c r="A90" s="207" t="s">
        <v>94</v>
      </c>
      <c r="B90" s="204"/>
      <c r="C90" s="204"/>
      <c r="D90" s="204"/>
      <c r="E90" s="208"/>
      <c r="F90" s="208"/>
      <c r="G90" s="208"/>
      <c r="H90" s="209"/>
      <c r="I90" s="155"/>
    </row>
    <row r="91" spans="1:9" s="64" customFormat="1" ht="15.6" x14ac:dyDescent="0.3">
      <c r="A91" s="210" t="s">
        <v>114</v>
      </c>
      <c r="B91" s="204"/>
      <c r="C91" s="204"/>
      <c r="D91" s="204"/>
      <c r="E91" s="208"/>
      <c r="F91" s="208"/>
      <c r="G91" s="208"/>
      <c r="H91" s="209"/>
      <c r="I91" s="155"/>
    </row>
    <row r="92" spans="1:9" s="64" customFormat="1" ht="15.6" x14ac:dyDescent="0.3">
      <c r="A92" s="210" t="s">
        <v>115</v>
      </c>
      <c r="B92" s="204"/>
      <c r="C92" s="204"/>
      <c r="D92" s="204"/>
      <c r="E92" s="208"/>
      <c r="F92" s="208"/>
      <c r="G92" s="208"/>
      <c r="H92" s="209"/>
      <c r="I92" s="155"/>
    </row>
    <row r="93" spans="1:9" s="64" customFormat="1" ht="15.6" x14ac:dyDescent="0.3">
      <c r="A93" s="210" t="s">
        <v>116</v>
      </c>
      <c r="B93" s="204"/>
      <c r="C93" s="204">
        <f>'[1]Adj Cash Flow'!C179</f>
        <v>0</v>
      </c>
      <c r="D93" s="204">
        <f>'[1]Adj Cash Flow'!D179</f>
        <v>461.52968036529683</v>
      </c>
      <c r="E93" s="204">
        <f>'[1]Adj Cash Flow'!E179</f>
        <v>292.84246575342468</v>
      </c>
      <c r="F93" s="204">
        <f>'[1]Adj Cash Flow'!F179</f>
        <v>822.13698630136992</v>
      </c>
      <c r="G93" s="204">
        <f>'[1]Adj Cash Flow'!G179</f>
        <v>997.16845890410946</v>
      </c>
      <c r="H93" s="211">
        <f>'[1]Adj Cash Flow'!H179</f>
        <v>1184.1364176369862</v>
      </c>
      <c r="I93" s="155"/>
    </row>
    <row r="94" spans="1:9" s="64" customFormat="1" ht="15.6" x14ac:dyDescent="0.3">
      <c r="A94" s="210" t="s">
        <v>117</v>
      </c>
      <c r="B94" s="204"/>
      <c r="C94" s="204"/>
      <c r="D94" s="204"/>
      <c r="E94" s="208"/>
      <c r="F94" s="208"/>
      <c r="G94" s="208"/>
      <c r="H94" s="209"/>
      <c r="I94" s="155"/>
    </row>
    <row r="95" spans="1:9" s="64" customFormat="1" ht="21.6" thickBot="1" x14ac:dyDescent="0.35">
      <c r="A95" s="212" t="s">
        <v>118</v>
      </c>
      <c r="B95" s="213"/>
      <c r="C95" s="214">
        <f t="shared" ref="C95:H95" si="33">C78+C84+C89</f>
        <v>5000</v>
      </c>
      <c r="D95" s="214">
        <f t="shared" si="33"/>
        <v>10521.529680365296</v>
      </c>
      <c r="E95" s="214">
        <f t="shared" si="33"/>
        <v>13336.842465753425</v>
      </c>
      <c r="F95" s="214">
        <f t="shared" si="33"/>
        <v>18741.630319634703</v>
      </c>
      <c r="G95" s="214">
        <f t="shared" si="33"/>
        <v>25847.546858904112</v>
      </c>
      <c r="H95" s="215">
        <f t="shared" si="33"/>
        <v>35178.798043636983</v>
      </c>
      <c r="I95" s="155"/>
    </row>
    <row r="96" spans="1:9" ht="58.2" thickBot="1" x14ac:dyDescent="0.35">
      <c r="A96" s="323" t="s">
        <v>836</v>
      </c>
      <c r="B96" s="324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59" t="s">
        <v>4</v>
      </c>
      <c r="I96" s="60" t="s">
        <v>7</v>
      </c>
    </row>
    <row r="97" spans="1:9" customFormat="1" ht="16.2" customHeight="1" thickBot="1" x14ac:dyDescent="0.35">
      <c r="A97" s="325" t="s">
        <v>864</v>
      </c>
      <c r="B97" s="326"/>
      <c r="C97" s="327">
        <f t="shared" ref="C97:H97" si="34">C16</f>
        <v>0</v>
      </c>
      <c r="D97" s="327">
        <f t="shared" si="34"/>
        <v>6750</v>
      </c>
      <c r="E97" s="327">
        <f t="shared" si="34"/>
        <v>2769</v>
      </c>
      <c r="F97" s="327">
        <f t="shared" si="34"/>
        <v>11835.999999999998</v>
      </c>
      <c r="G97" s="327">
        <f t="shared" si="34"/>
        <v>14584.185000000001</v>
      </c>
      <c r="H97" s="327">
        <f t="shared" si="34"/>
        <v>17580.852712499993</v>
      </c>
      <c r="I97" s="276">
        <f>SUM(C97:H97)</f>
        <v>53520.037712499994</v>
      </c>
    </row>
    <row r="98" spans="1:9" customFormat="1" ht="16.2" thickBot="1" x14ac:dyDescent="0.35">
      <c r="A98" s="325" t="s">
        <v>911</v>
      </c>
      <c r="B98" s="326" t="s">
        <v>912</v>
      </c>
      <c r="C98" s="327">
        <f t="shared" ref="C98:H98" si="35">C31</f>
        <v>0</v>
      </c>
      <c r="D98" s="327">
        <f t="shared" si="35"/>
        <v>4525</v>
      </c>
      <c r="E98" s="327">
        <f t="shared" si="35"/>
        <v>-1176</v>
      </c>
      <c r="F98" s="327">
        <f t="shared" si="35"/>
        <v>7074.3666666666668</v>
      </c>
      <c r="G98" s="327">
        <f t="shared" si="35"/>
        <v>9783.606333333335</v>
      </c>
      <c r="H98" s="327">
        <f t="shared" si="35"/>
        <v>12690.354032499992</v>
      </c>
      <c r="I98" s="276">
        <f>SUM(C98:H98)</f>
        <v>32897.32703249999</v>
      </c>
    </row>
    <row r="99" spans="1:9" customFormat="1" ht="16.2" thickBot="1" x14ac:dyDescent="0.35">
      <c r="A99" s="325" t="s">
        <v>688</v>
      </c>
      <c r="B99" s="326" t="s">
        <v>689</v>
      </c>
      <c r="C99" s="327">
        <f t="shared" ref="C99:H99" si="36">C33*(1-$B$37)</f>
        <v>0</v>
      </c>
      <c r="D99" s="327">
        <f t="shared" si="36"/>
        <v>3620</v>
      </c>
      <c r="E99" s="327">
        <f t="shared" si="36"/>
        <v>-940.80000000000007</v>
      </c>
      <c r="F99" s="327">
        <f t="shared" si="36"/>
        <v>5659.4933333333338</v>
      </c>
      <c r="G99" s="327">
        <f t="shared" si="36"/>
        <v>7826.8850666666685</v>
      </c>
      <c r="H99" s="327">
        <f t="shared" si="36"/>
        <v>10152.283225999994</v>
      </c>
      <c r="I99" s="276">
        <f>SUM(C99:H99)</f>
        <v>26317.861625999998</v>
      </c>
    </row>
    <row r="100" spans="1:9" customFormat="1" ht="16.2" thickBot="1" x14ac:dyDescent="0.35">
      <c r="A100" s="325" t="s">
        <v>691</v>
      </c>
      <c r="B100" s="326" t="s">
        <v>692</v>
      </c>
      <c r="C100" s="327">
        <f t="shared" ref="C100:H100" si="37">C33</f>
        <v>0</v>
      </c>
      <c r="D100" s="327">
        <f t="shared" si="37"/>
        <v>4525</v>
      </c>
      <c r="E100" s="327">
        <f t="shared" si="37"/>
        <v>-1176</v>
      </c>
      <c r="F100" s="327">
        <f t="shared" si="37"/>
        <v>7074.3666666666668</v>
      </c>
      <c r="G100" s="327">
        <f t="shared" si="37"/>
        <v>9783.606333333335</v>
      </c>
      <c r="H100" s="327">
        <f t="shared" si="37"/>
        <v>12690.354032499992</v>
      </c>
      <c r="I100" s="276">
        <f t="shared" ref="I100:I108" si="38">SUM(C100:H100)</f>
        <v>32897.32703249999</v>
      </c>
    </row>
    <row r="101" spans="1:9" customFormat="1" ht="29.4" thickBot="1" x14ac:dyDescent="0.35">
      <c r="A101" s="325" t="s">
        <v>694</v>
      </c>
      <c r="B101" s="326" t="s">
        <v>695</v>
      </c>
      <c r="C101" s="327">
        <f t="shared" ref="C101:H101" si="39">C29</f>
        <v>0</v>
      </c>
      <c r="D101" s="327">
        <f t="shared" si="39"/>
        <v>4750</v>
      </c>
      <c r="E101" s="327">
        <f t="shared" si="39"/>
        <v>-231</v>
      </c>
      <c r="F101" s="327">
        <f t="shared" si="39"/>
        <v>8656</v>
      </c>
      <c r="G101" s="327">
        <f t="shared" si="39"/>
        <v>11245.185000000001</v>
      </c>
      <c r="H101" s="327">
        <f t="shared" si="39"/>
        <v>14091.597712499992</v>
      </c>
      <c r="I101" s="276">
        <f t="shared" si="38"/>
        <v>38511.782712499989</v>
      </c>
    </row>
    <row r="102" spans="1:9" customFormat="1" ht="29.4" thickBot="1" x14ac:dyDescent="0.35">
      <c r="A102" s="325" t="s">
        <v>697</v>
      </c>
      <c r="B102" s="326" t="s">
        <v>698</v>
      </c>
      <c r="C102" s="327">
        <f t="shared" ref="C102:H102" si="40">C101+(-C21)</f>
        <v>0</v>
      </c>
      <c r="D102" s="327">
        <f t="shared" si="40"/>
        <v>5050</v>
      </c>
      <c r="E102" s="327">
        <f t="shared" si="40"/>
        <v>219</v>
      </c>
      <c r="F102" s="327">
        <f t="shared" si="40"/>
        <v>9133</v>
      </c>
      <c r="G102" s="327">
        <f t="shared" si="40"/>
        <v>11746.035000000002</v>
      </c>
      <c r="H102" s="327">
        <f t="shared" si="40"/>
        <v>14614.985962499992</v>
      </c>
      <c r="I102" s="276">
        <f t="shared" si="38"/>
        <v>40763.020962499999</v>
      </c>
    </row>
    <row r="103" spans="1:9" customFormat="1" ht="29.4" thickBot="1" x14ac:dyDescent="0.35">
      <c r="A103" s="325" t="s">
        <v>700</v>
      </c>
      <c r="B103" s="326" t="s">
        <v>701</v>
      </c>
      <c r="C103" s="327">
        <f t="shared" ref="C103:H103" si="41">C101+(-C21-C23)</f>
        <v>0</v>
      </c>
      <c r="D103" s="327">
        <f t="shared" si="41"/>
        <v>5450</v>
      </c>
      <c r="E103" s="327">
        <f t="shared" si="41"/>
        <v>819</v>
      </c>
      <c r="F103" s="327">
        <f t="shared" si="41"/>
        <v>9769</v>
      </c>
      <c r="G103" s="327">
        <f t="shared" si="41"/>
        <v>12413.835000000001</v>
      </c>
      <c r="H103" s="327">
        <f t="shared" si="41"/>
        <v>15312.836962499992</v>
      </c>
      <c r="I103" s="276">
        <f t="shared" si="38"/>
        <v>43764.67196249999</v>
      </c>
    </row>
    <row r="104" spans="1:9" customFormat="1" ht="16.2" thickBot="1" x14ac:dyDescent="0.35">
      <c r="A104" s="325" t="s">
        <v>703</v>
      </c>
      <c r="B104" s="326" t="s">
        <v>704</v>
      </c>
      <c r="C104" s="327">
        <f t="shared" ref="C104:H104" si="42">C100+C35</f>
        <v>0</v>
      </c>
      <c r="D104" s="327">
        <f t="shared" si="42"/>
        <v>3825</v>
      </c>
      <c r="E104" s="327">
        <f t="shared" si="42"/>
        <v>-2016</v>
      </c>
      <c r="F104" s="327">
        <f t="shared" si="42"/>
        <v>6094.3666666666668</v>
      </c>
      <c r="G104" s="327">
        <f t="shared" si="42"/>
        <v>8663.606333333335</v>
      </c>
      <c r="H104" s="327">
        <f t="shared" si="42"/>
        <v>11430.354032499992</v>
      </c>
      <c r="I104" s="276">
        <f t="shared" si="38"/>
        <v>27997.327032499994</v>
      </c>
    </row>
    <row r="105" spans="1:9" ht="16.2" thickBot="1" x14ac:dyDescent="0.35">
      <c r="A105" s="325" t="s">
        <v>913</v>
      </c>
      <c r="B105" s="328" t="s">
        <v>914</v>
      </c>
      <c r="C105" s="327">
        <f t="shared" ref="C105:H105" si="43">C38</f>
        <v>0</v>
      </c>
      <c r="D105" s="327">
        <f t="shared" si="43"/>
        <v>3060</v>
      </c>
      <c r="E105" s="327">
        <f t="shared" si="43"/>
        <v>-2016</v>
      </c>
      <c r="F105" s="327">
        <f t="shared" si="43"/>
        <v>4875.4933333333338</v>
      </c>
      <c r="G105" s="327">
        <f t="shared" si="43"/>
        <v>6930.8850666666676</v>
      </c>
      <c r="H105" s="327">
        <f t="shared" si="43"/>
        <v>9144.2832259999941</v>
      </c>
      <c r="I105" s="276">
        <f t="shared" si="38"/>
        <v>21994.661625999994</v>
      </c>
    </row>
    <row r="106" spans="1:9" customFormat="1" ht="29.4" thickBot="1" x14ac:dyDescent="0.35">
      <c r="A106" s="325" t="s">
        <v>759</v>
      </c>
      <c r="B106" s="326" t="s">
        <v>760</v>
      </c>
      <c r="C106" s="327">
        <f>C98*(1-$B$37)</f>
        <v>0</v>
      </c>
      <c r="D106" s="327">
        <f>D98*(1-$B$37)</f>
        <v>3620</v>
      </c>
      <c r="E106" s="327">
        <f t="shared" ref="E106:H106" si="44">E98*(1-$B$37)</f>
        <v>-940.80000000000007</v>
      </c>
      <c r="F106" s="327">
        <f t="shared" si="44"/>
        <v>5659.4933333333338</v>
      </c>
      <c r="G106" s="327">
        <f t="shared" si="44"/>
        <v>7826.8850666666685</v>
      </c>
      <c r="H106" s="327">
        <f t="shared" si="44"/>
        <v>10152.283225999994</v>
      </c>
      <c r="I106" s="276">
        <f t="shared" si="38"/>
        <v>26317.861625999998</v>
      </c>
    </row>
    <row r="107" spans="1:9" customFormat="1" ht="29.4" thickBot="1" x14ac:dyDescent="0.35">
      <c r="A107" s="325" t="s">
        <v>759</v>
      </c>
      <c r="B107" s="326" t="s">
        <v>762</v>
      </c>
      <c r="C107" s="327">
        <f>C98*(1-$B$37)</f>
        <v>0</v>
      </c>
      <c r="D107" s="327">
        <f>D98*(1-$B$37)</f>
        <v>3620</v>
      </c>
      <c r="E107" s="327">
        <f t="shared" ref="E107:H107" si="45">E98*(1-$B$37)</f>
        <v>-940.80000000000007</v>
      </c>
      <c r="F107" s="327">
        <f t="shared" si="45"/>
        <v>5659.4933333333338</v>
      </c>
      <c r="G107" s="327">
        <f t="shared" si="45"/>
        <v>7826.8850666666685</v>
      </c>
      <c r="H107" s="327">
        <f t="shared" si="45"/>
        <v>10152.283225999994</v>
      </c>
      <c r="I107" s="276">
        <f t="shared" si="38"/>
        <v>26317.861625999998</v>
      </c>
    </row>
    <row r="108" spans="1:9" customFormat="1" ht="16.2" thickBot="1" x14ac:dyDescent="0.35">
      <c r="A108" s="325" t="s">
        <v>763</v>
      </c>
      <c r="B108" s="326" t="s">
        <v>764</v>
      </c>
      <c r="C108" s="327">
        <f t="shared" ref="C108:H108" si="46">C27</f>
        <v>0</v>
      </c>
      <c r="D108" s="327">
        <f t="shared" si="46"/>
        <v>4750</v>
      </c>
      <c r="E108" s="327">
        <f t="shared" si="46"/>
        <v>-231</v>
      </c>
      <c r="F108" s="327">
        <f t="shared" si="46"/>
        <v>8656</v>
      </c>
      <c r="G108" s="327">
        <f t="shared" si="46"/>
        <v>11245.185000000001</v>
      </c>
      <c r="H108" s="327">
        <f t="shared" si="46"/>
        <v>14091.597712499992</v>
      </c>
      <c r="I108" s="276">
        <f t="shared" si="38"/>
        <v>38511.782712499989</v>
      </c>
    </row>
    <row r="109" spans="1:9" customFormat="1" ht="16.2" thickBot="1" x14ac:dyDescent="0.35">
      <c r="A109" s="329" t="s">
        <v>915</v>
      </c>
      <c r="B109" s="330" t="s">
        <v>916</v>
      </c>
      <c r="C109" s="331"/>
      <c r="D109" s="332">
        <f>D39/D80</f>
        <v>0</v>
      </c>
      <c r="E109" s="332">
        <f>E39/E80</f>
        <v>6.3750000000000001E-2</v>
      </c>
      <c r="F109" s="332">
        <f>F39/F80</f>
        <v>0</v>
      </c>
      <c r="G109" s="332">
        <f>G39/G80</f>
        <v>0.10157277777777779</v>
      </c>
      <c r="H109" s="332">
        <f>H39/H80</f>
        <v>0.14439343888888892</v>
      </c>
      <c r="I109" s="333">
        <f>AVERAGEIF(C109:H109,"&gt;0")</f>
        <v>0.1032387388888889</v>
      </c>
    </row>
    <row r="110" spans="1:9" ht="58.2" thickBot="1" x14ac:dyDescent="0.35">
      <c r="A110" s="334" t="s">
        <v>917</v>
      </c>
      <c r="B110" s="322"/>
      <c r="C110" s="58" t="s">
        <v>5</v>
      </c>
      <c r="D110" s="59" t="s">
        <v>0</v>
      </c>
      <c r="E110" s="59" t="s">
        <v>1</v>
      </c>
      <c r="F110" s="59" t="s">
        <v>2</v>
      </c>
      <c r="G110" s="59" t="s">
        <v>3</v>
      </c>
      <c r="H110" s="59" t="s">
        <v>4</v>
      </c>
      <c r="I110" s="60" t="s">
        <v>918</v>
      </c>
    </row>
    <row r="111" spans="1:9" ht="16.2" thickBot="1" x14ac:dyDescent="0.35">
      <c r="A111" s="292" t="s">
        <v>919</v>
      </c>
      <c r="B111" s="335" t="s">
        <v>920</v>
      </c>
      <c r="C111" s="241"/>
      <c r="D111" s="241">
        <f>'[1]Proj Ratios Var'!C58</f>
        <v>0.25</v>
      </c>
      <c r="E111" s="241">
        <f>'[1]Proj Ratios Var'!D58</f>
        <v>0.17312284730195179</v>
      </c>
      <c r="F111" s="241">
        <f>'[1]Proj Ratios Var'!E58</f>
        <v>0.18592660550458714</v>
      </c>
      <c r="G111" s="241">
        <f>'[1]Proj Ratios Var'!F58</f>
        <v>0.17622608695652175</v>
      </c>
      <c r="H111" s="241">
        <f>'[1]Proj Ratios Var'!G58</f>
        <v>0.16669421487603306</v>
      </c>
      <c r="I111" s="333">
        <f>AVERAGEIF(C111:H111,"&gt;0")</f>
        <v>0.19039395092781877</v>
      </c>
    </row>
    <row r="112" spans="1:9" ht="16.2" customHeight="1" thickBot="1" x14ac:dyDescent="0.35">
      <c r="A112" s="292" t="s">
        <v>782</v>
      </c>
      <c r="B112" s="335" t="s">
        <v>783</v>
      </c>
      <c r="C112" s="241"/>
      <c r="D112" s="241">
        <f>D105/D76</f>
        <v>0.29083223570717143</v>
      </c>
      <c r="E112" s="241">
        <f t="shared" ref="E112:H112" si="47">E105/E76</f>
        <v>-0.15116021690866635</v>
      </c>
      <c r="F112" s="241">
        <f t="shared" si="47"/>
        <v>0.26014243425906847</v>
      </c>
      <c r="G112" s="241">
        <f t="shared" si="47"/>
        <v>0.26814479163151528</v>
      </c>
      <c r="H112" s="241">
        <f t="shared" si="47"/>
        <v>0.25993734108416999</v>
      </c>
      <c r="I112" s="333">
        <f>AVERAGEIF(C112:H112,"&gt;0")</f>
        <v>0.26976420067048129</v>
      </c>
    </row>
    <row r="113" spans="1:10" ht="16.2" thickBot="1" x14ac:dyDescent="0.35">
      <c r="A113" s="292" t="s">
        <v>785</v>
      </c>
      <c r="B113" s="335" t="s">
        <v>786</v>
      </c>
      <c r="C113" s="241"/>
      <c r="D113" s="241">
        <f>D105/((D76+D17*(360/365)))</f>
        <v>0.19801933387801898</v>
      </c>
      <c r="E113" s="241">
        <f>E105/((E76+E17*(360/365)))</f>
        <v>-0.10470197735540854</v>
      </c>
      <c r="F113" s="241">
        <f>F105/((F76+F17*(360/365)))</f>
        <v>0.19010928718356004</v>
      </c>
      <c r="G113" s="241">
        <f>G105/((G76+G17*(360/365)))</f>
        <v>0.20543285708325465</v>
      </c>
      <c r="H113" s="241">
        <f>H105/((H76+H17*(360/365)))</f>
        <v>0.20756275772775698</v>
      </c>
      <c r="I113" s="333">
        <f t="shared" ref="I113:I143" si="48">AVERAGEIF(C113:H113,"&gt;0")</f>
        <v>0.20028105896814768</v>
      </c>
    </row>
    <row r="114" spans="1:10" ht="16.2" thickBot="1" x14ac:dyDescent="0.35">
      <c r="A114" s="292" t="s">
        <v>788</v>
      </c>
      <c r="B114" s="335" t="s">
        <v>789</v>
      </c>
      <c r="D114" s="241">
        <f>D100/(D76-D93)</f>
        <v>0.44980119284294234</v>
      </c>
      <c r="E114" s="241">
        <f>E100/(E76-E93)</f>
        <v>-9.0156393744250246E-2</v>
      </c>
      <c r="F114" s="241">
        <f>F100/(F76-F93)</f>
        <v>0.39478608770188456</v>
      </c>
      <c r="G114" s="241">
        <f>G100/(G76-G93)</f>
        <v>0.39370049726620415</v>
      </c>
      <c r="H114" s="241">
        <f>H100/(H76-H93)</f>
        <v>0.37330431972277922</v>
      </c>
      <c r="I114" s="333">
        <f t="shared" si="48"/>
        <v>0.40289802438345257</v>
      </c>
    </row>
    <row r="115" spans="1:10" ht="16.2" thickBot="1" x14ac:dyDescent="0.35">
      <c r="A115" s="292" t="s">
        <v>791</v>
      </c>
      <c r="B115" s="335" t="s">
        <v>792</v>
      </c>
      <c r="D115" s="241">
        <f>D105/D78</f>
        <v>0.30417495029821073</v>
      </c>
      <c r="E115" s="241">
        <f>E105/E78</f>
        <v>-0.15455381784728611</v>
      </c>
      <c r="F115" s="241">
        <f>F105/F78</f>
        <v>0.27207763314736583</v>
      </c>
      <c r="G115" s="241">
        <f>G105/G78</f>
        <v>0.27890460881942414</v>
      </c>
      <c r="H115" s="241">
        <f>H105/H78</f>
        <v>0.26899174130935344</v>
      </c>
      <c r="I115" s="333">
        <f t="shared" si="48"/>
        <v>0.28103723339358855</v>
      </c>
    </row>
    <row r="116" spans="1:10" ht="16.2" thickBot="1" x14ac:dyDescent="0.35">
      <c r="A116" s="292" t="s">
        <v>794</v>
      </c>
      <c r="B116" s="335" t="s">
        <v>795</v>
      </c>
      <c r="D116" s="241">
        <f>D106/(D78+D17*(360/365)-D49)</f>
        <v>0.27258169190236942</v>
      </c>
      <c r="E116" s="241">
        <f>E106/(E78+E17*(360/365)-E49)</f>
        <v>-5.4097860725562323E-2</v>
      </c>
      <c r="F116" s="241">
        <f>F106/(F78+F17*(360/365)-F49)</f>
        <v>0.29611156055823479</v>
      </c>
      <c r="G116" s="241">
        <f>G106/(G78+G17*(360/365)-G49)</f>
        <v>0.40328917891372235</v>
      </c>
      <c r="H116" s="241">
        <f>H106/(H78+H17*(360/365)-H49)</f>
        <v>0.51240829935385046</v>
      </c>
      <c r="I116" s="333">
        <f t="shared" si="48"/>
        <v>0.37109768268204424</v>
      </c>
    </row>
    <row r="117" spans="1:10" ht="16.2" thickBot="1" x14ac:dyDescent="0.35">
      <c r="A117" s="292" t="s">
        <v>797</v>
      </c>
      <c r="B117" s="335" t="s">
        <v>798</v>
      </c>
      <c r="D117" s="241">
        <f>D100/(D78+D84)</f>
        <v>0.44980119284294234</v>
      </c>
      <c r="E117" s="241">
        <f>E100/(E78+E84)</f>
        <v>-9.0156393744250232E-2</v>
      </c>
      <c r="F117" s="241">
        <f>F100/(F78+F84)</f>
        <v>0.39478608770188445</v>
      </c>
      <c r="G117" s="241">
        <f>G100/(G78+G84)</f>
        <v>0.39370049726620399</v>
      </c>
      <c r="H117" s="241">
        <f>H100/(H78+H84)</f>
        <v>0.37330431972277911</v>
      </c>
      <c r="I117" s="333">
        <f t="shared" si="48"/>
        <v>0.40289802438345246</v>
      </c>
    </row>
    <row r="118" spans="1:10" ht="16.2" thickBot="1" x14ac:dyDescent="0.35">
      <c r="A118" s="292" t="s">
        <v>800</v>
      </c>
      <c r="B118" s="335" t="s">
        <v>801</v>
      </c>
      <c r="D118" s="241">
        <f>D105/D17</f>
        <v>0.61199999999999999</v>
      </c>
      <c r="E118" s="241">
        <f>E105/E17</f>
        <v>-0.33600000000000002</v>
      </c>
      <c r="F118" s="241">
        <f>F105/F17</f>
        <v>0.69649904761904768</v>
      </c>
      <c r="G118" s="241">
        <f>G105/G17</f>
        <v>0.86636063333333346</v>
      </c>
      <c r="H118" s="241">
        <f>H105/H17</f>
        <v>1.0160314695555548</v>
      </c>
      <c r="I118" s="333">
        <f t="shared" si="48"/>
        <v>0.79772278762698401</v>
      </c>
      <c r="J118" s="1" t="s">
        <v>921</v>
      </c>
    </row>
    <row r="119" spans="1:10" ht="16.2" thickBot="1" x14ac:dyDescent="0.35">
      <c r="A119" s="292" t="s">
        <v>803</v>
      </c>
      <c r="B119" s="335" t="s">
        <v>804</v>
      </c>
      <c r="D119" s="241">
        <f>D105/D78</f>
        <v>0.30417495029821073</v>
      </c>
      <c r="E119" s="241">
        <f>E105/E78</f>
        <v>-0.15455381784728611</v>
      </c>
      <c r="F119" s="241">
        <f>F105/F78</f>
        <v>0.27207763314736583</v>
      </c>
      <c r="G119" s="241">
        <f>G105/G78</f>
        <v>0.27890460881942414</v>
      </c>
      <c r="H119" s="241">
        <f>H105/H78</f>
        <v>0.26899174130935344</v>
      </c>
      <c r="I119" s="333">
        <f t="shared" si="48"/>
        <v>0.28103723339358855</v>
      </c>
      <c r="J119" s="1" t="s">
        <v>922</v>
      </c>
    </row>
    <row r="120" spans="1:10" ht="29.4" thickBot="1" x14ac:dyDescent="0.35">
      <c r="A120" s="292" t="s">
        <v>806</v>
      </c>
      <c r="B120" s="335" t="s">
        <v>807</v>
      </c>
      <c r="D120" s="241">
        <f>(D105/D10)*(D10/D76)*(D76/D78)</f>
        <v>0.30417495029821073</v>
      </c>
      <c r="E120" s="241">
        <f>(E105/E10)*(E10/E76)*(E76/E78)</f>
        <v>-0.15455381784728611</v>
      </c>
      <c r="F120" s="241">
        <f>(F105/F10)*(F10/F76)*(F76/F78)</f>
        <v>0.27207763314736583</v>
      </c>
      <c r="G120" s="241">
        <f>(G105/G10)*(G10/G76)*(G76/G78)</f>
        <v>0.27890460881942414</v>
      </c>
      <c r="H120" s="241">
        <f>(H105/H10)*(H10/H76)*(H76/H78)</f>
        <v>0.26899174130935338</v>
      </c>
      <c r="I120" s="333">
        <f t="shared" si="48"/>
        <v>0.28103723339358849</v>
      </c>
      <c r="J120" s="1" t="s">
        <v>923</v>
      </c>
    </row>
    <row r="121" spans="1:10" ht="16.2" thickBot="1" x14ac:dyDescent="0.35">
      <c r="A121" s="292" t="s">
        <v>809</v>
      </c>
      <c r="B121" s="335" t="s">
        <v>810</v>
      </c>
      <c r="D121" s="241">
        <f>D105/D80</f>
        <v>0.43714285714285717</v>
      </c>
      <c r="E121" s="241">
        <f t="shared" ref="E121:H121" si="49">E105/E80</f>
        <v>-0.16800000000000001</v>
      </c>
      <c r="F121" s="241">
        <f t="shared" si="49"/>
        <v>0.40629111111111116</v>
      </c>
      <c r="G121" s="241">
        <f t="shared" si="49"/>
        <v>0.57757375555555568</v>
      </c>
      <c r="H121" s="241">
        <f t="shared" si="49"/>
        <v>0.7620236021666662</v>
      </c>
      <c r="I121" s="333">
        <f t="shared" si="48"/>
        <v>0.54575783149404755</v>
      </c>
    </row>
    <row r="122" spans="1:10" ht="16.2" thickBot="1" x14ac:dyDescent="0.35">
      <c r="A122" s="292" t="s">
        <v>812</v>
      </c>
      <c r="B122" s="335" t="s">
        <v>813</v>
      </c>
      <c r="D122" s="241">
        <f>D106/D80</f>
        <v>0.51714285714285713</v>
      </c>
      <c r="E122" s="241">
        <f>E106/E80</f>
        <v>-7.8400000000000011E-2</v>
      </c>
      <c r="F122" s="241">
        <f>F106/F80</f>
        <v>0.47162444444444446</v>
      </c>
      <c r="G122" s="241">
        <f>G106/G80</f>
        <v>0.65224042222222234</v>
      </c>
      <c r="H122" s="241">
        <f>H106/H80</f>
        <v>0.84602360216666617</v>
      </c>
      <c r="I122" s="333">
        <f t="shared" si="48"/>
        <v>0.62175783149404751</v>
      </c>
      <c r="J122" s="1" t="s">
        <v>924</v>
      </c>
    </row>
    <row r="123" spans="1:10" ht="15" thickBot="1" x14ac:dyDescent="0.35">
      <c r="A123" s="292" t="s">
        <v>815</v>
      </c>
      <c r="B123" s="335" t="s">
        <v>816</v>
      </c>
      <c r="D123" s="379" t="s">
        <v>925</v>
      </c>
      <c r="E123" s="379"/>
      <c r="F123" s="379"/>
      <c r="G123" s="379"/>
      <c r="H123" s="380"/>
    </row>
    <row r="124" spans="1:10" ht="16.2" thickBot="1" x14ac:dyDescent="0.35">
      <c r="A124" s="292" t="s">
        <v>818</v>
      </c>
      <c r="B124" s="335" t="s">
        <v>819</v>
      </c>
      <c r="D124" s="241">
        <f>D105/(D63+'[1]Adj Cash Flow'!D129)</f>
        <v>0.36651466777874253</v>
      </c>
      <c r="E124" s="241">
        <f>E105/(E63+'[1]Adj Cash Flow'!E129)</f>
        <v>-0.17571846360251864</v>
      </c>
      <c r="F124" s="241">
        <f>F105/(F63+'[1]Adj Cash Flow'!F129)</f>
        <v>0.39934919540308017</v>
      </c>
      <c r="G124" s="241">
        <f>G105/(G63+'[1]Adj Cash Flow'!G129)</f>
        <v>0.6017848732906339</v>
      </c>
      <c r="H124" s="241">
        <f>H105/(H63+'[1]Adj Cash Flow'!H129)</f>
        <v>0.83615074332493455</v>
      </c>
      <c r="I124" s="333">
        <f t="shared" si="48"/>
        <v>0.5509498699493478</v>
      </c>
    </row>
    <row r="125" spans="1:10" ht="16.2" thickBot="1" x14ac:dyDescent="0.35">
      <c r="A125" s="292" t="s">
        <v>821</v>
      </c>
      <c r="B125" s="335" t="s">
        <v>822</v>
      </c>
      <c r="D125" s="241">
        <f>D105/D10</f>
        <v>0.20399999999999999</v>
      </c>
      <c r="E125" s="241">
        <f>E105/E10</f>
        <v>-0.32</v>
      </c>
      <c r="F125" s="241">
        <f>F105/F10</f>
        <v>0.17773500417710947</v>
      </c>
      <c r="G125" s="241">
        <f>G105/G10</f>
        <v>0.20245500308658204</v>
      </c>
      <c r="H125" s="241">
        <f>H105/H10</f>
        <v>0.22014526889150934</v>
      </c>
      <c r="I125" s="333">
        <f t="shared" si="48"/>
        <v>0.20108381903880021</v>
      </c>
    </row>
    <row r="126" spans="1:10" ht="15" thickBot="1" x14ac:dyDescent="0.35">
      <c r="A126" s="292" t="s">
        <v>824</v>
      </c>
      <c r="B126" s="335" t="s">
        <v>825</v>
      </c>
      <c r="D126" s="379" t="s">
        <v>925</v>
      </c>
      <c r="E126" s="379"/>
      <c r="F126" s="379"/>
      <c r="G126" s="379"/>
      <c r="H126" s="380"/>
    </row>
    <row r="127" spans="1:10" ht="16.2" thickBot="1" x14ac:dyDescent="0.35">
      <c r="A127" s="292" t="s">
        <v>827</v>
      </c>
      <c r="B127" s="335" t="s">
        <v>828</v>
      </c>
      <c r="D127" s="241">
        <f>(D82+D83)/D105</f>
        <v>1</v>
      </c>
      <c r="E127" s="241">
        <f>(E82+E83)/E105</f>
        <v>-0.13839285714285715</v>
      </c>
      <c r="F127" s="241">
        <f>(F82+F83)/F105</f>
        <v>1.0572249782586105</v>
      </c>
      <c r="G127" s="241">
        <f>(G82+G83)/G105</f>
        <v>1.5678380123381261</v>
      </c>
      <c r="H127" s="241">
        <f>(H82+H83)/H105</f>
        <v>1.9988518043743289</v>
      </c>
      <c r="I127" s="333">
        <f t="shared" si="48"/>
        <v>1.4059786987427665</v>
      </c>
    </row>
    <row r="128" spans="1:10" ht="16.2" thickBot="1" x14ac:dyDescent="0.35">
      <c r="A128" s="292" t="s">
        <v>830</v>
      </c>
      <c r="B128" s="335" t="s">
        <v>831</v>
      </c>
      <c r="D128" s="241">
        <f>D100/D10</f>
        <v>0.30166666666666669</v>
      </c>
      <c r="E128" s="241">
        <f>E100/E10</f>
        <v>-0.18666666666666668</v>
      </c>
      <c r="F128" s="241">
        <f>F100/F10</f>
        <v>0.25789443305232779</v>
      </c>
      <c r="G128" s="241">
        <f>G100/G10</f>
        <v>0.28578457604773394</v>
      </c>
      <c r="H128" s="241">
        <f>H100/H10</f>
        <v>0.30551562454559111</v>
      </c>
      <c r="I128" s="333">
        <f t="shared" si="48"/>
        <v>0.28771532507807984</v>
      </c>
    </row>
    <row r="129" spans="1:10" ht="29.4" thickBot="1" x14ac:dyDescent="0.35">
      <c r="A129" s="292" t="s">
        <v>771</v>
      </c>
      <c r="B129" s="335" t="s">
        <v>772</v>
      </c>
      <c r="D129" s="241">
        <f>D39/D10</f>
        <v>0</v>
      </c>
      <c r="E129" s="241">
        <f>E39/E10</f>
        <v>0.12142857142857143</v>
      </c>
      <c r="F129" s="241">
        <f>F39/F10</f>
        <v>0</v>
      </c>
      <c r="G129" s="241">
        <f>G39/G10</f>
        <v>3.5603967182914552E-2</v>
      </c>
      <c r="H129" s="241">
        <f>H39/H10</f>
        <v>4.1714629756850703E-2</v>
      </c>
      <c r="I129" s="333">
        <f t="shared" si="48"/>
        <v>6.6249056122778885E-2</v>
      </c>
    </row>
    <row r="130" spans="1:10" ht="29.4" thickBot="1" x14ac:dyDescent="0.35">
      <c r="A130" s="292" t="s">
        <v>754</v>
      </c>
      <c r="B130" s="258" t="s">
        <v>755</v>
      </c>
      <c r="D130" s="241">
        <f>D105/D10</f>
        <v>0.20399999999999999</v>
      </c>
      <c r="E130" s="241">
        <f>E105/E10</f>
        <v>-0.32</v>
      </c>
      <c r="F130" s="241">
        <f>F105/F10</f>
        <v>0.17773500417710947</v>
      </c>
      <c r="G130" s="241">
        <f>G105/G10</f>
        <v>0.20245500308658204</v>
      </c>
      <c r="H130" s="241">
        <f>H105/H10</f>
        <v>0.22014526889150934</v>
      </c>
      <c r="I130" s="333">
        <f t="shared" si="48"/>
        <v>0.20108381903880021</v>
      </c>
    </row>
    <row r="131" spans="1:10" ht="29.4" thickBot="1" x14ac:dyDescent="0.35">
      <c r="A131" s="64" t="s">
        <v>742</v>
      </c>
      <c r="B131" s="258" t="str">
        <f>A131</f>
        <v>Investments Turnover</v>
      </c>
      <c r="D131" s="241">
        <f>D10/D76</f>
        <v>1.4256482142508404</v>
      </c>
      <c r="E131" s="241">
        <f>E10/E76</f>
        <v>0.47237567783958234</v>
      </c>
      <c r="F131" s="241">
        <f>F10/F76</f>
        <v>1.4636533499042292</v>
      </c>
      <c r="G131" s="241">
        <f>G10/G76</f>
        <v>1.3244661161415721</v>
      </c>
      <c r="H131" s="241">
        <f>H10/H76</f>
        <v>1.1807537013764793</v>
      </c>
      <c r="I131" s="333">
        <f t="shared" si="48"/>
        <v>1.1733794119025407</v>
      </c>
    </row>
    <row r="132" spans="1:10" ht="43.8" thickBot="1" x14ac:dyDescent="0.35">
      <c r="A132" s="292" t="s">
        <v>730</v>
      </c>
      <c r="B132" s="258" t="s">
        <v>926</v>
      </c>
      <c r="D132" s="241">
        <f>D16/D10</f>
        <v>0.45</v>
      </c>
      <c r="E132" s="241">
        <f>E16/E10</f>
        <v>0.43952380952380954</v>
      </c>
      <c r="F132" s="241">
        <f>F16/F10</f>
        <v>0.43147869674185457</v>
      </c>
      <c r="G132" s="241">
        <f>G16/G10</f>
        <v>0.42601214574898782</v>
      </c>
      <c r="H132" s="241">
        <f>H16/H10</f>
        <v>0.4232525887573963</v>
      </c>
      <c r="I132" s="333">
        <f t="shared" si="48"/>
        <v>0.4340534481544096</v>
      </c>
    </row>
    <row r="133" spans="1:10" ht="16.2" thickBot="1" x14ac:dyDescent="0.35">
      <c r="A133" s="292" t="s">
        <v>669</v>
      </c>
      <c r="B133" s="335" t="s">
        <v>670</v>
      </c>
      <c r="D133" s="241">
        <f>D101/D80</f>
        <v>0.6785714285714286</v>
      </c>
      <c r="E133" s="241">
        <f>E101/E80</f>
        <v>-1.925E-2</v>
      </c>
      <c r="F133" s="241">
        <f>F101/F80</f>
        <v>0.72133333333333338</v>
      </c>
      <c r="G133" s="241">
        <f>G101/G80</f>
        <v>0.93709875000000009</v>
      </c>
      <c r="H133" s="241">
        <f>H101/H80</f>
        <v>1.1742998093749992</v>
      </c>
      <c r="I133" s="333">
        <f t="shared" si="48"/>
        <v>0.87782583031994044</v>
      </c>
    </row>
    <row r="134" spans="1:10" ht="16.2" thickBot="1" x14ac:dyDescent="0.35">
      <c r="A134" s="292" t="s">
        <v>766</v>
      </c>
      <c r="B134" s="335" t="s">
        <v>767</v>
      </c>
      <c r="D134" s="241">
        <f>D10/(-D24)</f>
        <v>50</v>
      </c>
      <c r="E134" s="241">
        <f>E10/(-E24)</f>
        <v>14</v>
      </c>
      <c r="F134" s="241">
        <f>F10/(-F24)</f>
        <v>57.507861635220124</v>
      </c>
      <c r="G134" s="241">
        <f>G10/(-G24)</f>
        <v>68.352201257861651</v>
      </c>
      <c r="H134" s="241">
        <f>H10/(-H24)</f>
        <v>79.362683438155145</v>
      </c>
      <c r="I134" s="333">
        <f t="shared" si="48"/>
        <v>53.844549266247384</v>
      </c>
      <c r="J134" s="1" t="s">
        <v>927</v>
      </c>
    </row>
    <row r="135" spans="1:10" s="336" customFormat="1" ht="29.4" thickBot="1" x14ac:dyDescent="0.35">
      <c r="A135" s="292" t="s">
        <v>663</v>
      </c>
      <c r="B135" s="335" t="str">
        <f>A135</f>
        <v>Capital Employed</v>
      </c>
      <c r="C135" s="64"/>
      <c r="D135" s="64">
        <f>D76-D89</f>
        <v>10060</v>
      </c>
      <c r="E135" s="64">
        <f t="shared" ref="E135:H135" si="50">E76-E89</f>
        <v>13043.999999999998</v>
      </c>
      <c r="F135" s="64">
        <f t="shared" si="50"/>
        <v>17919.493333333328</v>
      </c>
      <c r="G135" s="64">
        <f t="shared" si="50"/>
        <v>24850.378399999991</v>
      </c>
      <c r="H135" s="64">
        <f t="shared" si="50"/>
        <v>33994.661625999986</v>
      </c>
      <c r="I135" s="64"/>
    </row>
    <row r="136" spans="1:10" s="336" customFormat="1" ht="16.2" thickBot="1" x14ac:dyDescent="0.35">
      <c r="A136" s="64" t="s">
        <v>928</v>
      </c>
      <c r="B136" s="335" t="s">
        <v>661</v>
      </c>
      <c r="C136" s="64"/>
      <c r="D136" s="337">
        <f>D48/D135</f>
        <v>0.17008791996877173</v>
      </c>
      <c r="E136" s="337">
        <f>E48/E135</f>
        <v>-1.0731556278083754E-2</v>
      </c>
      <c r="F136" s="337">
        <f>F48/F135</f>
        <v>0.23102184536141382</v>
      </c>
      <c r="G136" s="337">
        <f>G48/G135</f>
        <v>0.30672643983584069</v>
      </c>
      <c r="H136" s="337">
        <f>H48/H135</f>
        <v>0.28608407077547832</v>
      </c>
      <c r="I136" s="333">
        <f t="shared" si="48"/>
        <v>0.24848006898537617</v>
      </c>
    </row>
    <row r="137" spans="1:10" s="336" customFormat="1" ht="16.2" thickBot="1" x14ac:dyDescent="0.35">
      <c r="A137" s="64" t="s">
        <v>735</v>
      </c>
      <c r="B137" s="335" t="s">
        <v>736</v>
      </c>
      <c r="C137" s="64"/>
      <c r="D137" s="338">
        <f>-D35*$B$37</f>
        <v>140.00000000000003</v>
      </c>
      <c r="E137" s="338">
        <f t="shared" ref="E137:H137" si="51">-E35*$B$37</f>
        <v>168.00000000000003</v>
      </c>
      <c r="F137" s="338">
        <f t="shared" si="51"/>
        <v>196.00000000000003</v>
      </c>
      <c r="G137" s="338">
        <f t="shared" si="51"/>
        <v>224</v>
      </c>
      <c r="H137" s="338">
        <f t="shared" si="51"/>
        <v>252.00000000000006</v>
      </c>
      <c r="I137" s="339">
        <f>SUM(D137:H137)</f>
        <v>980.00000000000023</v>
      </c>
    </row>
    <row r="138" spans="1:10" ht="54.6" thickBot="1" x14ac:dyDescent="0.35">
      <c r="A138" s="340" t="s">
        <v>838</v>
      </c>
      <c r="B138" s="322"/>
      <c r="C138" s="58" t="s">
        <v>5</v>
      </c>
      <c r="D138" s="59" t="s">
        <v>0</v>
      </c>
      <c r="E138" s="59" t="s">
        <v>1</v>
      </c>
      <c r="F138" s="59" t="s">
        <v>2</v>
      </c>
      <c r="G138" s="59" t="s">
        <v>3</v>
      </c>
      <c r="H138" s="59" t="s">
        <v>4</v>
      </c>
      <c r="I138" s="60" t="s">
        <v>918</v>
      </c>
    </row>
    <row r="139" spans="1:10" ht="16.2" thickBot="1" x14ac:dyDescent="0.35">
      <c r="A139" s="292" t="s">
        <v>711</v>
      </c>
      <c r="B139" s="335" t="s">
        <v>712</v>
      </c>
      <c r="D139" s="1">
        <f>D106-'[1]Proj Ratios Var'!C54*D111</f>
        <v>2370</v>
      </c>
      <c r="E139" s="1">
        <f>E106-'[1]Proj Ratios Var'!D54*E111</f>
        <v>-3006.4164383561647</v>
      </c>
      <c r="F139" s="1">
        <f>F106-'[1]Proj Ratios Var'!E54*F111</f>
        <v>2328.0960730593615</v>
      </c>
      <c r="G139" s="1">
        <f>G106-'[1]Proj Ratios Var'!F54*G111</f>
        <v>4495.4878063926953</v>
      </c>
      <c r="H139" s="1">
        <f>H106-'[1]Proj Ratios Var'!G54*H111</f>
        <v>6836.6667876438296</v>
      </c>
      <c r="I139" s="276">
        <f t="shared" ref="I139" si="52">SUM(C139:H139)</f>
        <v>13023.834228739721</v>
      </c>
    </row>
    <row r="140" spans="1:10" ht="16.2" thickBot="1" x14ac:dyDescent="0.35">
      <c r="A140" s="292" t="s">
        <v>714</v>
      </c>
      <c r="B140" s="335" t="s">
        <v>715</v>
      </c>
      <c r="D140" s="241">
        <f>D139/D10</f>
        <v>0.158</v>
      </c>
      <c r="E140" s="241">
        <f>E139/E10</f>
        <v>-0.4772089584692325</v>
      </c>
      <c r="F140" s="241">
        <f>F139/F10</f>
        <v>8.4870214556732243E-2</v>
      </c>
      <c r="G140" s="241">
        <f>G139/G10</f>
        <v>0.13131569618664068</v>
      </c>
      <c r="H140" s="241">
        <f>H139/H10</f>
        <v>0.16459024847438636</v>
      </c>
      <c r="I140" s="333">
        <f t="shared" si="48"/>
        <v>0.13469403980443984</v>
      </c>
    </row>
    <row r="141" spans="1:10" ht="29.4" thickBot="1" x14ac:dyDescent="0.35">
      <c r="A141" s="292" t="s">
        <v>717</v>
      </c>
      <c r="B141" s="335" t="s">
        <v>718</v>
      </c>
      <c r="E141" s="241">
        <f>(E139-D139)/D10</f>
        <v>-0.35842776255707764</v>
      </c>
      <c r="F141" s="241">
        <f>(F139-E139)/E10</f>
        <v>0.84674801768500418</v>
      </c>
      <c r="G141" s="241">
        <f>(G139-F139)/F10</f>
        <v>7.9011774284195355E-2</v>
      </c>
      <c r="H141" s="241">
        <f>(H139-G139)/G10</f>
        <v>6.8387138628948074E-2</v>
      </c>
    </row>
    <row r="142" spans="1:10" ht="16.2" thickBot="1" x14ac:dyDescent="0.35">
      <c r="A142" s="292" t="s">
        <v>929</v>
      </c>
      <c r="B142" s="335" t="s">
        <v>930</v>
      </c>
      <c r="D142" s="241">
        <f>D139/D80</f>
        <v>0.33857142857142858</v>
      </c>
      <c r="E142" s="241">
        <f t="shared" ref="E142:H142" si="53">E139/E80</f>
        <v>-0.25053470319634707</v>
      </c>
      <c r="F142" s="241">
        <f t="shared" si="53"/>
        <v>0.19400800608828012</v>
      </c>
      <c r="G142" s="241">
        <f t="shared" si="53"/>
        <v>0.37462398386605794</v>
      </c>
      <c r="H142" s="241">
        <f t="shared" si="53"/>
        <v>0.56972223230365249</v>
      </c>
      <c r="I142" s="333">
        <f t="shared" si="48"/>
        <v>0.36923141270735482</v>
      </c>
    </row>
    <row r="143" spans="1:10" ht="16.2" thickBot="1" x14ac:dyDescent="0.35">
      <c r="A143" s="292" t="s">
        <v>931</v>
      </c>
      <c r="B143" s="335" t="s">
        <v>932</v>
      </c>
      <c r="D143" s="241">
        <f>D139/D76</f>
        <v>0.22525241785163277</v>
      </c>
      <c r="E143" s="241">
        <f t="shared" ref="E143:H143" si="54">E139/E76</f>
        <v>-0.2254219052280248</v>
      </c>
      <c r="F143" s="241">
        <f t="shared" si="54"/>
        <v>0.12422057384305184</v>
      </c>
      <c r="G143" s="241">
        <f t="shared" si="54"/>
        <v>0.17392319011674665</v>
      </c>
      <c r="H143" s="241">
        <f t="shared" si="54"/>
        <v>0.19434054509660612</v>
      </c>
      <c r="I143" s="333">
        <f t="shared" si="48"/>
        <v>0.17943418172700934</v>
      </c>
    </row>
    <row r="144" spans="1:10" ht="15" thickBot="1" x14ac:dyDescent="0.35">
      <c r="A144" s="292" t="s">
        <v>933</v>
      </c>
      <c r="B144" s="335" t="s">
        <v>748</v>
      </c>
      <c r="D144" s="379" t="s">
        <v>925</v>
      </c>
      <c r="E144" s="379"/>
      <c r="F144" s="379"/>
      <c r="G144" s="379"/>
      <c r="H144" s="381"/>
      <c r="I144" s="327"/>
    </row>
    <row r="145" spans="1:9" ht="54.6" thickBot="1" x14ac:dyDescent="0.35">
      <c r="A145" s="341" t="s">
        <v>839</v>
      </c>
      <c r="B145" s="322"/>
      <c r="C145" s="58" t="s">
        <v>5</v>
      </c>
      <c r="D145" s="59" t="s">
        <v>0</v>
      </c>
      <c r="E145" s="59" t="s">
        <v>1</v>
      </c>
      <c r="F145" s="59" t="s">
        <v>2</v>
      </c>
      <c r="G145" s="59" t="s">
        <v>3</v>
      </c>
      <c r="H145" s="59" t="s">
        <v>4</v>
      </c>
      <c r="I145" s="60" t="s">
        <v>918</v>
      </c>
    </row>
    <row r="146" spans="1:9" ht="16.2" thickBot="1" x14ac:dyDescent="0.35">
      <c r="A146" s="64" t="s">
        <v>720</v>
      </c>
      <c r="B146" s="335" t="s">
        <v>721</v>
      </c>
      <c r="D146" s="1">
        <f xml:space="preserve"> D100*(1-$B$37)+(-D30)-'[1]Adj Cash Flow'!D139-(-D60)</f>
        <v>271.08447488584488</v>
      </c>
      <c r="E146" s="1">
        <f xml:space="preserve"> E100*(1-$B$37)+(-E30)-'[1]Adj Cash Flow'!E139-(-E60)</f>
        <v>-4064.7824200913242</v>
      </c>
      <c r="F146" s="1">
        <f xml:space="preserve"> F100*(1-$B$37)+(-F30)-'[1]Adj Cash Flow'!F139-(-F60)</f>
        <v>4923.7944178082189</v>
      </c>
      <c r="G146" s="1">
        <f xml:space="preserve"> G100*(1-$B$37)+(-G30)-'[1]Adj Cash Flow'!G139-(-G60)</f>
        <v>8518.2680952054816</v>
      </c>
      <c r="H146" s="1">
        <f xml:space="preserve"> H100*(1-$B$37)+(-H30)-'[1]Adj Cash Flow'!H139-(-H60)</f>
        <v>10733.331182601021</v>
      </c>
      <c r="I146" s="339">
        <f t="shared" ref="I146:I157" si="55">AVERAGEIF(C146:H146,"&gt;0")</f>
        <v>6111.6195426251415</v>
      </c>
    </row>
    <row r="147" spans="1:9" ht="16.2" thickBot="1" x14ac:dyDescent="0.35">
      <c r="A147" s="64" t="s">
        <v>723</v>
      </c>
      <c r="B147" s="335" t="s">
        <v>724</v>
      </c>
      <c r="D147" s="342">
        <f>D105+(-D30)-'[1]Adj Cash Flow'!D139-(-D60)+D17+D18</f>
        <v>-288.91552511415466</v>
      </c>
      <c r="E147" s="342">
        <f>E105+(-E30)-'[1]Adj Cash Flow'!E139-(-E60)+E17+E18</f>
        <v>-5139.9824200913245</v>
      </c>
      <c r="F147" s="342">
        <f>F105+(-F30)-'[1]Adj Cash Flow'!F139-(-F60)+F17+F18</f>
        <v>4139.794417808218</v>
      </c>
      <c r="G147" s="342">
        <f>G105+(-G30)-'[1]Adj Cash Flow'!G139-(-G60)+G17+G18</f>
        <v>7622.2680952054798</v>
      </c>
      <c r="H147" s="342">
        <f>H105+(-H30)-'[1]Adj Cash Flow'!H139-(-H60)+H17+H18</f>
        <v>9725.3311826010213</v>
      </c>
      <c r="I147" s="339">
        <f t="shared" si="55"/>
        <v>7162.4645652049066</v>
      </c>
    </row>
    <row r="148" spans="1:9" ht="43.8" thickBot="1" x14ac:dyDescent="0.35">
      <c r="A148" s="64" t="s">
        <v>934</v>
      </c>
      <c r="B148" s="258" t="s">
        <v>834</v>
      </c>
      <c r="D148" s="343">
        <f>D10/(D72+D73)</f>
        <v>10.509898020395921</v>
      </c>
      <c r="E148" s="343">
        <f>E10/(E72+E73)</f>
        <v>10.414343215901177</v>
      </c>
      <c r="F148" s="343">
        <f>F10/(F72+F73)</f>
        <v>10.342133949104216</v>
      </c>
      <c r="G148" s="343">
        <f>G10/(G72+G73)</f>
        <v>10.293637361604853</v>
      </c>
      <c r="H148" s="343">
        <f>H10/(H72+H73)</f>
        <v>10.26932825366546</v>
      </c>
      <c r="I148" s="344">
        <f t="shared" si="55"/>
        <v>10.365868160134326</v>
      </c>
    </row>
    <row r="149" spans="1:9" ht="43.8" thickBot="1" x14ac:dyDescent="0.35">
      <c r="A149" s="64" t="s">
        <v>667</v>
      </c>
      <c r="B149" s="335" t="str">
        <f>A149</f>
        <v>Cost of Sales to Payables</v>
      </c>
      <c r="D149" s="20">
        <f>(-D12)/D93</f>
        <v>17.87534009398961</v>
      </c>
      <c r="E149" s="20">
        <f>(-E12)/E93</f>
        <v>12.057677464624019</v>
      </c>
      <c r="F149" s="20">
        <f>(-F12)/F93</f>
        <v>18.969162390029325</v>
      </c>
      <c r="G149" s="20">
        <f>(-G12)/G93</f>
        <v>19.70581281882443</v>
      </c>
      <c r="H149" s="20">
        <f>(-H12)/H93</f>
        <v>20.231320421093795</v>
      </c>
      <c r="I149" s="344">
        <f t="shared" si="55"/>
        <v>17.767862637712234</v>
      </c>
    </row>
    <row r="150" spans="1:9" ht="43.8" thickBot="1" x14ac:dyDescent="0.35">
      <c r="A150" s="64" t="s">
        <v>675</v>
      </c>
      <c r="B150" s="335" t="str">
        <f>A150</f>
        <v>Days payables Ratio</v>
      </c>
      <c r="D150" s="20">
        <f>365/D149</f>
        <v>20.41919191919192</v>
      </c>
      <c r="E150" s="20">
        <f>365/E149</f>
        <v>30.271169640328523</v>
      </c>
      <c r="F150" s="20">
        <f>365/F149</f>
        <v>19.241756304002823</v>
      </c>
      <c r="G150" s="20">
        <f>365/G149</f>
        <v>18.522453417974486</v>
      </c>
      <c r="H150" s="20">
        <f>365/H149</f>
        <v>18.041333556233919</v>
      </c>
      <c r="I150" s="344">
        <f t="shared" si="55"/>
        <v>21.299180967546334</v>
      </c>
    </row>
    <row r="151" spans="1:9" ht="43.8" thickBot="1" x14ac:dyDescent="0.35">
      <c r="A151" s="64" t="s">
        <v>677</v>
      </c>
      <c r="B151" s="335" t="str">
        <f>A151</f>
        <v>Days receivables Ratio</v>
      </c>
      <c r="D151" s="20">
        <f>365/D148</f>
        <v>34.729166666666664</v>
      </c>
      <c r="E151" s="20">
        <f>365/E148</f>
        <v>35.047817460317468</v>
      </c>
      <c r="F151" s="20">
        <f>365/F148</f>
        <v>35.292522974101921</v>
      </c>
      <c r="G151" s="20">
        <f>365/G148</f>
        <v>35.458797233468289</v>
      </c>
      <c r="H151" s="20">
        <f>365/H148</f>
        <v>35.542733758629204</v>
      </c>
      <c r="I151" s="344">
        <f t="shared" si="55"/>
        <v>35.214207618636706</v>
      </c>
    </row>
    <row r="152" spans="1:9" ht="16.2" thickBot="1" x14ac:dyDescent="0.35">
      <c r="A152" s="64" t="s">
        <v>774</v>
      </c>
      <c r="B152" s="258" t="s">
        <v>775</v>
      </c>
      <c r="D152" s="343">
        <f>(D74+D73+D72)/D89</f>
        <v>6.7998021271333133</v>
      </c>
      <c r="E152" s="343">
        <f>(E74+E73+E72)/E89</f>
        <v>7.4307426032042985</v>
      </c>
      <c r="F152" s="343">
        <f>(F74+F73+F72)/F89</f>
        <v>10.172604749844483</v>
      </c>
      <c r="G152" s="343">
        <f>(G74+G73+G72)/G89</f>
        <v>16.706232118417216</v>
      </c>
      <c r="H152" s="343">
        <f>(H74+H73+H72)/H89</f>
        <v>22.888669538087889</v>
      </c>
      <c r="I152" s="344">
        <f t="shared" si="55"/>
        <v>12.799610227337441</v>
      </c>
    </row>
    <row r="153" spans="1:9" ht="29.4" thickBot="1" x14ac:dyDescent="0.35">
      <c r="A153" s="64" t="s">
        <v>656</v>
      </c>
      <c r="B153" s="335" t="str">
        <f t="shared" ref="B153:B154" si="56">A153</f>
        <v>Cash to Total Assets</v>
      </c>
      <c r="D153" s="343">
        <f>D74/D76</f>
        <v>0.16262696840355598</v>
      </c>
      <c r="E153" s="343">
        <f>E74/E76</f>
        <v>0.11780165049027326</v>
      </c>
      <c r="F153" s="343">
        <f>F74/F76</f>
        <v>0.30471716575370217</v>
      </c>
      <c r="G153" s="343">
        <f>G74/G76</f>
        <v>0.51583868444425041</v>
      </c>
      <c r="H153" s="343">
        <f>H74/H76</f>
        <v>0.65546570754937938</v>
      </c>
      <c r="I153" s="344">
        <f t="shared" si="55"/>
        <v>0.35129003532823228</v>
      </c>
    </row>
    <row r="154" spans="1:9" ht="29.4" thickBot="1" x14ac:dyDescent="0.35">
      <c r="A154" s="64" t="s">
        <v>658</v>
      </c>
      <c r="B154" s="335" t="str">
        <f t="shared" si="56"/>
        <v>Cash Turnover</v>
      </c>
      <c r="D154" s="343">
        <f>D10/'[1]Adj Cash Flow'!D129</f>
        <v>9.5303717135086146</v>
      </c>
      <c r="E154" s="343">
        <f>E10/'[1]Adj Cash Flow'!E129</f>
        <v>9.7993780303441937</v>
      </c>
      <c r="F154" s="343">
        <f>F10/'[1]Adj Cash Flow'!F129</f>
        <v>9.266593542288426</v>
      </c>
      <c r="G154" s="343">
        <f>G10/'[1]Adj Cash Flow'!G129</f>
        <v>9.1770220183913906</v>
      </c>
      <c r="H154" s="343">
        <f>H10/'[1]Adj Cash Flow'!H129</f>
        <v>9.12787308119883</v>
      </c>
      <c r="I154" s="344">
        <f t="shared" si="55"/>
        <v>9.3802476771462899</v>
      </c>
    </row>
    <row r="155" spans="1:9" ht="29.4" thickBot="1" x14ac:dyDescent="0.35">
      <c r="A155" s="64" t="s">
        <v>673</v>
      </c>
      <c r="B155" s="335" t="str">
        <f>A155</f>
        <v>Current Ratio</v>
      </c>
      <c r="D155" s="20">
        <f>D68/D89</f>
        <v>8.1176354192431326</v>
      </c>
      <c r="E155" s="20">
        <f>E68/E89</f>
        <v>8.5603789030522695</v>
      </c>
      <c r="F155" s="20">
        <f>F68/F89</f>
        <v>11.547058228916731</v>
      </c>
      <c r="G155" s="20">
        <f>G68/G89</f>
        <v>18.112043855411269</v>
      </c>
      <c r="H155" s="20">
        <f>H68/H89</f>
        <v>24.315824844822863</v>
      </c>
      <c r="I155" s="344">
        <f t="shared" si="55"/>
        <v>14.130588250289254</v>
      </c>
    </row>
    <row r="156" spans="1:9" customFormat="1" ht="38.4" customHeight="1" thickBot="1" x14ac:dyDescent="0.35">
      <c r="A156" s="64" t="s">
        <v>728</v>
      </c>
      <c r="B156" s="258" t="str">
        <f>A156</f>
        <v>Fixed to Worth Ratio</v>
      </c>
      <c r="C156" s="1"/>
      <c r="D156" s="20">
        <f>D65/D78</f>
        <v>0.67345924453280315</v>
      </c>
      <c r="E156" s="20">
        <f t="shared" ref="E156:H156" si="57">E65/E78</f>
        <v>0.75360318920576508</v>
      </c>
      <c r="F156" s="20">
        <f t="shared" si="57"/>
        <v>0.47890304934216898</v>
      </c>
      <c r="G156" s="20">
        <f t="shared" si="57"/>
        <v>0.29725052395982832</v>
      </c>
      <c r="H156" s="20">
        <f t="shared" si="57"/>
        <v>0.18195634326505949</v>
      </c>
      <c r="I156" s="344">
        <f t="shared" si="55"/>
        <v>0.47703447006112504</v>
      </c>
    </row>
    <row r="157" spans="1:9" customFormat="1" ht="43.8" thickBot="1" x14ac:dyDescent="0.35">
      <c r="A157" s="292" t="s">
        <v>757</v>
      </c>
      <c r="B157" s="335" t="s">
        <v>757</v>
      </c>
      <c r="C157" s="64"/>
      <c r="D157" s="20">
        <f>D63/D78</f>
        <v>0.67345924453280315</v>
      </c>
      <c r="E157" s="20">
        <f t="shared" ref="E157:H157" si="58">E63/E78</f>
        <v>0.8302667893284269</v>
      </c>
      <c r="F157" s="20">
        <f t="shared" si="58"/>
        <v>0.51610648217732347</v>
      </c>
      <c r="G157" s="20">
        <f t="shared" si="58"/>
        <v>0.31334685833194398</v>
      </c>
      <c r="H157" s="20">
        <f t="shared" si="58"/>
        <v>0.18783961994539081</v>
      </c>
      <c r="I157" s="344">
        <f t="shared" si="55"/>
        <v>0.50420379886317768</v>
      </c>
    </row>
    <row r="158" spans="1:9" customFormat="1" ht="43.8" thickBot="1" x14ac:dyDescent="0.35">
      <c r="A158" s="292" t="s">
        <v>935</v>
      </c>
      <c r="B158" s="335" t="s">
        <v>936</v>
      </c>
      <c r="C158" s="64"/>
      <c r="D158" s="241">
        <f>(D38-D39)/D38</f>
        <v>1</v>
      </c>
      <c r="E158" s="241">
        <f>(E38-E39)/E38</f>
        <v>1.3794642857142858</v>
      </c>
      <c r="F158" s="241">
        <f>(F38-F39)/F38</f>
        <v>1</v>
      </c>
      <c r="G158" s="241">
        <f>(G38-G39)/G38</f>
        <v>0.82413886226517152</v>
      </c>
      <c r="H158" s="241">
        <f>(H38-H39)/H38</f>
        <v>0.81051316720593136</v>
      </c>
      <c r="I158" s="333">
        <f>AVERAGEIF(C158:H158,"&gt;0")</f>
        <v>1.0028232630370777</v>
      </c>
    </row>
    <row r="159" spans="1:9" customFormat="1" ht="43.8" thickBot="1" x14ac:dyDescent="0.35">
      <c r="A159" s="64" t="s">
        <v>726</v>
      </c>
      <c r="B159" s="335" t="s">
        <v>937</v>
      </c>
      <c r="C159" s="64"/>
      <c r="D159" s="337">
        <f>D146/D52</f>
        <v>0.11243259110557692</v>
      </c>
      <c r="E159" s="337">
        <f t="shared" ref="E159:H159" si="59">E146/E52</f>
        <v>-5.806686198683205</v>
      </c>
      <c r="F159" s="337">
        <f t="shared" si="59"/>
        <v>0.96171721283998224</v>
      </c>
      <c r="G159" s="337">
        <f t="shared" si="59"/>
        <v>0.97437735864874164</v>
      </c>
      <c r="H159" s="337">
        <f t="shared" si="59"/>
        <v>0.97706031836353524</v>
      </c>
      <c r="I159" s="333">
        <f>AVERAGEIF(C159:H159,"&gt;0")</f>
        <v>0.75639687023945901</v>
      </c>
    </row>
    <row r="160" spans="1:9" ht="54.6" thickBot="1" x14ac:dyDescent="0.35">
      <c r="A160" s="345" t="s">
        <v>938</v>
      </c>
      <c r="B160" s="322"/>
      <c r="C160" s="58" t="s">
        <v>5</v>
      </c>
      <c r="D160" s="59" t="s">
        <v>0</v>
      </c>
      <c r="E160" s="59" t="s">
        <v>1</v>
      </c>
      <c r="F160" s="59" t="s">
        <v>2</v>
      </c>
      <c r="G160" s="59" t="s">
        <v>3</v>
      </c>
      <c r="H160" s="59" t="s">
        <v>4</v>
      </c>
      <c r="I160" s="60" t="s">
        <v>918</v>
      </c>
    </row>
    <row r="161" spans="1:9" ht="16.2" thickBot="1" x14ac:dyDescent="0.35">
      <c r="A161" s="64" t="s">
        <v>679</v>
      </c>
      <c r="B161" s="335" t="str">
        <f>A161</f>
        <v>Debt Ratio</v>
      </c>
      <c r="D161" s="241">
        <f>(360/365)*D17/D76</f>
        <v>0.46870626221945438</v>
      </c>
      <c r="E161" s="241">
        <f>(360/365)*E17/E76</f>
        <v>0.44371883632680925</v>
      </c>
      <c r="F161" s="241">
        <f>(360/365)*F17/F76</f>
        <v>0.36838361824947496</v>
      </c>
      <c r="G161" s="241">
        <f>(360/365)*G17/G76</f>
        <v>0.30526730455219109</v>
      </c>
      <c r="H161" s="241">
        <f>(360/365)*H17/H76</f>
        <v>0.25233131381453533</v>
      </c>
      <c r="I161" s="333">
        <f>AVERAGEIF(C161:H161,"&gt;0")</f>
        <v>0.36768146703249305</v>
      </c>
    </row>
    <row r="162" spans="1:9" ht="29.4" thickBot="1" x14ac:dyDescent="0.35">
      <c r="A162" s="64" t="s">
        <v>681</v>
      </c>
      <c r="B162" s="335" t="str">
        <f>A162</f>
        <v>Debt to Equity Ratio</v>
      </c>
      <c r="D162" s="241">
        <f>(360/365)*D17/D78</f>
        <v>0.49020942836133879</v>
      </c>
      <c r="E162" s="241">
        <f>(360/365)*E17/E78</f>
        <v>0.4536804829176696</v>
      </c>
      <c r="F162" s="241">
        <f>(360/365)*F17/F78</f>
        <v>0.38528486607365547</v>
      </c>
      <c r="G162" s="241">
        <f>(360/365)*G17/G78</f>
        <v>0.31751673281981529</v>
      </c>
      <c r="H162" s="241">
        <f>(360/365)*H17/H78</f>
        <v>0.261120773209226</v>
      </c>
      <c r="I162" s="333">
        <f>AVERAGEIF(C162:H162,"&gt;0")</f>
        <v>0.38156245667634103</v>
      </c>
    </row>
    <row r="163" spans="1:9" ht="16.2" thickBot="1" x14ac:dyDescent="0.35">
      <c r="A163" s="64" t="s">
        <v>653</v>
      </c>
      <c r="B163" s="335" t="s">
        <v>654</v>
      </c>
      <c r="D163" s="346">
        <f>D55-D35</f>
        <v>2000</v>
      </c>
      <c r="E163" s="346">
        <f t="shared" ref="E163:H163" si="60">E55-E35</f>
        <v>5000</v>
      </c>
      <c r="F163" s="346">
        <f t="shared" si="60"/>
        <v>0</v>
      </c>
      <c r="G163" s="346">
        <f t="shared" si="60"/>
        <v>0</v>
      </c>
      <c r="H163" s="346">
        <f t="shared" si="60"/>
        <v>0</v>
      </c>
      <c r="I163" s="333"/>
    </row>
    <row r="164" spans="1:9" ht="29.4" thickBot="1" x14ac:dyDescent="0.35">
      <c r="A164" s="64" t="s">
        <v>733</v>
      </c>
      <c r="B164" s="335" t="str">
        <f>A164</f>
        <v>Interest Coverage</v>
      </c>
      <c r="D164" s="20">
        <f>D100/(-D35)</f>
        <v>6.4642857142857135</v>
      </c>
      <c r="E164" s="20">
        <f>E100/(-E35)</f>
        <v>-1.4</v>
      </c>
      <c r="F164" s="20">
        <f>F100/(-F35)</f>
        <v>7.2187414965986392</v>
      </c>
      <c r="G164" s="20">
        <f>G100/(-G35)</f>
        <v>8.7353627976190484</v>
      </c>
      <c r="H164" s="20">
        <f>H100/(-H35)</f>
        <v>10.071709549603167</v>
      </c>
      <c r="I164" s="347">
        <f>AVERAGEIF(C164:H164,"&gt;0")</f>
        <v>8.1225248895266411</v>
      </c>
    </row>
    <row r="165" spans="1:9" customFormat="1" ht="29.4" thickBot="1" x14ac:dyDescent="0.35">
      <c r="A165" s="292" t="s">
        <v>752</v>
      </c>
      <c r="B165" s="335" t="s">
        <v>752</v>
      </c>
      <c r="C165" s="1"/>
      <c r="D165" s="241">
        <f>(D38-(D35))/D76</f>
        <v>0.35736248570554396</v>
      </c>
      <c r="E165" s="241">
        <f>(E38-(E35))/E76</f>
        <v>-8.8176793196722031E-2</v>
      </c>
      <c r="F165" s="241">
        <f>(F38-(F35))/F76</f>
        <v>0.31243244229392447</v>
      </c>
      <c r="G165" s="241">
        <f>(G38-(G35))/G76</f>
        <v>0.31147578958322908</v>
      </c>
      <c r="H165" s="241">
        <f>(H38-(H35))/H76</f>
        <v>0.29575436923951098</v>
      </c>
      <c r="I165" s="333">
        <f>AVERAGEIF(C165:H165,"&gt;0")</f>
        <v>0.3192562717055521</v>
      </c>
    </row>
    <row r="166" spans="1:9" s="336" customFormat="1" ht="16.2" thickBot="1" x14ac:dyDescent="0.35">
      <c r="A166" s="64" t="s">
        <v>650</v>
      </c>
      <c r="B166" s="335" t="s">
        <v>651</v>
      </c>
      <c r="C166" s="64"/>
      <c r="D166" s="241">
        <f>D52/((360/365)*D17)</f>
        <v>0.488914351851852</v>
      </c>
      <c r="E166" s="241">
        <f>E52/((360/365)*E17)</f>
        <v>0.11829000771604933</v>
      </c>
      <c r="F166" s="241">
        <f>F52/((360/365)*F17)</f>
        <v>0.74155752480158721</v>
      </c>
      <c r="G166" s="241">
        <f>G52/((360/365)*G17)</f>
        <v>1.1079610606770836</v>
      </c>
      <c r="H166" s="241">
        <f>H52/((360/365)*H17)</f>
        <v>1.2375450252004234</v>
      </c>
      <c r="I166" s="333">
        <f>AVERAGEIF(C166:H166,"&gt;0")</f>
        <v>0.73885359404939899</v>
      </c>
    </row>
    <row r="167" spans="1:9" ht="54.6" thickBot="1" x14ac:dyDescent="0.35">
      <c r="A167" s="348" t="s">
        <v>841</v>
      </c>
      <c r="B167" s="322"/>
      <c r="C167" s="58" t="s">
        <v>5</v>
      </c>
      <c r="D167" s="59" t="s">
        <v>0</v>
      </c>
      <c r="E167" s="59" t="s">
        <v>1</v>
      </c>
      <c r="F167" s="59" t="s">
        <v>2</v>
      </c>
      <c r="G167" s="59" t="s">
        <v>3</v>
      </c>
      <c r="H167" s="59" t="s">
        <v>4</v>
      </c>
      <c r="I167" s="60" t="s">
        <v>918</v>
      </c>
    </row>
    <row r="168" spans="1:9" ht="43.8" thickBot="1" x14ac:dyDescent="0.35">
      <c r="A168" s="64" t="s">
        <v>939</v>
      </c>
      <c r="B168" s="335" t="str">
        <f t="shared" ref="B168:B170" si="61">A168</f>
        <v>Accounts Receivable Turnover</v>
      </c>
      <c r="D168" s="349">
        <f>'[1]Adj Cash Flow'!D108/'[1]Adj Cash Flow'!D112</f>
        <v>4.0555555555555554</v>
      </c>
      <c r="E168" s="349">
        <f>'[1]Adj Cash Flow'!E108/'[1]Adj Cash Flow'!E112</f>
        <v>4.0555555555555562</v>
      </c>
      <c r="F168" s="349">
        <f>'[1]Adj Cash Flow'!F108/'[1]Adj Cash Flow'!F112</f>
        <v>4.0555555555555554</v>
      </c>
      <c r="G168" s="349">
        <f>'[1]Adj Cash Flow'!G108/'[1]Adj Cash Flow'!G112</f>
        <v>4.0555555555555554</v>
      </c>
      <c r="H168" s="349">
        <f>'[1]Adj Cash Flow'!H108/'[1]Adj Cash Flow'!H112</f>
        <v>4.0555555555555554</v>
      </c>
      <c r="I168" s="347">
        <f t="shared" ref="I168:I174" si="62">AVERAGEIF(C168:H168,"&gt;0")</f>
        <v>4.0555555555555554</v>
      </c>
    </row>
    <row r="169" spans="1:9" ht="43.8" thickBot="1" x14ac:dyDescent="0.35">
      <c r="A169" s="64" t="s">
        <v>648</v>
      </c>
      <c r="B169" s="335" t="str">
        <f t="shared" si="61"/>
        <v>Annual Inventory Turnover</v>
      </c>
      <c r="D169" s="349">
        <f>(-D12)/'[1]Adj Cash Flow'!D101</f>
        <v>30.416666666666664</v>
      </c>
      <c r="E169" s="349">
        <f>(-E12)/'[1]Adj Cash Flow'!E101</f>
        <v>30.416666666666664</v>
      </c>
      <c r="F169" s="349">
        <f>(-F12)/'[1]Adj Cash Flow'!F101</f>
        <v>30.416666666666671</v>
      </c>
      <c r="G169" s="349">
        <f>(-G12)/'[1]Adj Cash Flow'!G101</f>
        <v>30.416666666666661</v>
      </c>
      <c r="H169" s="349">
        <f>(-H12)/'[1]Adj Cash Flow'!H101</f>
        <v>30.416666666666668</v>
      </c>
      <c r="I169" s="347">
        <f t="shared" si="62"/>
        <v>30.416666666666664</v>
      </c>
    </row>
    <row r="170" spans="1:9" ht="29.4" thickBot="1" x14ac:dyDescent="0.35">
      <c r="A170" s="64" t="s">
        <v>665</v>
      </c>
      <c r="B170" s="335" t="str">
        <f t="shared" si="61"/>
        <v>Collection Period</v>
      </c>
      <c r="D170" s="349">
        <f>365/D168</f>
        <v>90</v>
      </c>
      <c r="E170" s="349">
        <f t="shared" ref="E170:H171" si="63">365/E168</f>
        <v>89.999999999999986</v>
      </c>
      <c r="F170" s="349">
        <f t="shared" si="63"/>
        <v>90</v>
      </c>
      <c r="G170" s="349">
        <f t="shared" si="63"/>
        <v>90</v>
      </c>
      <c r="H170" s="349">
        <f t="shared" si="63"/>
        <v>90</v>
      </c>
      <c r="I170" s="347">
        <f t="shared" si="62"/>
        <v>90</v>
      </c>
    </row>
    <row r="171" spans="1:9" ht="43.8" thickBot="1" x14ac:dyDescent="0.35">
      <c r="A171" s="64" t="s">
        <v>738</v>
      </c>
      <c r="B171" s="258" t="str">
        <f>A171</f>
        <v>Inventory Holding Period</v>
      </c>
      <c r="D171" s="20">
        <f>365/D169</f>
        <v>12.000000000000002</v>
      </c>
      <c r="E171" s="20">
        <f t="shared" si="63"/>
        <v>12.000000000000002</v>
      </c>
      <c r="F171" s="20">
        <f t="shared" si="63"/>
        <v>11.999999999999998</v>
      </c>
      <c r="G171" s="20">
        <f t="shared" si="63"/>
        <v>12.000000000000002</v>
      </c>
      <c r="H171" s="20">
        <f t="shared" si="63"/>
        <v>12</v>
      </c>
      <c r="I171" s="347">
        <f t="shared" si="62"/>
        <v>12</v>
      </c>
    </row>
    <row r="172" spans="1:9" ht="29.4" thickBot="1" x14ac:dyDescent="0.35">
      <c r="A172" s="64" t="s">
        <v>740</v>
      </c>
      <c r="B172" s="258" t="str">
        <f>A172</f>
        <v>Inventory to Assets Ratio</v>
      </c>
      <c r="D172" s="241">
        <f>'[1]Adj Cash Flow'!D101/D76</f>
        <v>2.5778844422069992E-2</v>
      </c>
      <c r="E172" s="241">
        <f>'[1]Adj Cash Flow'!E101/E76</f>
        <v>8.704284505944241E-3</v>
      </c>
      <c r="F172" s="241">
        <f>'[1]Adj Cash Flow'!F101/F76</f>
        <v>2.7357307726214881E-2</v>
      </c>
      <c r="G172" s="241">
        <f>'[1]Adj Cash Flow'!G101/G76</f>
        <v>2.4993779639417193E-2</v>
      </c>
      <c r="H172" s="241">
        <f>'[1]Adj Cash Flow'!H101/H76</f>
        <v>2.238893064933721E-2</v>
      </c>
      <c r="I172" s="333">
        <f t="shared" si="62"/>
        <v>2.1844629388596704E-2</v>
      </c>
    </row>
    <row r="173" spans="1:9" ht="29.4" thickBot="1" x14ac:dyDescent="0.35">
      <c r="A173" s="292" t="s">
        <v>769</v>
      </c>
      <c r="B173" s="335" t="s">
        <v>769</v>
      </c>
      <c r="C173" s="64"/>
      <c r="D173" s="20">
        <f>-D26/(D31+D34)</f>
        <v>2.2651933701657461</v>
      </c>
      <c r="E173" s="20">
        <f>-E26/(E31+E34)</f>
        <v>-5.5535714285714288</v>
      </c>
      <c r="F173" s="20">
        <f>-F26/(F31+F34)</f>
        <v>2.653983159858833</v>
      </c>
      <c r="G173" s="20">
        <f>-G26/(G31+G34)</f>
        <v>2.3497485709001849</v>
      </c>
      <c r="H173" s="20">
        <f>-H26/(H31+H34)</f>
        <v>2.1627370061710707</v>
      </c>
      <c r="I173" s="347">
        <f t="shared" si="62"/>
        <v>2.3579155267739589</v>
      </c>
    </row>
    <row r="174" spans="1:9" ht="43.8" thickBot="1" x14ac:dyDescent="0.35">
      <c r="A174" s="292" t="s">
        <v>780</v>
      </c>
      <c r="B174" s="258" t="s">
        <v>780</v>
      </c>
      <c r="D174" s="1">
        <f>D10/D15</f>
        <v>100</v>
      </c>
      <c r="E174" s="1">
        <f t="shared" ref="E174:H174" si="64">E10/E15</f>
        <v>31.5</v>
      </c>
      <c r="F174" s="1">
        <f t="shared" si="64"/>
        <v>109.72499999999999</v>
      </c>
      <c r="G174" s="1">
        <f t="shared" si="64"/>
        <v>114.11400000000002</v>
      </c>
      <c r="H174" s="1">
        <f t="shared" si="64"/>
        <v>118.67856</v>
      </c>
      <c r="I174" s="347">
        <f t="shared" si="62"/>
        <v>94.803511999999998</v>
      </c>
    </row>
  </sheetData>
  <mergeCells count="3">
    <mergeCell ref="D123:H123"/>
    <mergeCell ref="D126:H126"/>
    <mergeCell ref="D144:H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Фиксированные ставки</vt:lpstr>
      <vt:lpstr>Вариативные ставки</vt:lpstr>
      <vt:lpstr>Cash Flow уточненный</vt:lpstr>
      <vt:lpstr>Формулы и определения</vt:lpstr>
      <vt:lpstr>Чувствительность</vt:lpstr>
      <vt:lpstr>Определение БухКоэфф</vt:lpstr>
      <vt:lpstr>Расчет БухКоэфф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2014-10-05T15:29:21Z</dcterms:created>
  <dcterms:modified xsi:type="dcterms:W3CDTF">2018-02-06T15:51:53Z</dcterms:modified>
</cp:coreProperties>
</file>