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y dox\Курс Финансирование\Задания и кейсы\Условия задач на сайте\"/>
    </mc:Choice>
  </mc:AlternateContent>
  <xr:revisionPtr revIDLastSave="0" documentId="13_ncr:1_{00EEFEE0-AA5B-473C-AC6A-1226BB2E096D}" xr6:coauthVersionLast="45" xr6:coauthVersionMax="45" xr10:uidLastSave="{00000000-0000-0000-0000-000000000000}"/>
  <bookViews>
    <workbookView xWindow="-98" yWindow="-98" windowWidth="19396" windowHeight="10395" activeTab="1" xr2:uid="{00000000-000D-0000-FFFF-FFFF00000000}"/>
  </bookViews>
  <sheets>
    <sheet name="Условие" sheetId="8" r:id="rId1"/>
    <sheet name="Маржа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6" l="1"/>
  <c r="D25" i="6"/>
  <c r="E25" i="6"/>
  <c r="F25" i="6"/>
  <c r="G25" i="6"/>
  <c r="C25" i="6"/>
  <c r="B26" i="6"/>
  <c r="C26" i="6"/>
  <c r="C21" i="6"/>
  <c r="C20" i="6"/>
  <c r="B22" i="6" s="1"/>
  <c r="B27" i="6"/>
  <c r="C4" i="6"/>
  <c r="C5" i="6"/>
  <c r="G9" i="6"/>
  <c r="B11" i="6"/>
  <c r="B8" i="6"/>
  <c r="B6" i="6" s="1"/>
  <c r="B10" i="6"/>
  <c r="C10" i="6"/>
  <c r="D10" i="6" s="1"/>
  <c r="D9" i="6"/>
  <c r="E9" i="6"/>
  <c r="F9" i="6"/>
  <c r="C9" i="6"/>
  <c r="D26" i="6"/>
  <c r="E26" i="6" s="1"/>
  <c r="C12" i="6" l="1"/>
  <c r="C13" i="6" s="1"/>
  <c r="C15" i="6" s="1"/>
  <c r="C16" i="6" s="1"/>
  <c r="F12" i="6"/>
  <c r="F13" i="6" s="1"/>
  <c r="E12" i="6"/>
  <c r="E13" i="6" s="1"/>
  <c r="D12" i="6"/>
  <c r="D13" i="6" s="1"/>
  <c r="G12" i="6"/>
  <c r="G13" i="6" s="1"/>
  <c r="F26" i="6"/>
  <c r="E10" i="6"/>
  <c r="D28" i="6"/>
  <c r="D29" i="6" s="1"/>
  <c r="G28" i="6"/>
  <c r="G29" i="6" s="1"/>
  <c r="F28" i="6"/>
  <c r="F29" i="6" s="1"/>
  <c r="E28" i="6"/>
  <c r="E29" i="6" s="1"/>
  <c r="C28" i="6"/>
  <c r="C29" i="6" s="1"/>
  <c r="C31" i="6" s="1"/>
  <c r="C32" i="6" s="1"/>
  <c r="D30" i="6" s="1"/>
  <c r="G31" i="6" l="1"/>
  <c r="E15" i="6"/>
  <c r="F15" i="6"/>
  <c r="F10" i="6"/>
  <c r="D14" i="6"/>
  <c r="C17" i="6"/>
  <c r="D31" i="6"/>
  <c r="D32" i="6" s="1"/>
  <c r="G26" i="6"/>
  <c r="E31" i="6"/>
  <c r="G15" i="6"/>
  <c r="F31" i="6"/>
  <c r="D15" i="6"/>
  <c r="C33" i="6"/>
  <c r="E30" i="6" l="1"/>
  <c r="E32" i="6" s="1"/>
  <c r="D33" i="6"/>
  <c r="G10" i="6"/>
  <c r="D16" i="6"/>
  <c r="E14" i="6" l="1"/>
  <c r="E16" i="6" s="1"/>
  <c r="D17" i="6"/>
  <c r="F30" i="6"/>
  <c r="F32" i="6" s="1"/>
  <c r="E33" i="6"/>
  <c r="G30" i="6" l="1"/>
  <c r="G32" i="6" s="1"/>
  <c r="G33" i="6" s="1"/>
  <c r="F33" i="6"/>
  <c r="F14" i="6"/>
  <c r="F16" i="6" s="1"/>
  <c r="E17" i="6"/>
  <c r="G14" i="6" l="1"/>
  <c r="G16" i="6" s="1"/>
  <c r="G17" i="6" s="1"/>
  <c r="F17" i="6"/>
</calcChain>
</file>

<file path=xl/sharedStrings.xml><?xml version="1.0" encoding="utf-8"?>
<sst xmlns="http://schemas.openxmlformats.org/spreadsheetml/2006/main" count="144" uniqueCount="88">
  <si>
    <t>Закупка (Light Sweet Crude Oil) во Вьетнаме для последующего экспорта во Францию, тонн</t>
  </si>
  <si>
    <t>Пересчет: 1 баррель = тонн</t>
  </si>
  <si>
    <t>Дистанция транспортировки: Hon Chong (Viet Nam) - Rouen (France), км</t>
  </si>
  <si>
    <t>Стоимость фрахта всего, USD</t>
  </si>
  <si>
    <t>Стоимость закупки всего, USD</t>
  </si>
  <si>
    <t>Портовые сборы всего, USD</t>
  </si>
  <si>
    <t>Уплачено премии при покупке опционов, USD</t>
  </si>
  <si>
    <t>Реализация опциона при спот-цене 01/07/2013</t>
  </si>
  <si>
    <t>Выручка от реализации, USD</t>
  </si>
  <si>
    <t>?</t>
  </si>
  <si>
    <t>Выручка от реализации с учетом реализованного опциона, USD</t>
  </si>
  <si>
    <t>Прибыль от реализации, USD</t>
  </si>
  <si>
    <t>Себестоимость с учетом доставки, USD</t>
  </si>
  <si>
    <t>Себестоимость всего с учетом стоимости хеджирования, USD</t>
  </si>
  <si>
    <t>Сделка</t>
  </si>
  <si>
    <t>Условие</t>
  </si>
  <si>
    <t>Цена нефтяного фрахта на условиях CIF за 100 тонн на 1 км, USD</t>
  </si>
  <si>
    <t>Вопрос</t>
  </si>
  <si>
    <t>Strike price по опциону, USD/баррель</t>
  </si>
  <si>
    <t>Премия по опциону, USD/баррель (с учетом всех комиссий биржи)</t>
  </si>
  <si>
    <t>Реально полученная прибыль от реализации, USD</t>
  </si>
  <si>
    <t xml:space="preserve">Хеджирование опционом </t>
  </si>
  <si>
    <t>Финансовый результат с опционом</t>
  </si>
  <si>
    <t>Хеджирование фьючерсом</t>
  </si>
  <si>
    <t>Хеджирование опционом (покупка PUT), % от общего объема</t>
  </si>
  <si>
    <t>Хеджирование фьючерсом (продажа), % от общего объема</t>
  </si>
  <si>
    <t>Выручка от реализации физического объема, USD</t>
  </si>
  <si>
    <t>Финансовый результат с фьючерсом</t>
  </si>
  <si>
    <t>Транзакционные издержки по всему объему, USD</t>
  </si>
  <si>
    <t>Расчет маржинальных требований</t>
  </si>
  <si>
    <t>Количество контрактов</t>
  </si>
  <si>
    <t>Стоимость позиции, USD</t>
  </si>
  <si>
    <t>Margin account, начало периода, USD</t>
  </si>
  <si>
    <t>Минимально допустимый уровень средств на Margin account, USD</t>
  </si>
  <si>
    <t>Margin call, USD общий расчетный размер</t>
  </si>
  <si>
    <t>Дополнительный счет для покрытия маржинальных требований (Margin call account), USD начало периода</t>
  </si>
  <si>
    <t>Дополнительный счет для покрытия маржинальных требований (Margin call account), USD конец периода</t>
  </si>
  <si>
    <t>Общее количество средств на всех счетах (Margin account + Margin call account), USD</t>
  </si>
  <si>
    <t>Дополнительно внесено на счет клиентом, USD</t>
  </si>
  <si>
    <r>
      <t>Покупка фьючерса (long)</t>
    </r>
    <r>
      <rPr>
        <sz val="12"/>
        <color theme="1"/>
        <rFont val="Calibri"/>
        <family val="2"/>
        <charset val="204"/>
        <scheme val="minor"/>
      </rPr>
      <t xml:space="preserve"> (срок фьючерса - 15.12.2013)</t>
    </r>
  </si>
  <si>
    <r>
      <t>Продажа фьючерса (short)</t>
    </r>
    <r>
      <rPr>
        <sz val="12"/>
        <color theme="1"/>
        <rFont val="Calibri"/>
        <family val="2"/>
        <charset val="204"/>
        <scheme val="minor"/>
      </rPr>
      <t xml:space="preserve"> (срок фьючерса - 15.12.2013)</t>
    </r>
  </si>
  <si>
    <t>Маржа NYMEX (initial margin) всего к уплате, USD</t>
  </si>
  <si>
    <t>Целевая выручка от реализации, USD</t>
  </si>
  <si>
    <t>Целевая прибыль от реализации, USD</t>
  </si>
  <si>
    <t>Маржа NYMEX (maintenance margin) всего к уплате, USD по датам:</t>
  </si>
  <si>
    <t>Количество фьючерсных контрактов, шт.</t>
  </si>
  <si>
    <t>Процентная ставка по средствам, замороженным в качестве Initial &amp; Maintenance Margin, % годовых</t>
  </si>
  <si>
    <t>Проценты, уплаченные по привлеченным средствам для уплаты  Initial Margin, USD</t>
  </si>
  <si>
    <t>Срок привлечения средств для уплаты Initial margin, лет</t>
  </si>
  <si>
    <t>Срок привлечения средств для уплаты Maintenance margin, лет</t>
  </si>
  <si>
    <t>Проценты, уплаченные по привлеченным средствам для уплаты  Maintenance Margin, USD</t>
  </si>
  <si>
    <t>Процентные расходы всего, USD</t>
  </si>
  <si>
    <t>Итого все прямые расходы, связанные с хеджированием, USD</t>
  </si>
  <si>
    <t>Без хеджирования</t>
  </si>
  <si>
    <t>Initial margin по опциону всего, USD</t>
  </si>
  <si>
    <t>Maintenance margin по опциону всего, USD</t>
  </si>
  <si>
    <t>Замените все знаки вопроса числами. Какова была прибыль от реализации с учетом всех затрат при трех сценариях: без хеджирования, хеджирование фьючерсом, хеджирование опционом? Добилась ли компания поставленной целевой прибыльности сделки при каждом из сценариев?</t>
  </si>
  <si>
    <t>Дата фиксации цены = дата доставки</t>
  </si>
  <si>
    <t>Дата подписания контракта</t>
  </si>
  <si>
    <t xml:space="preserve"> 01/03/2013</t>
  </si>
  <si>
    <t>Эта таблица дана Вам для упрощения расчета дополнительных маржинальных требований. Вам нужно найти в уже готовой таблице на этом листе соответствующие цифры, вставив реальное количество контрактов</t>
  </si>
  <si>
    <r>
      <t xml:space="preserve">ОТВЕТ    </t>
    </r>
    <r>
      <rPr>
        <b/>
        <sz val="16"/>
        <color rgb="FFFF0000"/>
        <rFont val="Calibri"/>
        <family val="2"/>
        <charset val="204"/>
        <scheme val="minor"/>
      </rPr>
      <t>???</t>
    </r>
  </si>
  <si>
    <t>Закупка, баррелей (bbls)</t>
  </si>
  <si>
    <t>Себестоимость с учетом доставки, баррель/USD (bbl/USD)</t>
  </si>
  <si>
    <t>Портовые сборы каждый порт, тонна/USD (mt/USD)</t>
  </si>
  <si>
    <t>Точка безубыточности по опциону, баррель/USD (bbl/USD)</t>
  </si>
  <si>
    <t>Транзакционный сбор NYMEX по опционам на LSCO/WTI, 1000 барелей/USD (Mbbl/USD)</t>
  </si>
  <si>
    <t>Транзакционный сбор NYMEX по фьючерсам на LSCO/WTI, 1000 барелей/USD (Mbbl/USD)</t>
  </si>
  <si>
    <t>Маржа NYMEX (maintenance margin) 1000 баррелей/USD (Mbbl/USD)</t>
  </si>
  <si>
    <t>Маржа NYMEX (initial margin) 1000 баррелей/USD (Mbbl/USD)</t>
  </si>
  <si>
    <t>Предполагаемая цена фактической реализации, не ниже баррель/USD</t>
  </si>
  <si>
    <t>Цена spot 1 баррель LSCO/WTI на NYMEX, баррель/USD, 01/03/2013</t>
  </si>
  <si>
    <t>Цена закупки, баррель/USD</t>
  </si>
  <si>
    <t>Биржевые котировки, NYMEX, WTI/LSCO, баррель/USD, 1 контракт = 1000 баррелей (Mbbl/USD)</t>
  </si>
  <si>
    <t>Маржа биржи NYMEX (initial margin) 1 контракт (1000 баррелей)/USD (Mbbl/USD)</t>
  </si>
  <si>
    <t>Маржа биржи NYMEX (maintenance margin) 1 контракт (1000 баррелей)/USD (Mbbl/USD)</t>
  </si>
  <si>
    <r>
      <t xml:space="preserve">Критическое значение цены декабрьского фьючерса 2013, при котором наступает </t>
    </r>
    <r>
      <rPr>
        <b/>
        <sz val="12"/>
        <color theme="1"/>
        <rFont val="Calibri"/>
        <family val="2"/>
        <charset val="204"/>
        <scheme val="minor"/>
      </rPr>
      <t xml:space="preserve">margin call, </t>
    </r>
    <r>
      <rPr>
        <sz val="11"/>
        <color theme="1"/>
        <rFont val="Calibri"/>
        <family val="2"/>
        <charset val="204"/>
        <scheme val="minor"/>
      </rPr>
      <t>баррель/USD (bbl/USD)</t>
    </r>
  </si>
  <si>
    <t>Цена фьючерса (декабрь 2013) 1 баррель LSCO/WTI на NYMEX, баррель/USD, покупка 01.03.2013</t>
  </si>
  <si>
    <r>
      <t xml:space="preserve">Падение цены ниже критической, </t>
    </r>
    <r>
      <rPr>
        <b/>
        <i/>
        <sz val="11"/>
        <color theme="1"/>
        <rFont val="Calibri"/>
        <family val="2"/>
        <charset val="204"/>
        <scheme val="minor"/>
      </rPr>
      <t>отрицательный GAP</t>
    </r>
    <r>
      <rPr>
        <sz val="11"/>
        <color theme="1"/>
        <rFont val="Calibri"/>
        <family val="2"/>
        <charset val="204"/>
        <scheme val="minor"/>
      </rPr>
      <t xml:space="preserve"> баррель/USD (bbl/USD)</t>
    </r>
  </si>
  <si>
    <r>
      <t xml:space="preserve">Рост цены выше критической, </t>
    </r>
    <r>
      <rPr>
        <b/>
        <i/>
        <sz val="11"/>
        <color theme="1"/>
        <rFont val="Calibri"/>
        <family val="2"/>
        <charset val="204"/>
        <scheme val="minor"/>
      </rPr>
      <t xml:space="preserve">отрицательный GAP </t>
    </r>
    <r>
      <rPr>
        <sz val="11"/>
        <color theme="1"/>
        <rFont val="Calibri"/>
        <family val="2"/>
        <charset val="204"/>
        <scheme val="minor"/>
      </rPr>
      <t>баррель/USD (bbl/USD)</t>
    </r>
  </si>
  <si>
    <t>Баллы: 10</t>
  </si>
  <si>
    <t>Трейдинг с хеджированием</t>
  </si>
  <si>
    <t>На вкладке "Маржа" размер всей дополнительно вносимой маржи уже посчитан для одного контракта. Возьмите только итоговые значения для соответствующего количества контрактов и характера открываемой позиции.</t>
  </si>
  <si>
    <t>Компания покупает 100 000 тонн нефти Light Sweet Crude Oil (WTI) во Вьетнаме для продажи во Францию 01/03/2013. Контракт с покупателем подписан на условиях CIF Rouen/Цена спот NYMEX на 01/09/2013. То есть фиксация цены происходит в дату доставки. Продавец хеджирует сделку биржевыми фьючерсами и опционами. Комиссии брокеров за все операции исключены. Процентная ставка по привлечению средств - 6% годовых (кредит привлекается только на покрытие margin call биржи).</t>
  </si>
  <si>
    <t xml:space="preserve"> 01/09/2013</t>
  </si>
  <si>
    <t>Финансовый результат фьючерса при спот-цене 01/09/2013, USD</t>
  </si>
  <si>
    <t>Initial margin + Maintenance margin, замороженные биржей на 01/09/2013</t>
  </si>
  <si>
    <t>Цена фьючерса, баррель/USD (bbl/USD)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</si>
</sst>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[$-419]mmmm;@"/>
    <numFmt numFmtId="166" formatCode="[$-FC19]dd\ mmmm\ yyyy\ \г\.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" fontId="1" fillId="0" borderId="0">
      <alignment vertical="center" wrapText="1"/>
    </xf>
  </cellStyleXfs>
  <cellXfs count="36">
    <xf numFmtId="0" fontId="0" fillId="0" borderId="0" xfId="0"/>
    <xf numFmtId="3" fontId="0" fillId="0" borderId="0" xfId="0" applyNumberFormat="1" applyAlignment="1">
      <alignment vertical="center" wrapText="1"/>
    </xf>
    <xf numFmtId="9" fontId="0" fillId="0" borderId="0" xfId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166" fontId="0" fillId="0" borderId="0" xfId="0" applyNumberFormat="1" applyFont="1" applyAlignment="1">
      <alignment horizontal="left" vertical="center"/>
    </xf>
    <xf numFmtId="3" fontId="0" fillId="2" borderId="0" xfId="0" applyNumberFormat="1" applyFill="1" applyAlignment="1">
      <alignment vertical="center" wrapText="1"/>
    </xf>
    <xf numFmtId="164" fontId="0" fillId="2" borderId="0" xfId="0" applyNumberFormat="1" applyFill="1" applyAlignment="1">
      <alignment vertical="center" wrapText="1"/>
    </xf>
    <xf numFmtId="4" fontId="0" fillId="2" borderId="0" xfId="0" applyNumberFormat="1" applyFill="1" applyAlignment="1">
      <alignment vertical="center" wrapText="1"/>
    </xf>
    <xf numFmtId="3" fontId="0" fillId="2" borderId="0" xfId="0" applyNumberFormat="1" applyFill="1" applyAlignment="1">
      <alignment horizontal="right" vertical="center" wrapText="1"/>
    </xf>
    <xf numFmtId="4" fontId="6" fillId="2" borderId="1" xfId="0" applyNumberFormat="1" applyFont="1" applyFill="1" applyBorder="1" applyAlignment="1">
      <alignment vertical="center" wrapText="1"/>
    </xf>
    <xf numFmtId="9" fontId="0" fillId="2" borderId="0" xfId="1" applyFont="1" applyFill="1" applyAlignment="1">
      <alignment vertical="center" wrapText="1"/>
    </xf>
    <xf numFmtId="0" fontId="0" fillId="0" borderId="2" xfId="0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9" fillId="5" borderId="1" xfId="0" applyFont="1" applyFill="1" applyBorder="1" applyAlignment="1">
      <alignment vertical="center"/>
    </xf>
  </cellXfs>
  <cellStyles count="3">
    <cellStyle name="Обычный" xfId="0" builtinId="0"/>
    <cellStyle name="Процентный" xfId="1" builtinId="5"/>
    <cellStyle name="Стиль 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opLeftCell="A7" workbookViewId="0">
      <selection activeCell="A16" sqref="A16"/>
    </sheetView>
  </sheetViews>
  <sheetFormatPr defaultColWidth="8.86328125" defaultRowHeight="14.25" x14ac:dyDescent="0.45"/>
  <cols>
    <col min="1" max="1" width="96.86328125" style="1" customWidth="1"/>
    <col min="2" max="2" width="17.73046875" style="1" customWidth="1"/>
    <col min="3" max="16384" width="8.86328125" style="1"/>
  </cols>
  <sheetData>
    <row r="1" spans="1:2" customFormat="1" ht="21.4" thickBot="1" x14ac:dyDescent="0.7">
      <c r="A1" s="34" t="s">
        <v>80</v>
      </c>
    </row>
    <row r="2" spans="1:2" customFormat="1" ht="28.9" thickBot="1" x14ac:dyDescent="0.5">
      <c r="A2" s="35" t="s">
        <v>81</v>
      </c>
    </row>
    <row r="3" spans="1:2" ht="18" x14ac:dyDescent="0.45">
      <c r="A3" s="5" t="s">
        <v>15</v>
      </c>
    </row>
    <row r="4" spans="1:2" ht="71.25" x14ac:dyDescent="0.45">
      <c r="A4" s="6" t="s">
        <v>83</v>
      </c>
    </row>
    <row r="5" spans="1:2" ht="28.5" x14ac:dyDescent="0.45">
      <c r="A5" s="6" t="s">
        <v>82</v>
      </c>
    </row>
    <row r="6" spans="1:2" ht="18" x14ac:dyDescent="0.45">
      <c r="A6" s="5" t="s">
        <v>17</v>
      </c>
    </row>
    <row r="7" spans="1:2" ht="42.75" x14ac:dyDescent="0.45">
      <c r="A7" s="6" t="s">
        <v>56</v>
      </c>
    </row>
    <row r="9" spans="1:2" ht="18" x14ac:dyDescent="0.45">
      <c r="A9" s="5" t="s">
        <v>14</v>
      </c>
    </row>
    <row r="10" spans="1:2" x14ac:dyDescent="0.45">
      <c r="A10" s="1" t="s">
        <v>0</v>
      </c>
      <c r="B10" s="23">
        <v>100000</v>
      </c>
    </row>
    <row r="11" spans="1:2" x14ac:dyDescent="0.45">
      <c r="A11" s="1" t="s">
        <v>1</v>
      </c>
      <c r="B11" s="24">
        <v>0.13639999999999999</v>
      </c>
    </row>
    <row r="12" spans="1:2" x14ac:dyDescent="0.45">
      <c r="A12" s="1" t="s">
        <v>62</v>
      </c>
      <c r="B12" s="32" t="s">
        <v>9</v>
      </c>
    </row>
    <row r="13" spans="1:2" x14ac:dyDescent="0.45">
      <c r="A13" s="1" t="s">
        <v>71</v>
      </c>
      <c r="B13" s="25">
        <v>93</v>
      </c>
    </row>
    <row r="14" spans="1:2" x14ac:dyDescent="0.45">
      <c r="A14" s="1" t="s">
        <v>58</v>
      </c>
      <c r="B14" s="26" t="s">
        <v>59</v>
      </c>
    </row>
    <row r="15" spans="1:2" x14ac:dyDescent="0.45">
      <c r="A15" s="1" t="s">
        <v>57</v>
      </c>
      <c r="B15" s="26" t="s">
        <v>84</v>
      </c>
    </row>
    <row r="16" spans="1:2" ht="14.65" thickBot="1" x14ac:dyDescent="0.5">
      <c r="A16" s="1" t="s">
        <v>72</v>
      </c>
      <c r="B16" s="25">
        <v>75</v>
      </c>
    </row>
    <row r="17" spans="1:6" ht="14.65" thickBot="1" x14ac:dyDescent="0.5">
      <c r="A17" s="1" t="s">
        <v>70</v>
      </c>
      <c r="B17" s="27">
        <v>93</v>
      </c>
    </row>
    <row r="18" spans="1:6" x14ac:dyDescent="0.45">
      <c r="A18" s="1" t="s">
        <v>16</v>
      </c>
      <c r="B18" s="25">
        <v>0.34</v>
      </c>
    </row>
    <row r="19" spans="1:6" x14ac:dyDescent="0.45">
      <c r="A19" s="1" t="s">
        <v>2</v>
      </c>
      <c r="B19" s="23">
        <v>16221</v>
      </c>
    </row>
    <row r="20" spans="1:6" x14ac:dyDescent="0.45">
      <c r="A20" s="1" t="s">
        <v>3</v>
      </c>
      <c r="B20" s="32" t="s">
        <v>9</v>
      </c>
    </row>
    <row r="21" spans="1:6" x14ac:dyDescent="0.45">
      <c r="A21" s="1" t="s">
        <v>4</v>
      </c>
      <c r="B21" s="32" t="s">
        <v>9</v>
      </c>
    </row>
    <row r="22" spans="1:6" x14ac:dyDescent="0.45">
      <c r="A22" s="1" t="s">
        <v>64</v>
      </c>
      <c r="B22" s="25">
        <v>1.1000000000000001</v>
      </c>
      <c r="F22" s="2"/>
    </row>
    <row r="23" spans="1:6" x14ac:dyDescent="0.45">
      <c r="A23" s="1" t="s">
        <v>5</v>
      </c>
      <c r="B23" s="32" t="s">
        <v>9</v>
      </c>
      <c r="F23" s="3"/>
    </row>
    <row r="24" spans="1:6" x14ac:dyDescent="0.45">
      <c r="A24" s="1" t="s">
        <v>63</v>
      </c>
      <c r="B24" s="32" t="s">
        <v>9</v>
      </c>
    </row>
    <row r="25" spans="1:6" x14ac:dyDescent="0.45">
      <c r="A25" s="1" t="s">
        <v>12</v>
      </c>
      <c r="B25" s="32" t="s">
        <v>9</v>
      </c>
    </row>
    <row r="26" spans="1:6" ht="14.65" thickBot="1" x14ac:dyDescent="0.5">
      <c r="A26" s="1" t="s">
        <v>42</v>
      </c>
      <c r="B26" s="32" t="s">
        <v>9</v>
      </c>
      <c r="F26" s="4"/>
    </row>
    <row r="27" spans="1:6" ht="18.399999999999999" thickBot="1" x14ac:dyDescent="0.5">
      <c r="A27" s="18" t="s">
        <v>43</v>
      </c>
      <c r="B27" s="31" t="s">
        <v>9</v>
      </c>
    </row>
    <row r="29" spans="1:6" ht="36" x14ac:dyDescent="0.45">
      <c r="A29" s="5" t="s">
        <v>73</v>
      </c>
    </row>
    <row r="30" spans="1:6" x14ac:dyDescent="0.45">
      <c r="A30" s="22">
        <v>41334</v>
      </c>
      <c r="B30" s="25">
        <v>93</v>
      </c>
    </row>
    <row r="31" spans="1:6" x14ac:dyDescent="0.45">
      <c r="A31" s="22">
        <v>41365</v>
      </c>
      <c r="B31" s="25">
        <v>97</v>
      </c>
    </row>
    <row r="32" spans="1:6" x14ac:dyDescent="0.45">
      <c r="A32" s="22">
        <v>41456</v>
      </c>
      <c r="B32" s="25">
        <v>88</v>
      </c>
    </row>
    <row r="33" spans="1:2" x14ac:dyDescent="0.45">
      <c r="A33" s="22">
        <v>41518</v>
      </c>
      <c r="B33" s="25">
        <v>89</v>
      </c>
    </row>
    <row r="34" spans="1:2" x14ac:dyDescent="0.45">
      <c r="A34" s="22" t="s">
        <v>46</v>
      </c>
      <c r="B34" s="28">
        <v>0.06</v>
      </c>
    </row>
    <row r="36" spans="1:2" ht="18" x14ac:dyDescent="0.45">
      <c r="A36" s="5" t="s">
        <v>53</v>
      </c>
    </row>
    <row r="37" spans="1:2" x14ac:dyDescent="0.45">
      <c r="A37" s="1" t="s">
        <v>25</v>
      </c>
      <c r="B37" s="28">
        <v>0</v>
      </c>
    </row>
    <row r="38" spans="1:2" ht="14.65" thickBot="1" x14ac:dyDescent="0.5">
      <c r="A38" s="1" t="s">
        <v>24</v>
      </c>
      <c r="B38" s="28">
        <v>0</v>
      </c>
    </row>
    <row r="39" spans="1:2" ht="18.399999999999999" thickBot="1" x14ac:dyDescent="0.5">
      <c r="A39" s="18" t="s">
        <v>20</v>
      </c>
      <c r="B39" s="31" t="s">
        <v>9</v>
      </c>
    </row>
    <row r="40" spans="1:2" x14ac:dyDescent="0.45">
      <c r="B40" s="2"/>
    </row>
    <row r="41" spans="1:2" ht="18" x14ac:dyDescent="0.45">
      <c r="A41" s="5" t="s">
        <v>23</v>
      </c>
    </row>
    <row r="42" spans="1:2" x14ac:dyDescent="0.45">
      <c r="A42" s="1" t="s">
        <v>25</v>
      </c>
      <c r="B42" s="28">
        <v>1</v>
      </c>
    </row>
    <row r="43" spans="1:2" x14ac:dyDescent="0.45">
      <c r="A43" s="1" t="s">
        <v>87</v>
      </c>
      <c r="B43" s="25">
        <v>93</v>
      </c>
    </row>
    <row r="44" spans="1:2" x14ac:dyDescent="0.45">
      <c r="A44" s="1" t="s">
        <v>45</v>
      </c>
      <c r="B44" s="32" t="s">
        <v>9</v>
      </c>
    </row>
    <row r="45" spans="1:2" x14ac:dyDescent="0.45">
      <c r="A45" s="1" t="s">
        <v>69</v>
      </c>
      <c r="B45" s="25">
        <v>4510</v>
      </c>
    </row>
    <row r="46" spans="1:2" x14ac:dyDescent="0.45">
      <c r="A46" s="1" t="s">
        <v>68</v>
      </c>
      <c r="B46" s="25">
        <v>4100</v>
      </c>
    </row>
    <row r="47" spans="1:2" x14ac:dyDescent="0.45">
      <c r="A47" s="1" t="s">
        <v>41</v>
      </c>
      <c r="B47" s="32" t="s">
        <v>9</v>
      </c>
    </row>
    <row r="48" spans="1:2" x14ac:dyDescent="0.45">
      <c r="A48" s="1" t="s">
        <v>44</v>
      </c>
      <c r="B48" s="32" t="s">
        <v>9</v>
      </c>
    </row>
    <row r="49" spans="1:2" x14ac:dyDescent="0.45">
      <c r="A49" s="22">
        <v>41365</v>
      </c>
      <c r="B49" s="32" t="s">
        <v>9</v>
      </c>
    </row>
    <row r="50" spans="1:2" x14ac:dyDescent="0.45">
      <c r="A50" s="22">
        <v>41456</v>
      </c>
      <c r="B50" s="32" t="s">
        <v>9</v>
      </c>
    </row>
    <row r="51" spans="1:2" x14ac:dyDescent="0.45">
      <c r="A51" s="22">
        <v>41518</v>
      </c>
      <c r="B51" s="32" t="s">
        <v>9</v>
      </c>
    </row>
    <row r="52" spans="1:2" x14ac:dyDescent="0.45">
      <c r="A52" s="1" t="s">
        <v>67</v>
      </c>
      <c r="B52" s="25">
        <v>1.35</v>
      </c>
    </row>
    <row r="53" spans="1:2" x14ac:dyDescent="0.45">
      <c r="A53" s="1" t="s">
        <v>28</v>
      </c>
      <c r="B53" s="32" t="s">
        <v>9</v>
      </c>
    </row>
    <row r="54" spans="1:2" x14ac:dyDescent="0.45">
      <c r="A54" s="1" t="s">
        <v>48</v>
      </c>
      <c r="B54" s="32" t="s">
        <v>9</v>
      </c>
    </row>
    <row r="55" spans="1:2" x14ac:dyDescent="0.45">
      <c r="A55" s="1" t="s">
        <v>49</v>
      </c>
      <c r="B55" s="32" t="s">
        <v>9</v>
      </c>
    </row>
    <row r="56" spans="1:2" x14ac:dyDescent="0.45">
      <c r="A56" s="1" t="s">
        <v>47</v>
      </c>
      <c r="B56" s="32" t="s">
        <v>9</v>
      </c>
    </row>
    <row r="57" spans="1:2" x14ac:dyDescent="0.45">
      <c r="A57" s="1" t="s">
        <v>50</v>
      </c>
      <c r="B57" s="32" t="s">
        <v>9</v>
      </c>
    </row>
    <row r="58" spans="1:2" x14ac:dyDescent="0.45">
      <c r="A58" s="1" t="s">
        <v>51</v>
      </c>
      <c r="B58" s="32" t="s">
        <v>9</v>
      </c>
    </row>
    <row r="59" spans="1:2" x14ac:dyDescent="0.45">
      <c r="A59" s="1" t="s">
        <v>52</v>
      </c>
      <c r="B59" s="32" t="s">
        <v>9</v>
      </c>
    </row>
    <row r="60" spans="1:2" x14ac:dyDescent="0.45">
      <c r="A60" s="1" t="s">
        <v>13</v>
      </c>
      <c r="B60" s="32" t="s">
        <v>9</v>
      </c>
    </row>
    <row r="61" spans="1:2" x14ac:dyDescent="0.45">
      <c r="B61" s="32"/>
    </row>
    <row r="62" spans="1:2" ht="18" x14ac:dyDescent="0.45">
      <c r="A62" s="5" t="s">
        <v>27</v>
      </c>
      <c r="B62" s="32"/>
    </row>
    <row r="63" spans="1:2" x14ac:dyDescent="0.45">
      <c r="A63" s="1" t="s">
        <v>85</v>
      </c>
      <c r="B63" s="32" t="s">
        <v>9</v>
      </c>
    </row>
    <row r="64" spans="1:2" x14ac:dyDescent="0.45">
      <c r="A64" s="1" t="s">
        <v>26</v>
      </c>
      <c r="B64" s="32" t="s">
        <v>9</v>
      </c>
    </row>
    <row r="65" spans="1:2" ht="14.65" thickBot="1" x14ac:dyDescent="0.5">
      <c r="A65" s="1" t="s">
        <v>86</v>
      </c>
      <c r="B65" s="32" t="s">
        <v>9</v>
      </c>
    </row>
    <row r="66" spans="1:2" ht="18.399999999999999" thickBot="1" x14ac:dyDescent="0.5">
      <c r="A66" s="18" t="s">
        <v>20</v>
      </c>
      <c r="B66" s="31" t="s">
        <v>9</v>
      </c>
    </row>
    <row r="68" spans="1:2" ht="18" x14ac:dyDescent="0.45">
      <c r="A68" s="5" t="s">
        <v>21</v>
      </c>
    </row>
    <row r="69" spans="1:2" x14ac:dyDescent="0.45">
      <c r="A69" s="1" t="s">
        <v>24</v>
      </c>
      <c r="B69" s="28">
        <v>1</v>
      </c>
    </row>
    <row r="70" spans="1:2" x14ac:dyDescent="0.45">
      <c r="A70" s="1" t="s">
        <v>18</v>
      </c>
      <c r="B70" s="25">
        <v>95</v>
      </c>
    </row>
    <row r="71" spans="1:2" x14ac:dyDescent="0.45">
      <c r="A71" s="1" t="s">
        <v>19</v>
      </c>
      <c r="B71" s="25">
        <v>2.4500000000000002</v>
      </c>
    </row>
    <row r="72" spans="1:2" x14ac:dyDescent="0.45">
      <c r="A72" s="1" t="s">
        <v>6</v>
      </c>
      <c r="B72" s="32" t="s">
        <v>9</v>
      </c>
    </row>
    <row r="73" spans="1:2" x14ac:dyDescent="0.45">
      <c r="A73" s="1" t="s">
        <v>65</v>
      </c>
      <c r="B73" s="32" t="s">
        <v>9</v>
      </c>
    </row>
    <row r="74" spans="1:2" x14ac:dyDescent="0.45">
      <c r="A74" s="1" t="s">
        <v>54</v>
      </c>
      <c r="B74" s="32" t="s">
        <v>9</v>
      </c>
    </row>
    <row r="75" spans="1:2" x14ac:dyDescent="0.45">
      <c r="A75" s="1" t="s">
        <v>55</v>
      </c>
      <c r="B75" s="32" t="s">
        <v>9</v>
      </c>
    </row>
    <row r="76" spans="1:2" x14ac:dyDescent="0.45">
      <c r="A76" s="1" t="s">
        <v>51</v>
      </c>
      <c r="B76" s="32" t="s">
        <v>9</v>
      </c>
    </row>
    <row r="77" spans="1:2" x14ac:dyDescent="0.45">
      <c r="A77" s="1" t="s">
        <v>66</v>
      </c>
      <c r="B77" s="25">
        <v>1.45</v>
      </c>
    </row>
    <row r="78" spans="1:2" x14ac:dyDescent="0.45">
      <c r="A78" s="1" t="s">
        <v>28</v>
      </c>
      <c r="B78" s="32" t="s">
        <v>9</v>
      </c>
    </row>
    <row r="79" spans="1:2" x14ac:dyDescent="0.45">
      <c r="A79" s="1" t="s">
        <v>13</v>
      </c>
      <c r="B79" s="32" t="s">
        <v>9</v>
      </c>
    </row>
    <row r="81" spans="1:6" ht="18" x14ac:dyDescent="0.45">
      <c r="A81" s="5" t="s">
        <v>22</v>
      </c>
    </row>
    <row r="82" spans="1:6" x14ac:dyDescent="0.45">
      <c r="A82" s="1" t="s">
        <v>7</v>
      </c>
      <c r="B82" s="32" t="s">
        <v>9</v>
      </c>
    </row>
    <row r="83" spans="1:6" x14ac:dyDescent="0.45">
      <c r="A83" s="1" t="s">
        <v>8</v>
      </c>
      <c r="B83" s="32" t="s">
        <v>9</v>
      </c>
      <c r="F83" s="4"/>
    </row>
    <row r="84" spans="1:6" ht="14.65" thickBot="1" x14ac:dyDescent="0.5">
      <c r="A84" s="1" t="s">
        <v>10</v>
      </c>
      <c r="B84" s="32" t="s">
        <v>9</v>
      </c>
      <c r="F84" s="4"/>
    </row>
    <row r="85" spans="1:6" ht="18.399999999999999" thickBot="1" x14ac:dyDescent="0.5">
      <c r="A85" s="1" t="s">
        <v>11</v>
      </c>
      <c r="B85" s="31" t="s">
        <v>9</v>
      </c>
    </row>
    <row r="87" spans="1:6" ht="21" x14ac:dyDescent="0.45">
      <c r="A87" s="30" t="s">
        <v>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topLeftCell="A22" workbookViewId="0">
      <selection activeCell="A34" sqref="A34"/>
    </sheetView>
  </sheetViews>
  <sheetFormatPr defaultColWidth="8.86328125" defaultRowHeight="14.25" x14ac:dyDescent="0.45"/>
  <cols>
    <col min="1" max="1" width="70.86328125" style="8" customWidth="1"/>
    <col min="2" max="2" width="11.3984375" style="8" customWidth="1"/>
    <col min="3" max="7" width="12.73046875" style="8" customWidth="1"/>
    <col min="8" max="8" width="4.73046875" style="8" customWidth="1"/>
    <col min="9" max="9" width="15.73046875" style="8" customWidth="1"/>
    <col min="10" max="16384" width="8.86328125" style="8"/>
  </cols>
  <sheetData>
    <row r="1" spans="1:9" ht="42.75" x14ac:dyDescent="0.45">
      <c r="A1" s="29" t="s">
        <v>60</v>
      </c>
    </row>
    <row r="3" spans="1:9" ht="18" x14ac:dyDescent="0.45">
      <c r="A3" s="7" t="s">
        <v>29</v>
      </c>
    </row>
    <row r="4" spans="1:9" x14ac:dyDescent="0.45">
      <c r="A4" s="1" t="s">
        <v>74</v>
      </c>
      <c r="B4" s="1">
        <v>4510</v>
      </c>
      <c r="C4" s="4">
        <f>$B$4/(C8*1000)</f>
        <v>4.8494623655913977E-2</v>
      </c>
      <c r="D4" s="4"/>
      <c r="G4" s="4"/>
      <c r="H4" s="4"/>
      <c r="I4" s="10"/>
    </row>
    <row r="5" spans="1:9" ht="28.9" thickBot="1" x14ac:dyDescent="0.5">
      <c r="A5" s="1" t="s">
        <v>75</v>
      </c>
      <c r="B5" s="1">
        <v>4100</v>
      </c>
      <c r="C5" s="4">
        <f>$B$5/(C8*1000)</f>
        <v>4.4086021505376341E-2</v>
      </c>
      <c r="D5" s="4"/>
      <c r="E5" s="4"/>
      <c r="F5" s="4"/>
      <c r="G5" s="4"/>
      <c r="H5" s="4"/>
      <c r="I5" s="10"/>
    </row>
    <row r="6" spans="1:9" ht="31.9" thickBot="1" x14ac:dyDescent="0.5">
      <c r="A6" s="1" t="s">
        <v>76</v>
      </c>
      <c r="B6" s="21">
        <f>B8*(1-C4)/(1-C5)</f>
        <v>92.571091113610805</v>
      </c>
      <c r="C6" s="3"/>
      <c r="D6" s="3"/>
      <c r="E6" s="20" t="s">
        <v>30</v>
      </c>
      <c r="F6" s="33">
        <v>1</v>
      </c>
      <c r="G6" s="3"/>
      <c r="H6" s="3"/>
    </row>
    <row r="7" spans="1:9" ht="18" x14ac:dyDescent="0.45">
      <c r="A7" s="7" t="s">
        <v>39</v>
      </c>
      <c r="C7" s="19">
        <v>41334</v>
      </c>
      <c r="D7" s="19">
        <v>41365</v>
      </c>
      <c r="E7" s="19">
        <v>41456</v>
      </c>
      <c r="F7" s="19">
        <v>41518</v>
      </c>
      <c r="G7" s="19">
        <v>41609</v>
      </c>
    </row>
    <row r="8" spans="1:9" ht="28.5" x14ac:dyDescent="0.45">
      <c r="A8" s="1" t="s">
        <v>77</v>
      </c>
      <c r="B8" s="9">
        <f>C8</f>
        <v>93</v>
      </c>
      <c r="C8" s="14">
        <v>93</v>
      </c>
      <c r="D8" s="14">
        <v>97</v>
      </c>
      <c r="E8" s="14">
        <v>88</v>
      </c>
      <c r="F8" s="14">
        <v>89</v>
      </c>
      <c r="G8" s="14">
        <v>99</v>
      </c>
      <c r="H8" s="3"/>
    </row>
    <row r="9" spans="1:9" x14ac:dyDescent="0.45">
      <c r="A9" s="1" t="s">
        <v>31</v>
      </c>
      <c r="C9" s="6">
        <f>$F$6*1000*C8</f>
        <v>93000</v>
      </c>
      <c r="D9" s="6">
        <f>$F$6*1000*D8</f>
        <v>97000</v>
      </c>
      <c r="E9" s="6">
        <f>$F$6*1000*E8</f>
        <v>88000</v>
      </c>
      <c r="F9" s="6">
        <f>$F$6*1000*F8</f>
        <v>89000</v>
      </c>
      <c r="G9" s="6">
        <f>$F$6*1000*G8</f>
        <v>99000</v>
      </c>
      <c r="H9" s="1"/>
    </row>
    <row r="10" spans="1:9" x14ac:dyDescent="0.45">
      <c r="A10" s="1" t="s">
        <v>32</v>
      </c>
      <c r="B10" s="10">
        <f>B4*$F$6</f>
        <v>4510</v>
      </c>
      <c r="C10" s="11">
        <f>B10</f>
        <v>4510</v>
      </c>
      <c r="D10" s="11">
        <f>C10</f>
        <v>4510</v>
      </c>
      <c r="E10" s="11">
        <f t="shared" ref="E10:G10" si="0">D10</f>
        <v>4510</v>
      </c>
      <c r="F10" s="11">
        <f t="shared" si="0"/>
        <v>4510</v>
      </c>
      <c r="G10" s="11">
        <f t="shared" si="0"/>
        <v>4510</v>
      </c>
      <c r="H10" s="10"/>
      <c r="I10" s="10"/>
    </row>
    <row r="11" spans="1:9" x14ac:dyDescent="0.45">
      <c r="A11" s="1" t="s">
        <v>33</v>
      </c>
      <c r="B11" s="10">
        <f>B5*F6</f>
        <v>4100</v>
      </c>
      <c r="C11" s="10"/>
      <c r="D11" s="10"/>
      <c r="E11" s="10"/>
      <c r="F11" s="10"/>
      <c r="G11" s="10"/>
      <c r="H11" s="10"/>
      <c r="I11" s="10"/>
    </row>
    <row r="12" spans="1:9" x14ac:dyDescent="0.45">
      <c r="A12" s="1" t="s">
        <v>78</v>
      </c>
      <c r="B12" s="10"/>
      <c r="C12" s="15">
        <f>C8-$B$6</f>
        <v>0.42890888638919478</v>
      </c>
      <c r="D12" s="15">
        <f>D8-$B$6</f>
        <v>4.4289088863891948</v>
      </c>
      <c r="E12" s="15">
        <f>E8-$B$6</f>
        <v>-4.5710911136108052</v>
      </c>
      <c r="F12" s="15">
        <f>F8-$B$6</f>
        <v>-3.5710911136108052</v>
      </c>
      <c r="G12" s="15">
        <f>G8-$B$6</f>
        <v>6.4289088863891948</v>
      </c>
      <c r="H12" s="9"/>
      <c r="I12" s="10"/>
    </row>
    <row r="13" spans="1:9" x14ac:dyDescent="0.45">
      <c r="A13" s="1" t="s">
        <v>34</v>
      </c>
      <c r="B13" s="10"/>
      <c r="C13" s="11">
        <f>IF(C12&gt;0,0,-C12*$F$6*1000-$B$10+$B$11)</f>
        <v>0</v>
      </c>
      <c r="D13" s="11">
        <f>IF(D12&gt;0,0,-D12*$F$6*1000-$B$10+$B$11)</f>
        <v>0</v>
      </c>
      <c r="E13" s="11">
        <f>IF(E12&gt;0,0,-E12*$F$6*1000-$B$10+$B$11)</f>
        <v>4161.0911136108052</v>
      </c>
      <c r="F13" s="11">
        <f>IF(F12&gt;0,0,-F12*$F$6*1000-$B$10+$B$11)</f>
        <v>3161.0911136108052</v>
      </c>
      <c r="G13" s="11">
        <f>IF(G12&gt;0,0,-G12*$F$6*1000-$B$10+$B$11)</f>
        <v>0</v>
      </c>
      <c r="H13" s="10"/>
      <c r="I13" s="10"/>
    </row>
    <row r="14" spans="1:9" ht="28.5" x14ac:dyDescent="0.45">
      <c r="A14" s="1" t="s">
        <v>35</v>
      </c>
      <c r="B14" s="10"/>
      <c r="C14" s="16">
        <v>0</v>
      </c>
      <c r="D14" s="11">
        <f>C16</f>
        <v>0</v>
      </c>
      <c r="E14" s="11">
        <f>D16</f>
        <v>0</v>
      </c>
      <c r="F14" s="11">
        <f>E16</f>
        <v>4161.0911136108052</v>
      </c>
      <c r="G14" s="11">
        <f>F16</f>
        <v>3161.0911136108052</v>
      </c>
      <c r="H14" s="10"/>
      <c r="I14" s="10"/>
    </row>
    <row r="15" spans="1:9" x14ac:dyDescent="0.45">
      <c r="A15" s="17" t="s">
        <v>38</v>
      </c>
      <c r="B15" s="10"/>
      <c r="C15" s="13">
        <f t="shared" ref="C15:D15" si="1">IF(C13-B13&gt;0,C13-B13,-(B13-C13))</f>
        <v>0</v>
      </c>
      <c r="D15" s="13">
        <f t="shared" si="1"/>
        <v>0</v>
      </c>
      <c r="E15" s="13">
        <f>IF(E13-D13&gt;0,E13-D13,-(D13-E13))</f>
        <v>4161.0911136108052</v>
      </c>
      <c r="F15" s="13">
        <f>IF(F13-E13&gt;0,F13-E13,-(E13-F13))</f>
        <v>-1000</v>
      </c>
      <c r="G15" s="13">
        <f>IF(G13-F13&gt;0,G13-F13,-(F13-G13))</f>
        <v>-3161.0911136108052</v>
      </c>
      <c r="H15" s="10"/>
      <c r="I15" s="10"/>
    </row>
    <row r="16" spans="1:9" ht="28.5" x14ac:dyDescent="0.45">
      <c r="A16" s="1" t="s">
        <v>36</v>
      </c>
      <c r="B16" s="10"/>
      <c r="C16" s="11">
        <f>C14+C15</f>
        <v>0</v>
      </c>
      <c r="D16" s="11">
        <f>D14+D15</f>
        <v>0</v>
      </c>
      <c r="E16" s="11">
        <f>E14+E15</f>
        <v>4161.0911136108052</v>
      </c>
      <c r="F16" s="11">
        <f>F14+F15</f>
        <v>3161.0911136108052</v>
      </c>
      <c r="G16" s="11">
        <f>G14+G15</f>
        <v>0</v>
      </c>
      <c r="H16" s="10"/>
      <c r="I16" s="10"/>
    </row>
    <row r="17" spans="1:9" ht="31.5" x14ac:dyDescent="0.45">
      <c r="A17" s="18" t="s">
        <v>37</v>
      </c>
      <c r="B17" s="10"/>
      <c r="C17" s="12">
        <f>C10+C16</f>
        <v>4510</v>
      </c>
      <c r="D17" s="12">
        <f>D10+D16</f>
        <v>4510</v>
      </c>
      <c r="E17" s="12">
        <f>E10+E16</f>
        <v>8671.0911136108043</v>
      </c>
      <c r="F17" s="12">
        <f>F10+F16</f>
        <v>7671.0911136108052</v>
      </c>
      <c r="G17" s="12">
        <f>G10+G16</f>
        <v>4510</v>
      </c>
      <c r="H17" s="10"/>
      <c r="I17" s="10"/>
    </row>
    <row r="18" spans="1:9" x14ac:dyDescent="0.45">
      <c r="A18" s="1"/>
      <c r="B18" s="10"/>
      <c r="C18" s="10"/>
      <c r="D18" s="10"/>
      <c r="E18" s="10"/>
      <c r="F18" s="10"/>
      <c r="G18" s="10"/>
      <c r="H18" s="10"/>
      <c r="I18" s="10"/>
    </row>
    <row r="20" spans="1:9" x14ac:dyDescent="0.45">
      <c r="A20" s="1" t="s">
        <v>74</v>
      </c>
      <c r="B20" s="1">
        <v>4510</v>
      </c>
      <c r="C20" s="4">
        <f>$B$20/(C24*1000)</f>
        <v>4.8494623655913977E-2</v>
      </c>
      <c r="D20" s="4"/>
      <c r="G20" s="4"/>
    </row>
    <row r="21" spans="1:9" ht="28.9" thickBot="1" x14ac:dyDescent="0.5">
      <c r="A21" s="1" t="s">
        <v>75</v>
      </c>
      <c r="B21" s="1">
        <v>4100</v>
      </c>
      <c r="C21" s="4">
        <f>$B$21/(C24*1000)</f>
        <v>4.4086021505376341E-2</v>
      </c>
      <c r="D21" s="4"/>
      <c r="G21" s="4"/>
    </row>
    <row r="22" spans="1:9" ht="31.9" thickBot="1" x14ac:dyDescent="0.5">
      <c r="A22" s="1" t="s">
        <v>76</v>
      </c>
      <c r="B22" s="21">
        <f>B24*(1+C20)/(1+C21)</f>
        <v>93.392687950566426</v>
      </c>
      <c r="C22" s="3"/>
      <c r="D22" s="3"/>
      <c r="E22" s="20" t="s">
        <v>30</v>
      </c>
      <c r="F22" s="33">
        <v>1</v>
      </c>
      <c r="G22" s="3"/>
    </row>
    <row r="23" spans="1:9" ht="18" x14ac:dyDescent="0.45">
      <c r="A23" s="7" t="s">
        <v>40</v>
      </c>
      <c r="C23" s="19">
        <v>41334</v>
      </c>
      <c r="D23" s="19">
        <v>41365</v>
      </c>
      <c r="E23" s="19">
        <v>41456</v>
      </c>
      <c r="F23" s="19">
        <v>41518</v>
      </c>
      <c r="G23" s="19">
        <v>41609</v>
      </c>
    </row>
    <row r="24" spans="1:9" ht="28.5" x14ac:dyDescent="0.45">
      <c r="A24" s="1" t="s">
        <v>77</v>
      </c>
      <c r="B24" s="9">
        <f>C24</f>
        <v>93</v>
      </c>
      <c r="C24" s="14">
        <v>93</v>
      </c>
      <c r="D24" s="14">
        <v>97</v>
      </c>
      <c r="E24" s="14">
        <v>88</v>
      </c>
      <c r="F24" s="14">
        <v>89</v>
      </c>
      <c r="G24" s="14">
        <v>99</v>
      </c>
    </row>
    <row r="25" spans="1:9" x14ac:dyDescent="0.45">
      <c r="A25" s="1" t="s">
        <v>31</v>
      </c>
      <c r="C25" s="6">
        <f>$F$22*1000*C24</f>
        <v>93000</v>
      </c>
      <c r="D25" s="6">
        <f>$F$22*1000*D24</f>
        <v>97000</v>
      </c>
      <c r="E25" s="6">
        <f>$F$22*1000*E24</f>
        <v>88000</v>
      </c>
      <c r="F25" s="6">
        <f>$F$22*1000*F24</f>
        <v>89000</v>
      </c>
      <c r="G25" s="6">
        <f>$F$22*1000*G24</f>
        <v>99000</v>
      </c>
    </row>
    <row r="26" spans="1:9" x14ac:dyDescent="0.45">
      <c r="A26" s="1" t="s">
        <v>32</v>
      </c>
      <c r="B26" s="10">
        <f>B20*$F$22</f>
        <v>4510</v>
      </c>
      <c r="C26" s="11">
        <f>B26</f>
        <v>4510</v>
      </c>
      <c r="D26" s="11">
        <f>C26</f>
        <v>4510</v>
      </c>
      <c r="E26" s="11">
        <f t="shared" ref="E26:G26" si="2">D26</f>
        <v>4510</v>
      </c>
      <c r="F26" s="11">
        <f t="shared" si="2"/>
        <v>4510</v>
      </c>
      <c r="G26" s="11">
        <f t="shared" si="2"/>
        <v>4510</v>
      </c>
    </row>
    <row r="27" spans="1:9" x14ac:dyDescent="0.45">
      <c r="A27" s="1" t="s">
        <v>33</v>
      </c>
      <c r="B27" s="10">
        <f>B21*F22</f>
        <v>4100</v>
      </c>
      <c r="C27" s="10"/>
      <c r="D27" s="10"/>
      <c r="E27" s="10"/>
      <c r="F27" s="10"/>
      <c r="G27" s="10"/>
    </row>
    <row r="28" spans="1:9" x14ac:dyDescent="0.45">
      <c r="A28" s="1" t="s">
        <v>79</v>
      </c>
      <c r="B28" s="10"/>
      <c r="C28" s="15">
        <f>$B$22-C24</f>
        <v>0.39268795056642603</v>
      </c>
      <c r="D28" s="15">
        <f>$B$22-D24</f>
        <v>-3.607312049433574</v>
      </c>
      <c r="E28" s="15">
        <f>$B$22-E24</f>
        <v>5.392687950566426</v>
      </c>
      <c r="F28" s="15">
        <f>$B$22-F24</f>
        <v>4.392687950566426</v>
      </c>
      <c r="G28" s="15">
        <f>$B$22-G24</f>
        <v>-5.607312049433574</v>
      </c>
    </row>
    <row r="29" spans="1:9" x14ac:dyDescent="0.45">
      <c r="A29" s="1" t="s">
        <v>34</v>
      </c>
      <c r="B29" s="10"/>
      <c r="C29" s="11">
        <f>IF(C28&gt;0,0,-C28*$F$22*1000-$B$26+$B$27)</f>
        <v>0</v>
      </c>
      <c r="D29" s="11">
        <f>IF(D28&gt;0,0,-D28*$F$22*1000-$B$26+$B$27)</f>
        <v>3197.312049433574</v>
      </c>
      <c r="E29" s="11">
        <f>IF(E28&gt;0,0,-E28*$F$22*1000-$B$26+$B$27)</f>
        <v>0</v>
      </c>
      <c r="F29" s="11">
        <f>IF(F28&gt;0,0,-F28*$F$22*1000-$B$26+$B$27)</f>
        <v>0</v>
      </c>
      <c r="G29" s="11">
        <f>IF(G28&gt;0,0,-G28*$F$22*1000-$B$26+$B$27)</f>
        <v>5197.3120494335744</v>
      </c>
    </row>
    <row r="30" spans="1:9" ht="28.5" x14ac:dyDescent="0.45">
      <c r="A30" s="1" t="s">
        <v>35</v>
      </c>
      <c r="B30" s="10"/>
      <c r="C30" s="16">
        <v>0</v>
      </c>
      <c r="D30" s="11">
        <f>C32</f>
        <v>0</v>
      </c>
      <c r="E30" s="11">
        <f>D32</f>
        <v>3197.312049433574</v>
      </c>
      <c r="F30" s="11">
        <f>E32</f>
        <v>0</v>
      </c>
      <c r="G30" s="11">
        <f>F32</f>
        <v>0</v>
      </c>
    </row>
    <row r="31" spans="1:9" x14ac:dyDescent="0.45">
      <c r="A31" s="17" t="s">
        <v>38</v>
      </c>
      <c r="B31" s="10"/>
      <c r="C31" s="13">
        <f t="shared" ref="C31:D31" si="3">IF(C29-B29&gt;0,C29-B29,-(B29-C29))</f>
        <v>0</v>
      </c>
      <c r="D31" s="13">
        <f t="shared" si="3"/>
        <v>3197.312049433574</v>
      </c>
      <c r="E31" s="13">
        <f>IF(E29-D29&gt;0,E29-D29,-(D29-E29))</f>
        <v>-3197.312049433574</v>
      </c>
      <c r="F31" s="13">
        <f>IF(F29-E29&gt;0,F29-E29,-(E29-F29))</f>
        <v>0</v>
      </c>
      <c r="G31" s="13">
        <f>IF(G29-F29&gt;0,G29-F29,-(F29-G29))</f>
        <v>5197.3120494335744</v>
      </c>
    </row>
    <row r="32" spans="1:9" ht="28.5" x14ac:dyDescent="0.45">
      <c r="A32" s="1" t="s">
        <v>36</v>
      </c>
      <c r="B32" s="10"/>
      <c r="C32" s="11">
        <f>C30+C31</f>
        <v>0</v>
      </c>
      <c r="D32" s="11">
        <f>D30+D31</f>
        <v>3197.312049433574</v>
      </c>
      <c r="E32" s="11">
        <f>E30+E31</f>
        <v>0</v>
      </c>
      <c r="F32" s="11">
        <f>F30+F31</f>
        <v>0</v>
      </c>
      <c r="G32" s="11">
        <f>G30+G31</f>
        <v>5197.3120494335744</v>
      </c>
    </row>
    <row r="33" spans="1:7" ht="31.5" x14ac:dyDescent="0.45">
      <c r="A33" s="18" t="s">
        <v>37</v>
      </c>
      <c r="B33" s="10"/>
      <c r="C33" s="12">
        <f>C26+C32</f>
        <v>4510</v>
      </c>
      <c r="D33" s="12">
        <f>D26+D32</f>
        <v>7707.3120494335744</v>
      </c>
      <c r="E33" s="12">
        <f>E26+E32</f>
        <v>4510</v>
      </c>
      <c r="F33" s="12">
        <f>F26+F32</f>
        <v>4510</v>
      </c>
      <c r="G33" s="12">
        <f>G26+G32</f>
        <v>9707.3120494335744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Условие</vt:lpstr>
      <vt:lpstr>Маржа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User</cp:lastModifiedBy>
  <dcterms:created xsi:type="dcterms:W3CDTF">2013-06-07T09:25:56Z</dcterms:created>
  <dcterms:modified xsi:type="dcterms:W3CDTF">2021-11-01T13:53:46Z</dcterms:modified>
</cp:coreProperties>
</file>