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ikhail Cherkasov\Desktop\Teaching\Курс Финансирование\Общие темы курса\"/>
    </mc:Choice>
  </mc:AlternateContent>
  <bookViews>
    <workbookView xWindow="0" yWindow="48" windowWidth="12288" windowHeight="5580" tabRatio="634"/>
  </bookViews>
  <sheets>
    <sheet name="Построение модели" sheetId="13" r:id="rId1"/>
    <sheet name="Бизнес-процесс" sheetId="4" r:id="rId2"/>
    <sheet name="Продажи" sheetId="32" r:id="rId3"/>
    <sheet name="Земля" sheetId="31" r:id="rId4"/>
    <sheet name="Факторы риска" sheetId="5" r:id="rId5"/>
    <sheet name="Pr P&amp;L 2012" sheetId="7" r:id="rId6"/>
    <sheet name="Tr P&amp;L 2012" sheetId="10" r:id="rId7"/>
    <sheet name="Cons P&amp;L 2012" sheetId="11" r:id="rId8"/>
    <sheet name="Pr BS 2012" sheetId="21" r:id="rId9"/>
    <sheet name="Tr BS 2012" sheetId="22" r:id="rId10"/>
    <sheet name="Cons BS 2012" sheetId="24" r:id="rId11"/>
    <sheet name="Pr CF 2012" sheetId="28" r:id="rId12"/>
    <sheet name="Tr CF 2012" sheetId="29" r:id="rId13"/>
    <sheet name="Cons CF 2012" sheetId="30" r:id="rId14"/>
    <sheet name="Предположения" sheetId="1" r:id="rId15"/>
    <sheet name="Pr Sales" sheetId="6" r:id="rId16"/>
    <sheet name="Pr Costs" sheetId="12" r:id="rId17"/>
    <sheet name="Лизинг" sheetId="8" r:id="rId18"/>
    <sheet name="Pr Fin" sheetId="14" r:id="rId19"/>
    <sheet name="Tr Sales Costs" sheetId="9" r:id="rId20"/>
    <sheet name="Tr Fin" sheetId="15" r:id="rId21"/>
    <sheet name="Pr P&amp;L proj" sheetId="16" r:id="rId22"/>
    <sheet name="Tr P&amp;L proj" sheetId="17" r:id="rId23"/>
    <sheet name="Cons P&amp;L proj" sheetId="18" r:id="rId24"/>
    <sheet name="Valuation" sheetId="39" r:id="rId25"/>
    <sheet name="Pr CF proj" sheetId="19" r:id="rId26"/>
    <sheet name="Tr CF proj" sheetId="26" r:id="rId27"/>
    <sheet name="Cons CF proj" sheetId="27" r:id="rId28"/>
    <sheet name="Pr BS proj" sheetId="20" r:id="rId29"/>
    <sheet name="Tr BS proj" sheetId="23" r:id="rId30"/>
    <sheet name="Cons BS proj" sheetId="25" r:id="rId31"/>
    <sheet name="Summary" sheetId="33" r:id="rId32"/>
    <sheet name="Pr CF quart" sheetId="34" r:id="rId33"/>
    <sheet name="Tr CF quart" sheetId="35" r:id="rId34"/>
    <sheet name="Cons CF quart" sheetId="36" r:id="rId35"/>
  </sheets>
  <externalReferences>
    <externalReference r:id="rId36"/>
    <externalReference r:id="rId37"/>
  </externalReferences>
  <definedNames>
    <definedName name="Курс2011">[1]Assumptions!$B$9</definedName>
    <definedName name="КурсСег">[2]Assumptions!$C$4</definedName>
    <definedName name="Маржа_FOBFOB">[1]Assumptions!$B$125</definedName>
    <definedName name="Цикл" localSheetId="24">Предположения!#REF!</definedName>
    <definedName name="Цикл">Предположения!#REF!</definedName>
  </definedNames>
  <calcPr calcId="152511"/>
</workbook>
</file>

<file path=xl/calcChain.xml><?xml version="1.0" encoding="utf-8"?>
<calcChain xmlns="http://schemas.openxmlformats.org/spreadsheetml/2006/main">
  <c r="C5" i="33" l="1"/>
  <c r="E4" i="39" l="1"/>
  <c r="E14" i="39" s="1"/>
  <c r="B43" i="39"/>
  <c r="K14" i="39" l="1"/>
  <c r="G14" i="39"/>
  <c r="M14" i="39"/>
  <c r="I14" i="39"/>
  <c r="L14" i="39"/>
  <c r="H14" i="39"/>
  <c r="N14" i="39"/>
  <c r="J14" i="39"/>
  <c r="F14" i="39"/>
  <c r="B19" i="22"/>
  <c r="C24" i="14"/>
  <c r="D24" i="14"/>
  <c r="E24" i="14"/>
  <c r="F24" i="14"/>
  <c r="G24" i="14"/>
  <c r="H24" i="14"/>
  <c r="I24" i="14"/>
  <c r="J24" i="14"/>
  <c r="K24" i="14"/>
  <c r="L24" i="14"/>
  <c r="M24" i="14"/>
  <c r="N24" i="14"/>
  <c r="B24" i="14"/>
  <c r="B246" i="1"/>
  <c r="B234" i="1"/>
  <c r="B252" i="1"/>
  <c r="B242" i="1"/>
  <c r="AE20" i="36" l="1"/>
  <c r="AD20" i="36"/>
  <c r="AC20" i="36"/>
  <c r="AB20" i="36"/>
  <c r="AA20" i="36"/>
  <c r="Z20" i="36"/>
  <c r="U20" i="36"/>
  <c r="P20" i="36"/>
  <c r="K20" i="36"/>
  <c r="F20" i="36"/>
  <c r="AE19" i="36"/>
  <c r="AD19" i="36"/>
  <c r="AC19" i="36"/>
  <c r="AB19" i="36"/>
  <c r="AA19" i="36"/>
  <c r="Z19" i="36"/>
  <c r="U19" i="36"/>
  <c r="P19" i="36"/>
  <c r="K19" i="36"/>
  <c r="F19" i="36"/>
  <c r="AE18" i="36"/>
  <c r="AD18" i="36"/>
  <c r="AC18" i="36"/>
  <c r="AB18" i="36"/>
  <c r="AA18" i="36"/>
  <c r="Z18" i="36"/>
  <c r="U18" i="36"/>
  <c r="P18" i="36"/>
  <c r="K18" i="36"/>
  <c r="F18" i="36"/>
  <c r="AE16" i="36"/>
  <c r="AD16" i="36"/>
  <c r="AC16" i="36"/>
  <c r="AB16" i="36"/>
  <c r="AA16" i="36"/>
  <c r="Z16" i="36"/>
  <c r="U16" i="36"/>
  <c r="P16" i="36"/>
  <c r="K16" i="36"/>
  <c r="F16" i="36"/>
  <c r="AE13" i="36"/>
  <c r="AD13" i="36"/>
  <c r="AC13" i="36"/>
  <c r="AB13" i="36"/>
  <c r="AA13" i="36"/>
  <c r="Z13" i="36"/>
  <c r="U13" i="36"/>
  <c r="P13" i="36"/>
  <c r="K13" i="36"/>
  <c r="F13" i="36"/>
  <c r="B251" i="1"/>
  <c r="B250" i="1"/>
  <c r="AA28" i="35"/>
  <c r="AB28" i="35"/>
  <c r="AC28" i="35"/>
  <c r="AD28" i="35"/>
  <c r="AE28" i="35"/>
  <c r="AA29" i="35"/>
  <c r="AB29" i="35"/>
  <c r="AC29" i="35"/>
  <c r="AD29" i="35"/>
  <c r="AE29" i="35"/>
  <c r="AA30" i="35"/>
  <c r="AB30" i="35"/>
  <c r="AC30" i="35"/>
  <c r="AD30" i="35"/>
  <c r="AE30" i="35"/>
  <c r="AA31" i="35"/>
  <c r="AB31" i="35"/>
  <c r="AC31" i="35"/>
  <c r="AD31" i="35"/>
  <c r="AE31" i="35"/>
  <c r="AA32" i="35"/>
  <c r="AB32" i="35"/>
  <c r="AC32" i="35"/>
  <c r="AD32" i="35"/>
  <c r="AE32" i="35"/>
  <c r="AA33" i="35"/>
  <c r="AB33" i="35"/>
  <c r="AC33" i="35"/>
  <c r="AD33" i="35"/>
  <c r="AE33" i="35"/>
  <c r="AA34" i="35"/>
  <c r="AB34" i="35"/>
  <c r="AC34" i="35"/>
  <c r="AD34" i="35"/>
  <c r="AE34" i="35"/>
  <c r="AA35" i="35"/>
  <c r="AB35" i="35"/>
  <c r="AC35" i="35"/>
  <c r="AD35" i="35"/>
  <c r="AE35" i="35"/>
  <c r="Z29" i="35"/>
  <c r="Z30" i="35"/>
  <c r="W30" i="35" s="1"/>
  <c r="Z31" i="35"/>
  <c r="Z32" i="35"/>
  <c r="Z33" i="35"/>
  <c r="V33" i="35" s="1"/>
  <c r="Z34" i="35"/>
  <c r="Z35" i="35"/>
  <c r="V35" i="35" s="1"/>
  <c r="Z28" i="35"/>
  <c r="U29" i="35"/>
  <c r="U30" i="35"/>
  <c r="S30" i="35" s="1"/>
  <c r="U31" i="35"/>
  <c r="R31" i="35" s="1"/>
  <c r="U32" i="35"/>
  <c r="U33" i="35"/>
  <c r="U34" i="35"/>
  <c r="S34" i="35" s="1"/>
  <c r="U35" i="35"/>
  <c r="U28" i="35"/>
  <c r="P29" i="35"/>
  <c r="P30" i="35"/>
  <c r="P31" i="35"/>
  <c r="L31" i="35" s="1"/>
  <c r="P32" i="35"/>
  <c r="N32" i="35" s="1"/>
  <c r="P33" i="35"/>
  <c r="L33" i="35" s="1"/>
  <c r="P34" i="35"/>
  <c r="N34" i="35" s="1"/>
  <c r="P35" i="35"/>
  <c r="P28" i="35"/>
  <c r="K29" i="35"/>
  <c r="K30" i="35"/>
  <c r="K31" i="35"/>
  <c r="G31" i="35" s="1"/>
  <c r="K32" i="35"/>
  <c r="K33" i="35"/>
  <c r="K34" i="35"/>
  <c r="K35" i="35"/>
  <c r="K28" i="35"/>
  <c r="F29" i="35"/>
  <c r="B29" i="35" s="1"/>
  <c r="F30" i="35"/>
  <c r="D30" i="35" s="1"/>
  <c r="F31" i="35"/>
  <c r="F32" i="35"/>
  <c r="E32" i="35" s="1"/>
  <c r="F33" i="35"/>
  <c r="B33" i="35" s="1"/>
  <c r="F34" i="35"/>
  <c r="F35" i="35"/>
  <c r="D35" i="35" s="1"/>
  <c r="F28" i="35"/>
  <c r="C13" i="29"/>
  <c r="D13" i="29"/>
  <c r="B13" i="29"/>
  <c r="AE47" i="35"/>
  <c r="AD47" i="35"/>
  <c r="AC47" i="35"/>
  <c r="AB47" i="35"/>
  <c r="AA47" i="35"/>
  <c r="Z47" i="35"/>
  <c r="U47" i="35"/>
  <c r="P47" i="35"/>
  <c r="O47" i="35" s="1"/>
  <c r="K47" i="35"/>
  <c r="G47" i="35" s="1"/>
  <c r="F47" i="35"/>
  <c r="C47" i="35" s="1"/>
  <c r="AE46" i="35"/>
  <c r="AD46" i="35"/>
  <c r="AC46" i="35"/>
  <c r="AB46" i="35"/>
  <c r="AA46" i="35"/>
  <c r="Z46" i="35"/>
  <c r="X46" i="35" s="1"/>
  <c r="U46" i="35"/>
  <c r="S46" i="35" s="1"/>
  <c r="P46" i="35"/>
  <c r="K46" i="35"/>
  <c r="H46" i="35" s="1"/>
  <c r="F46" i="35"/>
  <c r="D46" i="35" s="1"/>
  <c r="W31" i="34"/>
  <c r="X31" i="34"/>
  <c r="Y31" i="34"/>
  <c r="W34" i="34"/>
  <c r="X34" i="34"/>
  <c r="Y34" i="34"/>
  <c r="W36" i="34"/>
  <c r="X36" i="34"/>
  <c r="Y36" i="34"/>
  <c r="W37" i="34"/>
  <c r="X37" i="34"/>
  <c r="Y37" i="34"/>
  <c r="W38" i="34"/>
  <c r="X38" i="34"/>
  <c r="Y38" i="34"/>
  <c r="V38" i="34"/>
  <c r="V37" i="34"/>
  <c r="V36" i="34"/>
  <c r="V34" i="34"/>
  <c r="V31" i="34"/>
  <c r="R31" i="34"/>
  <c r="S31" i="34"/>
  <c r="T31" i="34"/>
  <c r="R34" i="34"/>
  <c r="S34" i="34"/>
  <c r="T34" i="34"/>
  <c r="R36" i="34"/>
  <c r="S36" i="34"/>
  <c r="T36" i="34"/>
  <c r="R37" i="34"/>
  <c r="S37" i="34"/>
  <c r="T37" i="34"/>
  <c r="R38" i="34"/>
  <c r="S38" i="34"/>
  <c r="T38" i="34"/>
  <c r="Q38" i="34"/>
  <c r="Q37" i="34"/>
  <c r="Q36" i="34"/>
  <c r="Q34" i="34"/>
  <c r="Q31" i="34"/>
  <c r="M31" i="34"/>
  <c r="N31" i="34"/>
  <c r="O31" i="34"/>
  <c r="M34" i="34"/>
  <c r="N34" i="34"/>
  <c r="O34" i="34"/>
  <c r="M36" i="34"/>
  <c r="N36" i="34"/>
  <c r="O36" i="34"/>
  <c r="M37" i="34"/>
  <c r="N37" i="34"/>
  <c r="O37" i="34"/>
  <c r="M38" i="34"/>
  <c r="N38" i="34"/>
  <c r="O38" i="34"/>
  <c r="L38" i="34"/>
  <c r="L37" i="34"/>
  <c r="L36" i="34"/>
  <c r="L34" i="34"/>
  <c r="L31" i="34"/>
  <c r="H31" i="34"/>
  <c r="I31" i="34"/>
  <c r="J31" i="34"/>
  <c r="H34" i="34"/>
  <c r="I34" i="34"/>
  <c r="J34" i="34"/>
  <c r="H36" i="34"/>
  <c r="I36" i="34"/>
  <c r="J36" i="34"/>
  <c r="H37" i="34"/>
  <c r="I37" i="34"/>
  <c r="J37" i="34"/>
  <c r="H38" i="34"/>
  <c r="I38" i="34"/>
  <c r="J38" i="34"/>
  <c r="G38" i="34"/>
  <c r="G37" i="34"/>
  <c r="G36" i="34"/>
  <c r="G34" i="34"/>
  <c r="G31" i="34"/>
  <c r="B31" i="34"/>
  <c r="B240" i="1"/>
  <c r="B241" i="1"/>
  <c r="B239" i="1"/>
  <c r="C34" i="34"/>
  <c r="D34" i="34"/>
  <c r="E34" i="34"/>
  <c r="C36" i="34"/>
  <c r="D36" i="34"/>
  <c r="E36" i="34"/>
  <c r="C37" i="34"/>
  <c r="D37" i="34"/>
  <c r="E37" i="34"/>
  <c r="C38" i="34"/>
  <c r="D38" i="34"/>
  <c r="E38" i="34"/>
  <c r="B38" i="34"/>
  <c r="B37" i="34"/>
  <c r="B36" i="34"/>
  <c r="B34" i="34"/>
  <c r="C31" i="34"/>
  <c r="D31" i="34"/>
  <c r="E31" i="34"/>
  <c r="B253" i="1"/>
  <c r="B249" i="1"/>
  <c r="B248" i="1"/>
  <c r="B237" i="1"/>
  <c r="B238" i="1"/>
  <c r="X35" i="35" l="1"/>
  <c r="X20" i="36" s="1"/>
  <c r="C46" i="35"/>
  <c r="C35" i="35"/>
  <c r="C20" i="36" s="1"/>
  <c r="M47" i="35"/>
  <c r="L32" i="35"/>
  <c r="O34" i="35"/>
  <c r="O19" i="36" s="1"/>
  <c r="V46" i="35"/>
  <c r="T31" i="35"/>
  <c r="T16" i="36" s="1"/>
  <c r="E46" i="35"/>
  <c r="N47" i="35"/>
  <c r="O32" i="35"/>
  <c r="Y46" i="35"/>
  <c r="R16" i="36"/>
  <c r="V20" i="36"/>
  <c r="D20" i="36"/>
  <c r="L16" i="36"/>
  <c r="G16" i="36"/>
  <c r="D31" i="35"/>
  <c r="D16" i="36" s="1"/>
  <c r="C31" i="35"/>
  <c r="C16" i="36" s="1"/>
  <c r="J35" i="35"/>
  <c r="J20" i="36" s="1"/>
  <c r="H35" i="35"/>
  <c r="H20" i="36" s="1"/>
  <c r="I35" i="35"/>
  <c r="I20" i="36" s="1"/>
  <c r="G35" i="35"/>
  <c r="G20" i="36" s="1"/>
  <c r="J31" i="35"/>
  <c r="J16" i="36" s="1"/>
  <c r="H31" i="35"/>
  <c r="H16" i="36" s="1"/>
  <c r="I31" i="35"/>
  <c r="I16" i="36" s="1"/>
  <c r="S35" i="35"/>
  <c r="S20" i="36" s="1"/>
  <c r="Q35" i="35"/>
  <c r="Q20" i="36" s="1"/>
  <c r="C34" i="35"/>
  <c r="C19" i="36" s="1"/>
  <c r="E34" i="35"/>
  <c r="E19" i="36" s="1"/>
  <c r="H34" i="35"/>
  <c r="H19" i="36" s="1"/>
  <c r="G34" i="35"/>
  <c r="G19" i="36" s="1"/>
  <c r="I30" i="35"/>
  <c r="J30" i="35"/>
  <c r="G30" i="35"/>
  <c r="N30" i="35"/>
  <c r="M30" i="35"/>
  <c r="W34" i="35"/>
  <c r="W19" i="36" s="1"/>
  <c r="Y34" i="35"/>
  <c r="Y19" i="36" s="1"/>
  <c r="J34" i="35"/>
  <c r="J19" i="36" s="1"/>
  <c r="M35" i="35"/>
  <c r="M20" i="36" s="1"/>
  <c r="N35" i="35"/>
  <c r="N20" i="36" s="1"/>
  <c r="O35" i="35"/>
  <c r="O20" i="36" s="1"/>
  <c r="L35" i="35"/>
  <c r="L20" i="36" s="1"/>
  <c r="N19" i="36"/>
  <c r="S19" i="36"/>
  <c r="AB36" i="35"/>
  <c r="B46" i="35"/>
  <c r="S47" i="35"/>
  <c r="R47" i="35"/>
  <c r="T47" i="35"/>
  <c r="G33" i="35"/>
  <c r="G18" i="36" s="1"/>
  <c r="H33" i="35"/>
  <c r="H18" i="36" s="1"/>
  <c r="G29" i="35"/>
  <c r="H29" i="35"/>
  <c r="O29" i="35"/>
  <c r="M29" i="35"/>
  <c r="S29" i="35"/>
  <c r="T29" i="35"/>
  <c r="Y29" i="35"/>
  <c r="W29" i="35"/>
  <c r="V29" i="35"/>
  <c r="AE36" i="35"/>
  <c r="J33" i="35"/>
  <c r="J18" i="36" s="1"/>
  <c r="I29" i="35"/>
  <c r="N46" i="35"/>
  <c r="O46" i="35"/>
  <c r="L46" i="35"/>
  <c r="D47" i="35"/>
  <c r="E47" i="35"/>
  <c r="W47" i="35"/>
  <c r="Y47" i="35"/>
  <c r="V47" i="35"/>
  <c r="J28" i="35"/>
  <c r="G28" i="35"/>
  <c r="G13" i="36" s="1"/>
  <c r="J32" i="35"/>
  <c r="G32" i="35"/>
  <c r="N28" i="35"/>
  <c r="N13" i="36" s="1"/>
  <c r="M28" i="35"/>
  <c r="O28" i="35"/>
  <c r="O13" i="36" s="1"/>
  <c r="T28" i="35"/>
  <c r="T13" i="36" s="1"/>
  <c r="Q28" i="35"/>
  <c r="R28" i="35"/>
  <c r="R13" i="36" s="1"/>
  <c r="T32" i="35"/>
  <c r="Q32" i="35"/>
  <c r="R32" i="35"/>
  <c r="S32" i="35"/>
  <c r="X28" i="35"/>
  <c r="X13" i="36" s="1"/>
  <c r="V28" i="35"/>
  <c r="W28" i="35"/>
  <c r="W13" i="36" s="1"/>
  <c r="Y28" i="35"/>
  <c r="Y13" i="36" s="1"/>
  <c r="X32" i="35"/>
  <c r="V32" i="35"/>
  <c r="I33" i="35"/>
  <c r="I18" i="36" s="1"/>
  <c r="I28" i="35"/>
  <c r="I13" i="36" s="1"/>
  <c r="L28" i="35"/>
  <c r="M32" i="35"/>
  <c r="X29" i="35"/>
  <c r="B18" i="36"/>
  <c r="R46" i="35"/>
  <c r="T46" i="35"/>
  <c r="Q46" i="35"/>
  <c r="H47" i="35"/>
  <c r="I47" i="35"/>
  <c r="B30" i="35"/>
  <c r="E30" i="35"/>
  <c r="B47" i="35"/>
  <c r="J47" i="35"/>
  <c r="I32" i="35"/>
  <c r="H28" i="35"/>
  <c r="H13" i="36" s="1"/>
  <c r="L29" i="35"/>
  <c r="Q47" i="35"/>
  <c r="R29" i="35"/>
  <c r="X47" i="35"/>
  <c r="Y32" i="35"/>
  <c r="O33" i="35"/>
  <c r="O18" i="36" s="1"/>
  <c r="M33" i="35"/>
  <c r="M18" i="36" s="1"/>
  <c r="N33" i="35"/>
  <c r="N18" i="36" s="1"/>
  <c r="S33" i="35"/>
  <c r="S18" i="36" s="1"/>
  <c r="Q33" i="35"/>
  <c r="Q18" i="36" s="1"/>
  <c r="R33" i="35"/>
  <c r="R18" i="36" s="1"/>
  <c r="Y33" i="35"/>
  <c r="Y18" i="36" s="1"/>
  <c r="W33" i="35"/>
  <c r="W18" i="36" s="1"/>
  <c r="X33" i="35"/>
  <c r="X18" i="36" s="1"/>
  <c r="AA36" i="35"/>
  <c r="I46" i="35"/>
  <c r="L18" i="36"/>
  <c r="G46" i="35"/>
  <c r="J46" i="35"/>
  <c r="H32" i="35"/>
  <c r="J29" i="35"/>
  <c r="M46" i="35"/>
  <c r="N29" i="35"/>
  <c r="Q29" i="35"/>
  <c r="T33" i="35"/>
  <c r="T18" i="36" s="1"/>
  <c r="S28" i="35"/>
  <c r="W32" i="35"/>
  <c r="V18" i="36"/>
  <c r="M31" i="35"/>
  <c r="M16" i="36" s="1"/>
  <c r="O31" i="35"/>
  <c r="O16" i="36" s="1"/>
  <c r="U36" i="35"/>
  <c r="S31" i="35"/>
  <c r="S16" i="36" s="1"/>
  <c r="W35" i="35"/>
  <c r="W20" i="36" s="1"/>
  <c r="Y35" i="35"/>
  <c r="Y20" i="36" s="1"/>
  <c r="Z36" i="35"/>
  <c r="W31" i="35"/>
  <c r="W16" i="36" s="1"/>
  <c r="Y31" i="35"/>
  <c r="Y16" i="36" s="1"/>
  <c r="AC36" i="35"/>
  <c r="I34" i="35"/>
  <c r="I19" i="36" s="1"/>
  <c r="L30" i="35"/>
  <c r="L34" i="35"/>
  <c r="L19" i="36" s="1"/>
  <c r="M34" i="35"/>
  <c r="M19" i="36" s="1"/>
  <c r="N31" i="35"/>
  <c r="N16" i="36" s="1"/>
  <c r="Q31" i="35"/>
  <c r="Q16" i="36" s="1"/>
  <c r="T35" i="35"/>
  <c r="T20" i="36" s="1"/>
  <c r="W46" i="35"/>
  <c r="X31" i="35"/>
  <c r="X16" i="36" s="1"/>
  <c r="K36" i="35"/>
  <c r="R34" i="35"/>
  <c r="R19" i="36" s="1"/>
  <c r="T34" i="35"/>
  <c r="T19" i="36" s="1"/>
  <c r="Q34" i="35"/>
  <c r="Q19" i="36" s="1"/>
  <c r="R30" i="35"/>
  <c r="T30" i="35"/>
  <c r="Q30" i="35"/>
  <c r="V34" i="35"/>
  <c r="V19" i="36" s="1"/>
  <c r="X34" i="35"/>
  <c r="X19" i="36" s="1"/>
  <c r="V30" i="35"/>
  <c r="X30" i="35"/>
  <c r="AD36" i="35"/>
  <c r="H30" i="35"/>
  <c r="L47" i="35"/>
  <c r="O30" i="35"/>
  <c r="R35" i="35"/>
  <c r="R20" i="36" s="1"/>
  <c r="V31" i="35"/>
  <c r="V16" i="36" s="1"/>
  <c r="Y30" i="35"/>
  <c r="D33" i="35"/>
  <c r="D18" i="36" s="1"/>
  <c r="B34" i="35"/>
  <c r="B19" i="36" s="1"/>
  <c r="C33" i="35"/>
  <c r="C18" i="36" s="1"/>
  <c r="D29" i="35"/>
  <c r="C29" i="35"/>
  <c r="C32" i="35"/>
  <c r="D32" i="35"/>
  <c r="B32" i="35"/>
  <c r="C28" i="35"/>
  <c r="C13" i="36" s="1"/>
  <c r="D28" i="35"/>
  <c r="D13" i="36" s="1"/>
  <c r="B28" i="35"/>
  <c r="B13" i="36" s="1"/>
  <c r="E28" i="35"/>
  <c r="E13" i="36" s="1"/>
  <c r="E33" i="35"/>
  <c r="E18" i="36" s="1"/>
  <c r="E29" i="35"/>
  <c r="P36" i="35"/>
  <c r="B31" i="35"/>
  <c r="B16" i="36" s="1"/>
  <c r="B35" i="35"/>
  <c r="B20" i="36" s="1"/>
  <c r="E35" i="35"/>
  <c r="E20" i="36" s="1"/>
  <c r="D34" i="35"/>
  <c r="D19" i="36" s="1"/>
  <c r="E31" i="35"/>
  <c r="E16" i="36" s="1"/>
  <c r="C30" i="35"/>
  <c r="F36" i="35"/>
  <c r="B247" i="1"/>
  <c r="B245" i="1"/>
  <c r="B244" i="1"/>
  <c r="B235" i="1"/>
  <c r="B236" i="1"/>
  <c r="B233" i="1"/>
  <c r="G36" i="35" l="1"/>
  <c r="S36" i="35"/>
  <c r="H36" i="35"/>
  <c r="S13" i="36"/>
  <c r="T36" i="35"/>
  <c r="M36" i="35"/>
  <c r="M13" i="36"/>
  <c r="Q13" i="36"/>
  <c r="Q36" i="35"/>
  <c r="N36" i="35"/>
  <c r="J36" i="35"/>
  <c r="X36" i="35"/>
  <c r="Y36" i="35"/>
  <c r="J13" i="36"/>
  <c r="L13" i="36"/>
  <c r="L36" i="35"/>
  <c r="V13" i="36"/>
  <c r="V36" i="35"/>
  <c r="W36" i="35"/>
  <c r="R36" i="35"/>
  <c r="I36" i="35"/>
  <c r="O36" i="35"/>
  <c r="B36" i="35"/>
  <c r="C36" i="35"/>
  <c r="D36" i="35"/>
  <c r="E36" i="35"/>
  <c r="C77" i="33"/>
  <c r="B216" i="1" s="1"/>
  <c r="C72" i="33"/>
  <c r="B135" i="1" s="1"/>
  <c r="C70" i="33"/>
  <c r="B134" i="1" s="1"/>
  <c r="B67" i="1"/>
  <c r="B68" i="1"/>
  <c r="B69" i="1"/>
  <c r="B70" i="1"/>
  <c r="B66" i="1"/>
  <c r="C52" i="33"/>
  <c r="D64" i="1" s="1"/>
  <c r="C45" i="33"/>
  <c r="B63" i="1" s="1"/>
  <c r="C46" i="33"/>
  <c r="B64" i="1" s="1"/>
  <c r="C51" i="33"/>
  <c r="D63" i="1" s="1"/>
  <c r="B51" i="33"/>
  <c r="B49" i="33"/>
  <c r="C49" i="33" s="1"/>
  <c r="C64" i="1" s="1"/>
  <c r="B48" i="33"/>
  <c r="C48" i="33" s="1"/>
  <c r="C63" i="1" s="1"/>
  <c r="B46" i="33"/>
  <c r="C35" i="33"/>
  <c r="D61" i="1"/>
  <c r="D60" i="1"/>
  <c r="C61" i="1"/>
  <c r="C60" i="1"/>
  <c r="B61" i="1"/>
  <c r="B60" i="1"/>
  <c r="C23" i="33"/>
  <c r="B39" i="1" s="1"/>
  <c r="G36" i="1" s="1"/>
  <c r="C24" i="33"/>
  <c r="B40" i="1" s="1"/>
  <c r="H36" i="1" s="1"/>
  <c r="C25" i="33"/>
  <c r="B41" i="1" s="1"/>
  <c r="I36" i="1" s="1"/>
  <c r="C26" i="33"/>
  <c r="B42" i="1" s="1"/>
  <c r="J36" i="1" s="1"/>
  <c r="C22" i="33"/>
  <c r="B38" i="1" s="1"/>
  <c r="F36" i="1" s="1"/>
  <c r="C17" i="33"/>
  <c r="B35" i="1" s="1"/>
  <c r="C11" i="33"/>
  <c r="B9" i="1" s="1"/>
  <c r="B7" i="1"/>
  <c r="G11" i="33"/>
  <c r="H11" i="33"/>
  <c r="I11" i="33"/>
  <c r="J11" i="33"/>
  <c r="F11" i="33"/>
  <c r="F37" i="25"/>
  <c r="G37" i="25"/>
  <c r="H37" i="25"/>
  <c r="I37" i="25"/>
  <c r="J37" i="25"/>
  <c r="K37" i="25"/>
  <c r="L37" i="25"/>
  <c r="M37" i="25"/>
  <c r="N37" i="25"/>
  <c r="F30" i="25"/>
  <c r="G30" i="25"/>
  <c r="H30" i="25"/>
  <c r="I30" i="25"/>
  <c r="J30" i="25"/>
  <c r="K30" i="25"/>
  <c r="L30" i="25"/>
  <c r="M30" i="25"/>
  <c r="N30" i="25"/>
  <c r="E37" i="25"/>
  <c r="E30" i="25"/>
  <c r="F14" i="25"/>
  <c r="G14" i="25"/>
  <c r="H14" i="25"/>
  <c r="I14" i="25"/>
  <c r="J14" i="25"/>
  <c r="K14" i="25"/>
  <c r="L14" i="25"/>
  <c r="M14" i="25"/>
  <c r="N14" i="25"/>
  <c r="E14" i="25"/>
  <c r="F11" i="23"/>
  <c r="G11" i="23" s="1"/>
  <c r="H11" i="23" s="1"/>
  <c r="I11" i="23" s="1"/>
  <c r="J11" i="23" s="1"/>
  <c r="K11" i="23" s="1"/>
  <c r="L11" i="23" s="1"/>
  <c r="M11" i="23" s="1"/>
  <c r="N11" i="23" s="1"/>
  <c r="N20" i="23"/>
  <c r="M20" i="23"/>
  <c r="L20" i="23"/>
  <c r="K20" i="23"/>
  <c r="J20" i="23"/>
  <c r="I20" i="23"/>
  <c r="H20" i="23"/>
  <c r="G20" i="23"/>
  <c r="F20" i="23"/>
  <c r="E20" i="23"/>
  <c r="N39" i="23"/>
  <c r="M39" i="23"/>
  <c r="L39" i="23"/>
  <c r="K39" i="23"/>
  <c r="J39" i="23"/>
  <c r="I39" i="23"/>
  <c r="H39" i="23"/>
  <c r="G39" i="23"/>
  <c r="F39" i="23"/>
  <c r="E39" i="23"/>
  <c r="F20" i="20"/>
  <c r="F20" i="25" s="1"/>
  <c r="G20" i="20"/>
  <c r="H20" i="20"/>
  <c r="H20" i="25" s="1"/>
  <c r="I20" i="20"/>
  <c r="J20" i="20"/>
  <c r="K20" i="20"/>
  <c r="L20" i="20"/>
  <c r="L20" i="25" s="1"/>
  <c r="M20" i="20"/>
  <c r="N20" i="20"/>
  <c r="N20" i="25" s="1"/>
  <c r="E20" i="20"/>
  <c r="E20" i="25" s="1"/>
  <c r="B19" i="20"/>
  <c r="F39" i="20"/>
  <c r="G39" i="20"/>
  <c r="G39" i="25" s="1"/>
  <c r="H39" i="20"/>
  <c r="I39" i="20"/>
  <c r="J39" i="20"/>
  <c r="K39" i="20"/>
  <c r="K39" i="25" s="1"/>
  <c r="L39" i="20"/>
  <c r="M39" i="20"/>
  <c r="M39" i="25" s="1"/>
  <c r="N39" i="20"/>
  <c r="E39" i="20"/>
  <c r="D19" i="22"/>
  <c r="C19" i="22"/>
  <c r="D19" i="21"/>
  <c r="D19" i="20" s="1"/>
  <c r="D37" i="21"/>
  <c r="D38" i="20" s="1"/>
  <c r="C37" i="21"/>
  <c r="C37" i="24" s="1"/>
  <c r="C38" i="25" s="1"/>
  <c r="B37" i="21"/>
  <c r="B37" i="24" s="1"/>
  <c r="B38" i="25" s="1"/>
  <c r="C19" i="21"/>
  <c r="C19" i="20" s="1"/>
  <c r="B19" i="21"/>
  <c r="C35" i="24"/>
  <c r="C36" i="25" s="1"/>
  <c r="D35" i="24"/>
  <c r="D36" i="25" s="1"/>
  <c r="C36" i="24"/>
  <c r="C37" i="25" s="1"/>
  <c r="D36" i="24"/>
  <c r="D37" i="25" s="1"/>
  <c r="B35" i="24"/>
  <c r="B36" i="25" s="1"/>
  <c r="B36" i="24"/>
  <c r="B37" i="25" s="1"/>
  <c r="C29" i="24"/>
  <c r="C30" i="25" s="1"/>
  <c r="D29" i="24"/>
  <c r="D30" i="25" s="1"/>
  <c r="C31" i="24"/>
  <c r="C32" i="25" s="1"/>
  <c r="D31" i="24"/>
  <c r="D32" i="25" s="1"/>
  <c r="B31" i="24"/>
  <c r="B32" i="25" s="1"/>
  <c r="B29" i="24"/>
  <c r="B30" i="25" s="1"/>
  <c r="B24" i="24"/>
  <c r="B25" i="25" s="1"/>
  <c r="B25" i="24"/>
  <c r="B26" i="25" s="1"/>
  <c r="C25" i="24"/>
  <c r="C26" i="25" s="1"/>
  <c r="B26" i="24"/>
  <c r="B27" i="25" s="1"/>
  <c r="C13" i="24"/>
  <c r="C13" i="25" s="1"/>
  <c r="D13" i="24"/>
  <c r="D13" i="25" s="1"/>
  <c r="C14" i="24"/>
  <c r="C14" i="25" s="1"/>
  <c r="D14" i="24"/>
  <c r="D14" i="25" s="1"/>
  <c r="C15" i="24"/>
  <c r="C15" i="25" s="1"/>
  <c r="D15" i="24"/>
  <c r="D15" i="25" s="1"/>
  <c r="B14" i="24"/>
  <c r="B14" i="25" s="1"/>
  <c r="B15" i="24"/>
  <c r="B15" i="25" s="1"/>
  <c r="B13" i="24"/>
  <c r="B13" i="25" s="1"/>
  <c r="C25" i="19"/>
  <c r="D25" i="19"/>
  <c r="B25" i="19"/>
  <c r="D19" i="24" l="1"/>
  <c r="D19" i="25" s="1"/>
  <c r="C19" i="24"/>
  <c r="C19" i="25" s="1"/>
  <c r="J20" i="25"/>
  <c r="H39" i="25"/>
  <c r="E39" i="25"/>
  <c r="K20" i="25"/>
  <c r="G20" i="25"/>
  <c r="L39" i="25"/>
  <c r="I39" i="25"/>
  <c r="B19" i="24"/>
  <c r="B19" i="25" s="1"/>
  <c r="D37" i="24"/>
  <c r="D38" i="25" s="1"/>
  <c r="F39" i="25"/>
  <c r="N39" i="25"/>
  <c r="J39" i="25"/>
  <c r="M20" i="25"/>
  <c r="I20" i="25"/>
  <c r="C38" i="20"/>
  <c r="B38" i="20"/>
  <c r="F13" i="27"/>
  <c r="G13" i="27"/>
  <c r="H13" i="27"/>
  <c r="I13" i="27"/>
  <c r="J13" i="27"/>
  <c r="K13" i="27"/>
  <c r="L13" i="27"/>
  <c r="M13" i="27"/>
  <c r="N13" i="27"/>
  <c r="F16" i="27"/>
  <c r="G16" i="27"/>
  <c r="H16" i="27"/>
  <c r="I16" i="27"/>
  <c r="J16" i="27"/>
  <c r="K16" i="27"/>
  <c r="L16" i="27"/>
  <c r="M16" i="27"/>
  <c r="N16" i="27"/>
  <c r="F18" i="27"/>
  <c r="G18" i="27"/>
  <c r="H18" i="27"/>
  <c r="I18" i="27"/>
  <c r="J18" i="27"/>
  <c r="K18" i="27"/>
  <c r="L18" i="27"/>
  <c r="M18" i="27"/>
  <c r="N18" i="27"/>
  <c r="F19" i="27"/>
  <c r="G19" i="27"/>
  <c r="H19" i="27"/>
  <c r="I19" i="27"/>
  <c r="J19" i="27"/>
  <c r="K19" i="27"/>
  <c r="L19" i="27"/>
  <c r="M19" i="27"/>
  <c r="N19" i="27"/>
  <c r="F20" i="27"/>
  <c r="G20" i="27"/>
  <c r="H20" i="27"/>
  <c r="I20" i="27"/>
  <c r="J20" i="27"/>
  <c r="K20" i="27"/>
  <c r="L20" i="27"/>
  <c r="M20" i="27"/>
  <c r="N20" i="27"/>
  <c r="E16" i="27"/>
  <c r="E18" i="27"/>
  <c r="E19" i="27"/>
  <c r="E20" i="27"/>
  <c r="E13" i="27"/>
  <c r="F44" i="26"/>
  <c r="G44" i="26"/>
  <c r="H44" i="26"/>
  <c r="I44" i="26"/>
  <c r="J44" i="26"/>
  <c r="K44" i="26"/>
  <c r="L44" i="26"/>
  <c r="M44" i="26"/>
  <c r="N44" i="26"/>
  <c r="F45" i="26"/>
  <c r="G45" i="26"/>
  <c r="H45" i="26"/>
  <c r="I45" i="26"/>
  <c r="J45" i="26"/>
  <c r="K45" i="26"/>
  <c r="L45" i="26"/>
  <c r="M45" i="26"/>
  <c r="N45" i="26"/>
  <c r="C43" i="29"/>
  <c r="D43" i="29"/>
  <c r="C44" i="29"/>
  <c r="D44" i="29"/>
  <c r="B44" i="29"/>
  <c r="B43" i="29"/>
  <c r="E45" i="26"/>
  <c r="E44" i="26"/>
  <c r="C44" i="26"/>
  <c r="D44" i="26"/>
  <c r="C45" i="26"/>
  <c r="D45" i="26"/>
  <c r="B45" i="26"/>
  <c r="B44" i="26"/>
  <c r="C22" i="26"/>
  <c r="D22" i="26"/>
  <c r="B22" i="26"/>
  <c r="C30" i="23"/>
  <c r="D30" i="23"/>
  <c r="C31" i="23"/>
  <c r="D31" i="23"/>
  <c r="C32" i="23"/>
  <c r="D32" i="23"/>
  <c r="C35" i="23"/>
  <c r="D35" i="23"/>
  <c r="C36" i="23"/>
  <c r="C48" i="23" s="1"/>
  <c r="D36" i="23"/>
  <c r="D48" i="23" s="1"/>
  <c r="C37" i="23"/>
  <c r="D37" i="23"/>
  <c r="C38" i="23"/>
  <c r="D38" i="23"/>
  <c r="B35" i="23"/>
  <c r="B36" i="23"/>
  <c r="B48" i="23" s="1"/>
  <c r="B37" i="23"/>
  <c r="B38" i="23"/>
  <c r="B31" i="23"/>
  <c r="B32" i="23"/>
  <c r="B30" i="23"/>
  <c r="C25" i="23"/>
  <c r="D25" i="23"/>
  <c r="C26" i="23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B25" i="23"/>
  <c r="B26" i="23"/>
  <c r="B27" i="23"/>
  <c r="B24" i="23"/>
  <c r="C19" i="23"/>
  <c r="D19" i="23"/>
  <c r="C11" i="23"/>
  <c r="D11" i="23"/>
  <c r="B19" i="23"/>
  <c r="B11" i="23"/>
  <c r="C14" i="26"/>
  <c r="D14" i="26"/>
  <c r="B14" i="26"/>
  <c r="D196" i="1"/>
  <c r="E196" i="1"/>
  <c r="C196" i="1"/>
  <c r="C194" i="1"/>
  <c r="C23" i="22"/>
  <c r="C24" i="23" s="1"/>
  <c r="D17" i="22"/>
  <c r="D17" i="24" s="1"/>
  <c r="D17" i="25" s="1"/>
  <c r="D16" i="22"/>
  <c r="D16" i="24" s="1"/>
  <c r="D16" i="25" s="1"/>
  <c r="C17" i="22"/>
  <c r="C17" i="24" s="1"/>
  <c r="C17" i="25" s="1"/>
  <c r="C16" i="22"/>
  <c r="C16" i="24" s="1"/>
  <c r="C16" i="25" s="1"/>
  <c r="B17" i="22"/>
  <c r="B17" i="24" s="1"/>
  <c r="B17" i="25" s="1"/>
  <c r="B16" i="22"/>
  <c r="B16" i="24" s="1"/>
  <c r="B16" i="25" s="1"/>
  <c r="C198" i="1"/>
  <c r="C197" i="1"/>
  <c r="B33" i="22"/>
  <c r="B34" i="23" s="1"/>
  <c r="C27" i="15"/>
  <c r="D27" i="15"/>
  <c r="E27" i="15"/>
  <c r="F27" i="15"/>
  <c r="G27" i="15"/>
  <c r="H27" i="15"/>
  <c r="I27" i="15"/>
  <c r="J27" i="15"/>
  <c r="K27" i="15"/>
  <c r="L27" i="15"/>
  <c r="M27" i="15"/>
  <c r="N27" i="15"/>
  <c r="B27" i="15"/>
  <c r="B26" i="15"/>
  <c r="C26" i="15" s="1"/>
  <c r="B49" i="29"/>
  <c r="B18" i="22" s="1"/>
  <c r="B18" i="23" s="1"/>
  <c r="B15" i="30"/>
  <c r="B16" i="27" s="1"/>
  <c r="C15" i="30"/>
  <c r="C16" i="27" s="1"/>
  <c r="D15" i="30"/>
  <c r="D16" i="27" s="1"/>
  <c r="B17" i="30"/>
  <c r="B18" i="27" s="1"/>
  <c r="C17" i="30"/>
  <c r="C18" i="27" s="1"/>
  <c r="D17" i="30"/>
  <c r="D18" i="27" s="1"/>
  <c r="B18" i="30"/>
  <c r="B19" i="27" s="1"/>
  <c r="C18" i="30"/>
  <c r="C19" i="27" s="1"/>
  <c r="D18" i="30"/>
  <c r="D19" i="27" s="1"/>
  <c r="B19" i="30"/>
  <c r="B20" i="27" s="1"/>
  <c r="C19" i="30"/>
  <c r="C20" i="27" s="1"/>
  <c r="D19" i="30"/>
  <c r="D20" i="27" s="1"/>
  <c r="C12" i="30"/>
  <c r="C13" i="27" s="1"/>
  <c r="D12" i="30"/>
  <c r="D13" i="27" s="1"/>
  <c r="B12" i="30"/>
  <c r="B13" i="27" s="1"/>
  <c r="B14" i="15"/>
  <c r="C14" i="15"/>
  <c r="D14" i="15"/>
  <c r="F14" i="15"/>
  <c r="G14" i="15" s="1"/>
  <c r="H14" i="15" s="1"/>
  <c r="I14" i="15" s="1"/>
  <c r="J14" i="15" s="1"/>
  <c r="K14" i="15" s="1"/>
  <c r="L14" i="15" s="1"/>
  <c r="M14" i="15" s="1"/>
  <c r="N14" i="15" s="1"/>
  <c r="C38" i="29"/>
  <c r="C39" i="26" s="1"/>
  <c r="D38" i="29"/>
  <c r="D39" i="26" s="1"/>
  <c r="C39" i="29"/>
  <c r="C40" i="26" s="1"/>
  <c r="D39" i="29"/>
  <c r="D40" i="26" s="1"/>
  <c r="C40" i="29"/>
  <c r="C41" i="26" s="1"/>
  <c r="D40" i="29"/>
  <c r="D41" i="26" s="1"/>
  <c r="C41" i="29"/>
  <c r="C42" i="26" s="1"/>
  <c r="D41" i="29"/>
  <c r="D42" i="26" s="1"/>
  <c r="B39" i="29"/>
  <c r="B40" i="26" s="1"/>
  <c r="B40" i="29"/>
  <c r="B41" i="26" s="1"/>
  <c r="B41" i="29"/>
  <c r="B42" i="26" s="1"/>
  <c r="B38" i="29"/>
  <c r="B39" i="26" s="1"/>
  <c r="C36" i="29"/>
  <c r="D36" i="29"/>
  <c r="B36" i="29"/>
  <c r="B37" i="26" s="1"/>
  <c r="C7" i="29"/>
  <c r="C8" i="26" s="1"/>
  <c r="D7" i="29"/>
  <c r="D8" i="26" s="1"/>
  <c r="C8" i="29"/>
  <c r="C9" i="26" s="1"/>
  <c r="D8" i="29"/>
  <c r="D9" i="26" s="1"/>
  <c r="B8" i="29"/>
  <c r="B9" i="26" s="1"/>
  <c r="B7" i="29"/>
  <c r="B8" i="26" s="1"/>
  <c r="C20" i="29"/>
  <c r="C21" i="26" s="1"/>
  <c r="D20" i="29"/>
  <c r="D21" i="26" s="1"/>
  <c r="B20" i="29"/>
  <c r="B21" i="26" s="1"/>
  <c r="B16" i="29"/>
  <c r="B17" i="26" s="1"/>
  <c r="C16" i="29"/>
  <c r="C17" i="26" s="1"/>
  <c r="D16" i="29"/>
  <c r="D17" i="26" s="1"/>
  <c r="B17" i="29"/>
  <c r="B18" i="26" s="1"/>
  <c r="C17" i="29"/>
  <c r="C18" i="26" s="1"/>
  <c r="D17" i="29"/>
  <c r="D18" i="26" s="1"/>
  <c r="B18" i="29"/>
  <c r="B19" i="26" s="1"/>
  <c r="C18" i="29"/>
  <c r="C19" i="26" s="1"/>
  <c r="D18" i="29"/>
  <c r="D19" i="26" s="1"/>
  <c r="B19" i="29"/>
  <c r="B20" i="26" s="1"/>
  <c r="C19" i="29"/>
  <c r="C20" i="26" s="1"/>
  <c r="D19" i="29"/>
  <c r="D20" i="26" s="1"/>
  <c r="C15" i="29"/>
  <c r="C16" i="26" s="1"/>
  <c r="D15" i="29"/>
  <c r="D16" i="26" s="1"/>
  <c r="B15" i="29"/>
  <c r="B16" i="26" s="1"/>
  <c r="B11" i="29"/>
  <c r="B12" i="26" s="1"/>
  <c r="C11" i="29"/>
  <c r="C12" i="26" s="1"/>
  <c r="D11" i="29"/>
  <c r="D12" i="26" s="1"/>
  <c r="B12" i="29"/>
  <c r="B13" i="26" s="1"/>
  <c r="C12" i="29"/>
  <c r="C13" i="26" s="1"/>
  <c r="D12" i="29"/>
  <c r="D13" i="26" s="1"/>
  <c r="B14" i="29"/>
  <c r="B15" i="26" s="1"/>
  <c r="C14" i="29"/>
  <c r="C15" i="26" s="1"/>
  <c r="D14" i="29"/>
  <c r="D15" i="26" s="1"/>
  <c r="D17" i="23" l="1"/>
  <c r="D46" i="23" s="1"/>
  <c r="B28" i="15"/>
  <c r="C28" i="15"/>
  <c r="E195" i="1"/>
  <c r="D194" i="1"/>
  <c r="D26" i="15"/>
  <c r="D28" i="15" s="1"/>
  <c r="C33" i="22"/>
  <c r="C34" i="23" s="1"/>
  <c r="E194" i="1"/>
  <c r="D195" i="1"/>
  <c r="B16" i="23"/>
  <c r="B47" i="23" s="1"/>
  <c r="C17" i="23"/>
  <c r="C46" i="23" s="1"/>
  <c r="D16" i="23"/>
  <c r="D47" i="23" s="1"/>
  <c r="D49" i="23" s="1"/>
  <c r="C195" i="1"/>
  <c r="B17" i="23"/>
  <c r="B46" i="23" s="1"/>
  <c r="B49" i="23" s="1"/>
  <c r="C16" i="23"/>
  <c r="C47" i="23" s="1"/>
  <c r="D7" i="26"/>
  <c r="D11" i="26"/>
  <c r="D10" i="26" s="1"/>
  <c r="C7" i="26"/>
  <c r="B7" i="26"/>
  <c r="C11" i="26"/>
  <c r="C10" i="26" s="1"/>
  <c r="B11" i="26"/>
  <c r="B10" i="26" s="1"/>
  <c r="C6" i="29"/>
  <c r="B6" i="29"/>
  <c r="D6" i="29"/>
  <c r="C183" i="1"/>
  <c r="C182" i="1"/>
  <c r="D181" i="1"/>
  <c r="E181" i="1"/>
  <c r="C181" i="1"/>
  <c r="D180" i="1"/>
  <c r="E180" i="1"/>
  <c r="C180" i="1"/>
  <c r="D179" i="1"/>
  <c r="E179" i="1"/>
  <c r="C179" i="1"/>
  <c r="D178" i="1"/>
  <c r="E178" i="1"/>
  <c r="C178" i="1"/>
  <c r="D177" i="1"/>
  <c r="E177" i="1"/>
  <c r="C177" i="1"/>
  <c r="C49" i="23" l="1"/>
  <c r="D33" i="22"/>
  <c r="D34" i="23" s="1"/>
  <c r="E26" i="15"/>
  <c r="D23" i="26"/>
  <c r="B23" i="26"/>
  <c r="C23" i="26"/>
  <c r="E34" i="23" l="1"/>
  <c r="F26" i="15"/>
  <c r="E28" i="15"/>
  <c r="B8" i="30"/>
  <c r="C36" i="20"/>
  <c r="D36" i="20"/>
  <c r="D49" i="20" s="1"/>
  <c r="C37" i="20"/>
  <c r="D37" i="20"/>
  <c r="B36" i="20"/>
  <c r="B37" i="20"/>
  <c r="C29" i="23"/>
  <c r="D29" i="23"/>
  <c r="B29" i="23"/>
  <c r="C28" i="22"/>
  <c r="D28" i="22"/>
  <c r="B28" i="22"/>
  <c r="C30" i="20"/>
  <c r="D30" i="20"/>
  <c r="C32" i="20"/>
  <c r="D32" i="20"/>
  <c r="B32" i="20"/>
  <c r="B30" i="20"/>
  <c r="C26" i="20"/>
  <c r="B25" i="20"/>
  <c r="B26" i="20"/>
  <c r="B27" i="20"/>
  <c r="C13" i="20"/>
  <c r="D13" i="20"/>
  <c r="C14" i="20"/>
  <c r="D14" i="20"/>
  <c r="C15" i="20"/>
  <c r="D15" i="20"/>
  <c r="D46" i="20" s="1"/>
  <c r="C16" i="20"/>
  <c r="D16" i="20"/>
  <c r="C17" i="20"/>
  <c r="C47" i="20" s="1"/>
  <c r="D17" i="20"/>
  <c r="D47" i="20" s="1"/>
  <c r="B14" i="20"/>
  <c r="B15" i="20"/>
  <c r="B16" i="20"/>
  <c r="B17" i="20"/>
  <c r="B47" i="20" s="1"/>
  <c r="B13" i="20"/>
  <c r="D25" i="21"/>
  <c r="B53" i="28"/>
  <c r="B54" i="19"/>
  <c r="C46" i="20" l="1"/>
  <c r="G26" i="15"/>
  <c r="F34" i="23"/>
  <c r="F28" i="15"/>
  <c r="D26" i="20"/>
  <c r="E26" i="20" s="1"/>
  <c r="D25" i="24"/>
  <c r="D26" i="25" s="1"/>
  <c r="C48" i="20"/>
  <c r="B46" i="20"/>
  <c r="B9" i="27"/>
  <c r="B11" i="39" s="1"/>
  <c r="D48" i="20"/>
  <c r="D50" i="20" s="1"/>
  <c r="B48" i="20"/>
  <c r="D33" i="29"/>
  <c r="C33" i="29"/>
  <c r="B33" i="29"/>
  <c r="L34" i="26"/>
  <c r="H34" i="26"/>
  <c r="D34" i="26"/>
  <c r="N34" i="26"/>
  <c r="J34" i="26"/>
  <c r="F34" i="26"/>
  <c r="B34" i="26"/>
  <c r="M34" i="26"/>
  <c r="K34" i="26"/>
  <c r="I34" i="26"/>
  <c r="G34" i="26"/>
  <c r="E34" i="26"/>
  <c r="C34" i="26"/>
  <c r="C5" i="25"/>
  <c r="B5" i="25"/>
  <c r="C5" i="24"/>
  <c r="B5" i="24"/>
  <c r="C33" i="23"/>
  <c r="B33" i="23"/>
  <c r="E25" i="23"/>
  <c r="F25" i="23" s="1"/>
  <c r="G25" i="23" s="1"/>
  <c r="H25" i="23" s="1"/>
  <c r="I25" i="23" s="1"/>
  <c r="J25" i="23" s="1"/>
  <c r="K25" i="23" s="1"/>
  <c r="L25" i="23" s="1"/>
  <c r="M25" i="23" s="1"/>
  <c r="N25" i="23" s="1"/>
  <c r="C5" i="23"/>
  <c r="B5" i="23"/>
  <c r="C24" i="21"/>
  <c r="C24" i="24" s="1"/>
  <c r="C25" i="25" s="1"/>
  <c r="B36" i="8"/>
  <c r="H26" i="15" l="1"/>
  <c r="G34" i="23"/>
  <c r="G28" i="15"/>
  <c r="F26" i="20"/>
  <c r="E26" i="25"/>
  <c r="D33" i="23"/>
  <c r="C50" i="23"/>
  <c r="D24" i="21"/>
  <c r="C25" i="20"/>
  <c r="O38" i="8"/>
  <c r="N35" i="20" s="1"/>
  <c r="N35" i="25" s="1"/>
  <c r="B23" i="21"/>
  <c r="B23" i="24" s="1"/>
  <c r="D32" i="22"/>
  <c r="C32" i="22"/>
  <c r="B32" i="22"/>
  <c r="D23" i="22"/>
  <c r="D24" i="23" s="1"/>
  <c r="B12" i="22"/>
  <c r="C5" i="22"/>
  <c r="B5" i="22"/>
  <c r="C5" i="21"/>
  <c r="B5" i="21"/>
  <c r="C5" i="20"/>
  <c r="C49" i="20"/>
  <c r="C50" i="20" s="1"/>
  <c r="B5" i="20"/>
  <c r="E24" i="23" l="1"/>
  <c r="F24" i="23" s="1"/>
  <c r="G24" i="23" s="1"/>
  <c r="I26" i="15"/>
  <c r="H34" i="23"/>
  <c r="H28" i="15"/>
  <c r="D25" i="20"/>
  <c r="E25" i="20" s="1"/>
  <c r="D24" i="24"/>
  <c r="D25" i="25" s="1"/>
  <c r="G26" i="20"/>
  <c r="F26" i="25"/>
  <c r="B24" i="25"/>
  <c r="C23" i="21"/>
  <c r="C23" i="24" s="1"/>
  <c r="B24" i="20"/>
  <c r="D50" i="23"/>
  <c r="H24" i="23"/>
  <c r="B28" i="8"/>
  <c r="B13" i="8"/>
  <c r="B49" i="20"/>
  <c r="B50" i="20" s="1"/>
  <c r="B40" i="14"/>
  <c r="C40" i="14" s="1"/>
  <c r="D40" i="14" s="1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B35" i="14"/>
  <c r="C35" i="14" s="1"/>
  <c r="D35" i="14" s="1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B28" i="14"/>
  <c r="C34" i="14"/>
  <c r="D34" i="14"/>
  <c r="C32" i="14"/>
  <c r="D32" i="14"/>
  <c r="B34" i="14"/>
  <c r="B32" i="14"/>
  <c r="C27" i="14"/>
  <c r="D27" i="14"/>
  <c r="B27" i="14"/>
  <c r="C25" i="14"/>
  <c r="D25" i="14"/>
  <c r="B25" i="14"/>
  <c r="J26" i="15" l="1"/>
  <c r="I34" i="23"/>
  <c r="I28" i="15"/>
  <c r="F25" i="20"/>
  <c r="E25" i="25"/>
  <c r="H26" i="20"/>
  <c r="G26" i="25"/>
  <c r="C24" i="25"/>
  <c r="C51" i="20"/>
  <c r="C8" i="30" s="1"/>
  <c r="D51" i="20"/>
  <c r="D8" i="30" s="1"/>
  <c r="D23" i="21"/>
  <c r="C24" i="20"/>
  <c r="B45" i="28"/>
  <c r="B44" i="28"/>
  <c r="D45" i="28"/>
  <c r="D44" i="28"/>
  <c r="C45" i="28"/>
  <c r="C44" i="28"/>
  <c r="C25" i="30" s="1"/>
  <c r="C26" i="27" s="1"/>
  <c r="I24" i="23"/>
  <c r="B45" i="19"/>
  <c r="D46" i="19"/>
  <c r="C28" i="14"/>
  <c r="B29" i="14"/>
  <c r="B33" i="21" s="1"/>
  <c r="B33" i="24" s="1"/>
  <c r="B11" i="14"/>
  <c r="B10" i="14" s="1"/>
  <c r="B37" i="7" s="1"/>
  <c r="D45" i="19"/>
  <c r="C45" i="19"/>
  <c r="B46" i="19"/>
  <c r="C46" i="19"/>
  <c r="B14" i="1"/>
  <c r="F14" i="1" s="1"/>
  <c r="K26" i="15" l="1"/>
  <c r="J34" i="23"/>
  <c r="J28" i="15"/>
  <c r="G25" i="20"/>
  <c r="F25" i="25"/>
  <c r="I26" i="20"/>
  <c r="H26" i="25"/>
  <c r="D24" i="20"/>
  <c r="E24" i="20" s="1"/>
  <c r="E24" i="25" s="1"/>
  <c r="D23" i="24"/>
  <c r="B34" i="25"/>
  <c r="B20" i="39" s="1"/>
  <c r="D9" i="27"/>
  <c r="D11" i="39" s="1"/>
  <c r="C9" i="27"/>
  <c r="C11" i="39" s="1"/>
  <c r="C26" i="30"/>
  <c r="C27" i="27" s="1"/>
  <c r="B25" i="30"/>
  <c r="B26" i="27" s="1"/>
  <c r="B26" i="30"/>
  <c r="B27" i="27" s="1"/>
  <c r="B34" i="20"/>
  <c r="D25" i="30"/>
  <c r="D26" i="27" s="1"/>
  <c r="D26" i="30"/>
  <c r="D27" i="27" s="1"/>
  <c r="J24" i="23"/>
  <c r="D28" i="14"/>
  <c r="C11" i="14"/>
  <c r="C10" i="14" s="1"/>
  <c r="C37" i="7" s="1"/>
  <c r="C36" i="16" s="1"/>
  <c r="C27" i="39" s="1"/>
  <c r="C29" i="14"/>
  <c r="C33" i="21" s="1"/>
  <c r="C33" i="24" s="1"/>
  <c r="G14" i="1"/>
  <c r="H14" i="1" s="1"/>
  <c r="I14" i="1" s="1"/>
  <c r="J14" i="1" s="1"/>
  <c r="K14" i="1" s="1"/>
  <c r="L14" i="1" s="1"/>
  <c r="M14" i="1" s="1"/>
  <c r="N14" i="1" s="1"/>
  <c r="O14" i="1" s="1"/>
  <c r="E48" i="1"/>
  <c r="E49" i="1" s="1"/>
  <c r="D18" i="18"/>
  <c r="C18" i="18"/>
  <c r="B18" i="18"/>
  <c r="D17" i="18"/>
  <c r="C17" i="18"/>
  <c r="B17" i="18"/>
  <c r="D14" i="18"/>
  <c r="C14" i="18"/>
  <c r="B14" i="18"/>
  <c r="D12" i="18"/>
  <c r="C12" i="18"/>
  <c r="B12" i="18"/>
  <c r="D11" i="18"/>
  <c r="C11" i="18"/>
  <c r="B11" i="18"/>
  <c r="D9" i="18"/>
  <c r="D9" i="39" s="1"/>
  <c r="C9" i="18"/>
  <c r="C9" i="39" s="1"/>
  <c r="B9" i="18"/>
  <c r="B9" i="39" s="1"/>
  <c r="E13" i="17"/>
  <c r="F13" i="17"/>
  <c r="C31" i="9"/>
  <c r="D31" i="9"/>
  <c r="B31" i="9"/>
  <c r="C36" i="17"/>
  <c r="C30" i="39" s="1"/>
  <c r="D36" i="17"/>
  <c r="D30" i="39" s="1"/>
  <c r="B36" i="17"/>
  <c r="B30" i="39" s="1"/>
  <c r="C31" i="17"/>
  <c r="D31" i="17"/>
  <c r="B31" i="17"/>
  <c r="C28" i="17"/>
  <c r="D28" i="17"/>
  <c r="C29" i="17"/>
  <c r="D29" i="17"/>
  <c r="B29" i="17"/>
  <c r="B28" i="17"/>
  <c r="B25" i="17"/>
  <c r="C25" i="17"/>
  <c r="D25" i="17"/>
  <c r="B26" i="17"/>
  <c r="C26" i="17"/>
  <c r="D26" i="17"/>
  <c r="B27" i="17"/>
  <c r="C27" i="17"/>
  <c r="D27" i="17"/>
  <c r="C24" i="17"/>
  <c r="D24" i="17"/>
  <c r="B24" i="17"/>
  <c r="C17" i="17"/>
  <c r="D17" i="17"/>
  <c r="C18" i="17"/>
  <c r="D18" i="17"/>
  <c r="C19" i="17"/>
  <c r="D19" i="17"/>
  <c r="C20" i="17"/>
  <c r="D20" i="17"/>
  <c r="C21" i="17"/>
  <c r="D21" i="17"/>
  <c r="B18" i="17"/>
  <c r="B19" i="17"/>
  <c r="B20" i="17"/>
  <c r="B21" i="17"/>
  <c r="B17" i="17"/>
  <c r="C13" i="17"/>
  <c r="D13" i="17"/>
  <c r="C14" i="17"/>
  <c r="D14" i="17"/>
  <c r="C15" i="17"/>
  <c r="D15" i="17"/>
  <c r="B14" i="17"/>
  <c r="B15" i="17"/>
  <c r="B13" i="17"/>
  <c r="C11" i="17"/>
  <c r="D11" i="17"/>
  <c r="C12" i="17"/>
  <c r="D12" i="17"/>
  <c r="B12" i="17"/>
  <c r="B11" i="17"/>
  <c r="C7" i="17"/>
  <c r="D7" i="17"/>
  <c r="C8" i="17"/>
  <c r="D8" i="17"/>
  <c r="B8" i="17"/>
  <c r="B7" i="17"/>
  <c r="C37" i="16"/>
  <c r="D37" i="16"/>
  <c r="C38" i="16"/>
  <c r="D38" i="16"/>
  <c r="B38" i="16"/>
  <c r="B37" i="16"/>
  <c r="C35" i="16"/>
  <c r="D35" i="16"/>
  <c r="B36" i="16"/>
  <c r="B27" i="39" s="1"/>
  <c r="C27" i="16"/>
  <c r="D27" i="16"/>
  <c r="C28" i="16"/>
  <c r="D28" i="16"/>
  <c r="C30" i="16"/>
  <c r="D30" i="16"/>
  <c r="B28" i="16"/>
  <c r="B30" i="16"/>
  <c r="B27" i="16"/>
  <c r="C24" i="16"/>
  <c r="D24" i="16"/>
  <c r="C25" i="16"/>
  <c r="D25" i="16"/>
  <c r="B25" i="16"/>
  <c r="B24" i="16"/>
  <c r="C22" i="16"/>
  <c r="D22" i="16"/>
  <c r="C23" i="16"/>
  <c r="D23" i="16"/>
  <c r="B23" i="16"/>
  <c r="B22" i="16"/>
  <c r="C16" i="16"/>
  <c r="D16" i="16"/>
  <c r="C17" i="16"/>
  <c r="D17" i="16"/>
  <c r="C18" i="16"/>
  <c r="D18" i="16"/>
  <c r="C19" i="16"/>
  <c r="D19" i="16"/>
  <c r="C20" i="16"/>
  <c r="D20" i="16"/>
  <c r="B17" i="16"/>
  <c r="B18" i="16"/>
  <c r="B19" i="16"/>
  <c r="B20" i="16"/>
  <c r="B16" i="16"/>
  <c r="C7" i="16"/>
  <c r="D7" i="16"/>
  <c r="C8" i="16"/>
  <c r="D8" i="16"/>
  <c r="B8" i="16"/>
  <c r="B7" i="16"/>
  <c r="C11" i="16"/>
  <c r="D11" i="16"/>
  <c r="C12" i="16"/>
  <c r="D12" i="16"/>
  <c r="C13" i="16"/>
  <c r="D13" i="16"/>
  <c r="C14" i="16"/>
  <c r="D14" i="16"/>
  <c r="C15" i="16"/>
  <c r="D15" i="16"/>
  <c r="B12" i="16"/>
  <c r="B13" i="16"/>
  <c r="B14" i="16"/>
  <c r="B15" i="16"/>
  <c r="B11" i="16"/>
  <c r="F25" i="17"/>
  <c r="G25" i="17"/>
  <c r="H25" i="17"/>
  <c r="I25" i="17"/>
  <c r="J25" i="17"/>
  <c r="K25" i="17"/>
  <c r="L25" i="17"/>
  <c r="M25" i="17"/>
  <c r="N25" i="17"/>
  <c r="F26" i="17"/>
  <c r="G26" i="17"/>
  <c r="H26" i="17"/>
  <c r="I26" i="17"/>
  <c r="J26" i="17"/>
  <c r="K26" i="17"/>
  <c r="L26" i="17"/>
  <c r="M26" i="17"/>
  <c r="N26" i="17"/>
  <c r="F27" i="17"/>
  <c r="G27" i="17"/>
  <c r="H27" i="17"/>
  <c r="I27" i="17"/>
  <c r="J27" i="17"/>
  <c r="K27" i="17"/>
  <c r="L27" i="17"/>
  <c r="M27" i="17"/>
  <c r="N27" i="17"/>
  <c r="F28" i="17"/>
  <c r="G28" i="17"/>
  <c r="H28" i="17"/>
  <c r="I28" i="17"/>
  <c r="J28" i="17"/>
  <c r="K28" i="17"/>
  <c r="L28" i="17"/>
  <c r="M28" i="17"/>
  <c r="N28" i="17"/>
  <c r="E28" i="17"/>
  <c r="E25" i="17"/>
  <c r="E26" i="17"/>
  <c r="E27" i="17"/>
  <c r="B6" i="17"/>
  <c r="C16" i="15"/>
  <c r="D16" i="15"/>
  <c r="B16" i="15"/>
  <c r="C18" i="15"/>
  <c r="D18" i="15"/>
  <c r="B18" i="15"/>
  <c r="B12" i="15"/>
  <c r="C12" i="15"/>
  <c r="D12" i="15"/>
  <c r="C11" i="15"/>
  <c r="D11" i="15"/>
  <c r="B11" i="15"/>
  <c r="B8" i="15"/>
  <c r="C8" i="15"/>
  <c r="D8" i="15"/>
  <c r="B9" i="15"/>
  <c r="C9" i="15"/>
  <c r="D9" i="15"/>
  <c r="B10" i="15"/>
  <c r="C10" i="15"/>
  <c r="D10" i="15"/>
  <c r="C9" i="14"/>
  <c r="D9" i="14"/>
  <c r="C15" i="14"/>
  <c r="D15" i="14"/>
  <c r="C17" i="14"/>
  <c r="D17" i="14"/>
  <c r="B17" i="14"/>
  <c r="B15" i="14"/>
  <c r="D29" i="12"/>
  <c r="C29" i="12"/>
  <c r="B29" i="12"/>
  <c r="D23" i="12"/>
  <c r="C23" i="12"/>
  <c r="B23" i="12"/>
  <c r="C18" i="12"/>
  <c r="D18" i="12"/>
  <c r="C19" i="12"/>
  <c r="D19" i="12"/>
  <c r="C20" i="12"/>
  <c r="D20" i="12"/>
  <c r="C21" i="12"/>
  <c r="D21" i="12"/>
  <c r="B19" i="12"/>
  <c r="B20" i="12"/>
  <c r="B21" i="12"/>
  <c r="B18" i="12"/>
  <c r="C12" i="12"/>
  <c r="D12" i="12"/>
  <c r="C13" i="12"/>
  <c r="D13" i="12"/>
  <c r="C14" i="12"/>
  <c r="D14" i="12"/>
  <c r="C15" i="12"/>
  <c r="D15" i="12"/>
  <c r="C16" i="12"/>
  <c r="D16" i="12"/>
  <c r="B13" i="12"/>
  <c r="B14" i="12"/>
  <c r="B15" i="12"/>
  <c r="B16" i="12"/>
  <c r="B12" i="12"/>
  <c r="C7" i="12"/>
  <c r="D7" i="12"/>
  <c r="C8" i="12"/>
  <c r="D8" i="12"/>
  <c r="E8" i="12" s="1"/>
  <c r="C9" i="12"/>
  <c r="D9" i="12"/>
  <c r="C10" i="12"/>
  <c r="D10" i="12"/>
  <c r="C11" i="12"/>
  <c r="D11" i="12"/>
  <c r="B8" i="12"/>
  <c r="B9" i="12"/>
  <c r="B10" i="12"/>
  <c r="B11" i="12"/>
  <c r="B7" i="12"/>
  <c r="C17" i="11"/>
  <c r="D17" i="11"/>
  <c r="B17" i="11"/>
  <c r="C24" i="1"/>
  <c r="D24" i="1" s="1"/>
  <c r="E24" i="1" s="1"/>
  <c r="C18" i="1"/>
  <c r="D18" i="1" s="1"/>
  <c r="E18" i="1" s="1"/>
  <c r="F18" i="1" s="1"/>
  <c r="G18" i="1" s="1"/>
  <c r="H18" i="1" s="1"/>
  <c r="I18" i="1" s="1"/>
  <c r="J18" i="1" s="1"/>
  <c r="K18" i="1" s="1"/>
  <c r="L18" i="1" s="1"/>
  <c r="M18" i="1" s="1"/>
  <c r="N18" i="1" s="1"/>
  <c r="O18" i="1" s="1"/>
  <c r="C19" i="1"/>
  <c r="D19" i="1" s="1"/>
  <c r="C20" i="1"/>
  <c r="D20" i="1" s="1"/>
  <c r="C21" i="1"/>
  <c r="D21" i="1" s="1"/>
  <c r="C22" i="1"/>
  <c r="C23" i="1"/>
  <c r="D23" i="1" s="1"/>
  <c r="C17" i="1"/>
  <c r="D17" i="1" s="1"/>
  <c r="C34" i="9"/>
  <c r="D34" i="9"/>
  <c r="B34" i="9"/>
  <c r="E186" i="1"/>
  <c r="D10" i="22" s="1"/>
  <c r="D186" i="1"/>
  <c r="C10" i="22" s="1"/>
  <c r="C186" i="1"/>
  <c r="B10" i="22" s="1"/>
  <c r="D151" i="1"/>
  <c r="C15" i="9" s="1"/>
  <c r="E151" i="1"/>
  <c r="D15" i="9" s="1"/>
  <c r="C151" i="1"/>
  <c r="B15" i="9" s="1"/>
  <c r="B21" i="16" l="1"/>
  <c r="B10" i="17"/>
  <c r="B9" i="17" s="1"/>
  <c r="B16" i="17" s="1"/>
  <c r="B22" i="17" s="1"/>
  <c r="B32" i="39"/>
  <c r="D6" i="17"/>
  <c r="C23" i="17"/>
  <c r="D21" i="16"/>
  <c r="C6" i="17"/>
  <c r="C10" i="17"/>
  <c r="C9" i="17" s="1"/>
  <c r="D23" i="17"/>
  <c r="C6" i="16"/>
  <c r="C6" i="28" s="1"/>
  <c r="C6" i="30" s="1"/>
  <c r="C7" i="27" s="1"/>
  <c r="AC39" i="35"/>
  <c r="L37" i="26"/>
  <c r="U39" i="35"/>
  <c r="H37" i="26"/>
  <c r="Z44" i="35"/>
  <c r="I42" i="26"/>
  <c r="AA43" i="35"/>
  <c r="J41" i="26"/>
  <c r="AB42" i="35"/>
  <c r="K40" i="26"/>
  <c r="AB39" i="35"/>
  <c r="K37" i="26"/>
  <c r="AC44" i="35"/>
  <c r="L42" i="26"/>
  <c r="U44" i="35"/>
  <c r="H42" i="26"/>
  <c r="Z43" i="35"/>
  <c r="I41" i="26"/>
  <c r="AE42" i="35"/>
  <c r="N40" i="26"/>
  <c r="K42" i="35"/>
  <c r="F40" i="26"/>
  <c r="F43" i="35"/>
  <c r="E41" i="26"/>
  <c r="AD39" i="35"/>
  <c r="M37" i="26"/>
  <c r="Z39" i="35"/>
  <c r="I37" i="26"/>
  <c r="AE44" i="35"/>
  <c r="N42" i="26"/>
  <c r="AA44" i="35"/>
  <c r="J42" i="26"/>
  <c r="K44" i="35"/>
  <c r="F42" i="26"/>
  <c r="AB43" i="35"/>
  <c r="K41" i="26"/>
  <c r="P43" i="35"/>
  <c r="G41" i="26"/>
  <c r="AC42" i="35"/>
  <c r="L40" i="26"/>
  <c r="U42" i="35"/>
  <c r="H40" i="26"/>
  <c r="F42" i="35"/>
  <c r="E40" i="26"/>
  <c r="AD44" i="35"/>
  <c r="M42" i="26"/>
  <c r="AE43" i="35"/>
  <c r="N41" i="26"/>
  <c r="K43" i="35"/>
  <c r="F41" i="26"/>
  <c r="P42" i="35"/>
  <c r="G40" i="26"/>
  <c r="F39" i="35"/>
  <c r="E37" i="26"/>
  <c r="P39" i="35"/>
  <c r="G37" i="26"/>
  <c r="AD43" i="35"/>
  <c r="M41" i="26"/>
  <c r="AA42" i="35"/>
  <c r="J40" i="26"/>
  <c r="F44" i="35"/>
  <c r="E42" i="26"/>
  <c r="AE39" i="35"/>
  <c r="N37" i="26"/>
  <c r="AA39" i="35"/>
  <c r="J37" i="26"/>
  <c r="K39" i="35"/>
  <c r="F37" i="26"/>
  <c r="AB44" i="35"/>
  <c r="K42" i="26"/>
  <c r="P44" i="35"/>
  <c r="G42" i="26"/>
  <c r="AC43" i="35"/>
  <c r="L41" i="26"/>
  <c r="U43" i="35"/>
  <c r="H41" i="26"/>
  <c r="AD42" i="35"/>
  <c r="M40" i="26"/>
  <c r="Z42" i="35"/>
  <c r="I40" i="26"/>
  <c r="L26" i="15"/>
  <c r="K34" i="23"/>
  <c r="K28" i="15"/>
  <c r="J26" i="20"/>
  <c r="I26" i="25"/>
  <c r="H25" i="20"/>
  <c r="G25" i="25"/>
  <c r="D10" i="17"/>
  <c r="D9" i="17" s="1"/>
  <c r="B23" i="17"/>
  <c r="C21" i="16"/>
  <c r="B9" i="19"/>
  <c r="B8" i="28"/>
  <c r="C8" i="19"/>
  <c r="C7" i="28"/>
  <c r="B14" i="28"/>
  <c r="B15" i="19"/>
  <c r="C15" i="28"/>
  <c r="C16" i="19"/>
  <c r="C13" i="28"/>
  <c r="C14" i="19"/>
  <c r="C11" i="28"/>
  <c r="C12" i="19"/>
  <c r="B17" i="28"/>
  <c r="B18" i="19"/>
  <c r="D21" i="28"/>
  <c r="D22" i="19"/>
  <c r="D18" i="28"/>
  <c r="D19" i="19"/>
  <c r="C42" i="28"/>
  <c r="C43" i="19"/>
  <c r="C48" i="28"/>
  <c r="C22" i="28"/>
  <c r="C23" i="19"/>
  <c r="C49" i="19"/>
  <c r="B10" i="16"/>
  <c r="B9" i="16" s="1"/>
  <c r="B26" i="16" s="1"/>
  <c r="D6" i="16"/>
  <c r="D8" i="28"/>
  <c r="D9" i="19"/>
  <c r="B11" i="28"/>
  <c r="B12" i="19"/>
  <c r="B13" i="28"/>
  <c r="B14" i="19"/>
  <c r="D14" i="28"/>
  <c r="D15" i="19"/>
  <c r="D12" i="28"/>
  <c r="D13" i="19"/>
  <c r="D17" i="28"/>
  <c r="D18" i="19"/>
  <c r="B18" i="28"/>
  <c r="B19" i="19"/>
  <c r="C21" i="28"/>
  <c r="C22" i="19"/>
  <c r="C18" i="28"/>
  <c r="C19" i="19"/>
  <c r="B39" i="28"/>
  <c r="B23" i="30" s="1"/>
  <c r="B24" i="27" s="1"/>
  <c r="B40" i="19"/>
  <c r="D37" i="26"/>
  <c r="D39" i="28"/>
  <c r="D23" i="30" s="1"/>
  <c r="D24" i="27" s="1"/>
  <c r="D40" i="19"/>
  <c r="C10" i="16"/>
  <c r="C8" i="28"/>
  <c r="C9" i="19"/>
  <c r="B12" i="28"/>
  <c r="B13" i="19"/>
  <c r="C14" i="28"/>
  <c r="C15" i="19"/>
  <c r="C12" i="28"/>
  <c r="C13" i="19"/>
  <c r="C17" i="28"/>
  <c r="C18" i="19"/>
  <c r="B21" i="28"/>
  <c r="B22" i="19"/>
  <c r="D19" i="28"/>
  <c r="D20" i="19"/>
  <c r="B48" i="28"/>
  <c r="B22" i="28"/>
  <c r="B49" i="19"/>
  <c r="B23" i="19"/>
  <c r="C37" i="26"/>
  <c r="C39" i="28"/>
  <c r="C23" i="30" s="1"/>
  <c r="C24" i="27" s="1"/>
  <c r="C40" i="19"/>
  <c r="B6" i="16"/>
  <c r="D10" i="16"/>
  <c r="B7" i="28"/>
  <c r="B8" i="19"/>
  <c r="D7" i="28"/>
  <c r="D8" i="19"/>
  <c r="B15" i="28"/>
  <c r="B16" i="19"/>
  <c r="D15" i="28"/>
  <c r="D16" i="19"/>
  <c r="D13" i="28"/>
  <c r="D14" i="19"/>
  <c r="D11" i="28"/>
  <c r="D12" i="19"/>
  <c r="B19" i="28"/>
  <c r="B20" i="19"/>
  <c r="C19" i="28"/>
  <c r="C20" i="19"/>
  <c r="D42" i="28"/>
  <c r="D43" i="19"/>
  <c r="D48" i="28"/>
  <c r="D22" i="28"/>
  <c r="D49" i="19"/>
  <c r="D23" i="19"/>
  <c r="F24" i="20"/>
  <c r="F24" i="25" s="1"/>
  <c r="D24" i="25"/>
  <c r="C34" i="25"/>
  <c r="C20" i="39" s="1"/>
  <c r="D9" i="22"/>
  <c r="D10" i="23"/>
  <c r="D9" i="23" s="1"/>
  <c r="B9" i="22"/>
  <c r="B20" i="22" s="1"/>
  <c r="B10" i="23"/>
  <c r="B9" i="23" s="1"/>
  <c r="C9" i="22"/>
  <c r="C10" i="23"/>
  <c r="C9" i="23" s="1"/>
  <c r="C34" i="20"/>
  <c r="C44" i="19"/>
  <c r="C43" i="28"/>
  <c r="B44" i="19"/>
  <c r="B43" i="28"/>
  <c r="K24" i="23"/>
  <c r="E28" i="14"/>
  <c r="D29" i="14"/>
  <c r="D33" i="21" s="1"/>
  <c r="D33" i="24" s="1"/>
  <c r="D11" i="14"/>
  <c r="D10" i="14" s="1"/>
  <c r="D37" i="7" s="1"/>
  <c r="D36" i="16" s="1"/>
  <c r="D27" i="39" s="1"/>
  <c r="F8" i="12"/>
  <c r="G8" i="12" s="1"/>
  <c r="H8" i="12" s="1"/>
  <c r="I8" i="12" s="1"/>
  <c r="J8" i="12" s="1"/>
  <c r="K8" i="12" s="1"/>
  <c r="L8" i="12" s="1"/>
  <c r="M8" i="12" s="1"/>
  <c r="N8" i="12" s="1"/>
  <c r="E12" i="16"/>
  <c r="C6" i="12"/>
  <c r="B17" i="12"/>
  <c r="D6" i="12"/>
  <c r="C17" i="12"/>
  <c r="D17" i="12"/>
  <c r="B6" i="12"/>
  <c r="D22" i="1"/>
  <c r="C7" i="9"/>
  <c r="D7" i="9"/>
  <c r="B7" i="9"/>
  <c r="B144" i="1"/>
  <c r="C32" i="39" l="1"/>
  <c r="B30" i="17"/>
  <c r="B32" i="17" s="1"/>
  <c r="D16" i="17"/>
  <c r="D22" i="17" s="1"/>
  <c r="D39" i="17" s="1"/>
  <c r="D40" i="17" s="1"/>
  <c r="D41" i="17" s="1"/>
  <c r="C16" i="17"/>
  <c r="C22" i="17" s="1"/>
  <c r="C39" i="17" s="1"/>
  <c r="C40" i="17" s="1"/>
  <c r="C41" i="17" s="1"/>
  <c r="C7" i="19"/>
  <c r="C9" i="16"/>
  <c r="C26" i="16" s="1"/>
  <c r="S43" i="35"/>
  <c r="T43" i="35"/>
  <c r="R43" i="35"/>
  <c r="Q43" i="35"/>
  <c r="M44" i="35"/>
  <c r="O44" i="35"/>
  <c r="N44" i="35"/>
  <c r="L44" i="35"/>
  <c r="M42" i="35"/>
  <c r="L42" i="35"/>
  <c r="N42" i="35"/>
  <c r="O42" i="35"/>
  <c r="E42" i="35"/>
  <c r="C42" i="35"/>
  <c r="D42" i="35"/>
  <c r="B42" i="35"/>
  <c r="Y39" i="35"/>
  <c r="X39" i="35"/>
  <c r="V39" i="35"/>
  <c r="W39" i="35"/>
  <c r="C43" i="35"/>
  <c r="E43" i="35"/>
  <c r="B43" i="35"/>
  <c r="D43" i="35"/>
  <c r="S44" i="35"/>
  <c r="R44" i="35"/>
  <c r="T44" i="35"/>
  <c r="Q44" i="35"/>
  <c r="R39" i="35"/>
  <c r="T39" i="35"/>
  <c r="S39" i="35"/>
  <c r="Q39" i="35"/>
  <c r="X42" i="35"/>
  <c r="Y42" i="35"/>
  <c r="W42" i="35"/>
  <c r="V42" i="35"/>
  <c r="H39" i="35"/>
  <c r="J39" i="35"/>
  <c r="G39" i="35"/>
  <c r="I39" i="35"/>
  <c r="O39" i="35"/>
  <c r="N39" i="35"/>
  <c r="L39" i="35"/>
  <c r="M39" i="35"/>
  <c r="M26" i="15"/>
  <c r="L34" i="23"/>
  <c r="L28" i="15"/>
  <c r="B44" i="35"/>
  <c r="D44" i="35"/>
  <c r="E44" i="35"/>
  <c r="C44" i="35"/>
  <c r="E39" i="35"/>
  <c r="B39" i="35"/>
  <c r="C39" i="35"/>
  <c r="D39" i="35"/>
  <c r="J43" i="35"/>
  <c r="H43" i="35"/>
  <c r="I43" i="35"/>
  <c r="G43" i="35"/>
  <c r="Q42" i="35"/>
  <c r="T42" i="35"/>
  <c r="S42" i="35"/>
  <c r="R42" i="35"/>
  <c r="M43" i="35"/>
  <c r="O43" i="35"/>
  <c r="N43" i="35"/>
  <c r="L43" i="35"/>
  <c r="G44" i="35"/>
  <c r="I44" i="35"/>
  <c r="J44" i="35"/>
  <c r="H44" i="35"/>
  <c r="J42" i="35"/>
  <c r="I42" i="35"/>
  <c r="G42" i="35"/>
  <c r="H42" i="35"/>
  <c r="X43" i="35"/>
  <c r="Y43" i="35"/>
  <c r="V43" i="35"/>
  <c r="W43" i="35"/>
  <c r="V44" i="35"/>
  <c r="W44" i="35"/>
  <c r="Y44" i="35"/>
  <c r="X44" i="35"/>
  <c r="K26" i="20"/>
  <c r="J26" i="25"/>
  <c r="I25" i="20"/>
  <c r="H25" i="25"/>
  <c r="C10" i="28"/>
  <c r="C11" i="19"/>
  <c r="D6" i="28"/>
  <c r="D6" i="30" s="1"/>
  <c r="D7" i="27" s="1"/>
  <c r="D7" i="19"/>
  <c r="D10" i="28"/>
  <c r="D11" i="19"/>
  <c r="B10" i="28"/>
  <c r="B11" i="19"/>
  <c r="D9" i="16"/>
  <c r="D26" i="16" s="1"/>
  <c r="B6" i="28"/>
  <c r="B6" i="30" s="1"/>
  <c r="B7" i="27" s="1"/>
  <c r="B7" i="19"/>
  <c r="G24" i="20"/>
  <c r="G24" i="25" s="1"/>
  <c r="D34" i="25"/>
  <c r="D20" i="39" s="1"/>
  <c r="D32" i="39" s="1"/>
  <c r="D34" i="20"/>
  <c r="D44" i="19"/>
  <c r="D43" i="28"/>
  <c r="L24" i="23"/>
  <c r="F28" i="14"/>
  <c r="E11" i="14"/>
  <c r="G12" i="16"/>
  <c r="F12" i="16"/>
  <c r="I13" i="17"/>
  <c r="H13" i="17"/>
  <c r="G13" i="17"/>
  <c r="J13" i="17"/>
  <c r="D22" i="12"/>
  <c r="B39" i="17"/>
  <c r="B40" i="17" s="1"/>
  <c r="B41" i="17" s="1"/>
  <c r="B37" i="17"/>
  <c r="B22" i="12"/>
  <c r="C22" i="12"/>
  <c r="D122" i="1"/>
  <c r="D119" i="1" s="1"/>
  <c r="E122" i="1"/>
  <c r="E119" i="1" s="1"/>
  <c r="F122" i="1"/>
  <c r="F119" i="1" s="1"/>
  <c r="E9" i="14" s="1"/>
  <c r="E35" i="16" s="1"/>
  <c r="F45" i="34" s="1"/>
  <c r="G122" i="1"/>
  <c r="G119" i="1" s="1"/>
  <c r="F9" i="14" s="1"/>
  <c r="F35" i="16" s="1"/>
  <c r="K45" i="34" s="1"/>
  <c r="H122" i="1"/>
  <c r="H119" i="1" s="1"/>
  <c r="G9" i="14" s="1"/>
  <c r="G35" i="16" s="1"/>
  <c r="P45" i="34" s="1"/>
  <c r="I122" i="1"/>
  <c r="I119" i="1" s="1"/>
  <c r="H9" i="14" s="1"/>
  <c r="H35" i="16" s="1"/>
  <c r="U45" i="34" s="1"/>
  <c r="J122" i="1"/>
  <c r="J119" i="1" s="1"/>
  <c r="I9" i="14" s="1"/>
  <c r="I35" i="16" s="1"/>
  <c r="Z45" i="34" s="1"/>
  <c r="C122" i="1"/>
  <c r="C119" i="1" s="1"/>
  <c r="D92" i="1"/>
  <c r="E92" i="1"/>
  <c r="C92" i="1"/>
  <c r="D131" i="1"/>
  <c r="D132" i="1" s="1"/>
  <c r="C8" i="9" s="1"/>
  <c r="E131" i="1"/>
  <c r="E132" i="1" s="1"/>
  <c r="D8" i="9" s="1"/>
  <c r="C131" i="1"/>
  <c r="C132" i="1" s="1"/>
  <c r="B8" i="9" s="1"/>
  <c r="B6" i="8"/>
  <c r="B9" i="8"/>
  <c r="B8" i="8"/>
  <c r="C87" i="1"/>
  <c r="C11" i="7"/>
  <c r="D11" i="7"/>
  <c r="B162" i="1"/>
  <c r="C30" i="17" l="1"/>
  <c r="C32" i="17" s="1"/>
  <c r="C37" i="17" s="1"/>
  <c r="D30" i="17"/>
  <c r="D32" i="17" s="1"/>
  <c r="N26" i="15"/>
  <c r="M34" i="23"/>
  <c r="M28" i="15"/>
  <c r="L26" i="20"/>
  <c r="K26" i="25"/>
  <c r="J25" i="20"/>
  <c r="I25" i="25"/>
  <c r="W45" i="34"/>
  <c r="V45" i="34"/>
  <c r="X45" i="34"/>
  <c r="Y45" i="34"/>
  <c r="T45" i="34"/>
  <c r="R45" i="34"/>
  <c r="S45" i="34"/>
  <c r="Q45" i="34"/>
  <c r="N45" i="34"/>
  <c r="O45" i="34"/>
  <c r="L45" i="34"/>
  <c r="M45" i="34"/>
  <c r="H45" i="34"/>
  <c r="I45" i="34"/>
  <c r="J45" i="34"/>
  <c r="G45" i="34"/>
  <c r="C45" i="34"/>
  <c r="D45" i="34"/>
  <c r="E45" i="34"/>
  <c r="B45" i="34"/>
  <c r="H24" i="20"/>
  <c r="H24" i="25" s="1"/>
  <c r="G43" i="19"/>
  <c r="F43" i="19"/>
  <c r="I43" i="19"/>
  <c r="E43" i="19"/>
  <c r="H43" i="19"/>
  <c r="M24" i="23"/>
  <c r="K13" i="8"/>
  <c r="L13" i="8"/>
  <c r="J13" i="8"/>
  <c r="F13" i="8"/>
  <c r="O13" i="8"/>
  <c r="E13" i="8"/>
  <c r="C13" i="8"/>
  <c r="C12" i="8" s="1"/>
  <c r="C31" i="8" s="1"/>
  <c r="B35" i="7" s="1"/>
  <c r="N13" i="8"/>
  <c r="D13" i="8"/>
  <c r="I13" i="8"/>
  <c r="G13" i="8"/>
  <c r="H13" i="8"/>
  <c r="M13" i="8"/>
  <c r="G28" i="14"/>
  <c r="F11" i="14"/>
  <c r="H12" i="16"/>
  <c r="K13" i="17"/>
  <c r="D37" i="17"/>
  <c r="C7" i="8"/>
  <c r="O96" i="1"/>
  <c r="N96" i="1"/>
  <c r="M96" i="1"/>
  <c r="L96" i="1"/>
  <c r="K96" i="1"/>
  <c r="J96" i="1"/>
  <c r="I96" i="1"/>
  <c r="H96" i="1"/>
  <c r="G96" i="1"/>
  <c r="F96" i="1"/>
  <c r="E101" i="1"/>
  <c r="D101" i="1"/>
  <c r="C101" i="1"/>
  <c r="N34" i="23" l="1"/>
  <c r="N28" i="15"/>
  <c r="K25" i="20"/>
  <c r="J25" i="25"/>
  <c r="M26" i="20"/>
  <c r="L26" i="25"/>
  <c r="I24" i="20"/>
  <c r="I24" i="25" s="1"/>
  <c r="N24" i="23"/>
  <c r="B34" i="16"/>
  <c r="B28" i="39" s="1"/>
  <c r="B8" i="14"/>
  <c r="H28" i="14"/>
  <c r="G11" i="14"/>
  <c r="H37" i="8"/>
  <c r="C36" i="8"/>
  <c r="C28" i="8"/>
  <c r="C165" i="1" s="1"/>
  <c r="C32" i="8"/>
  <c r="I12" i="16"/>
  <c r="L13" i="17"/>
  <c r="I138" i="1"/>
  <c r="H7" i="9" s="1"/>
  <c r="I150" i="1"/>
  <c r="J150" i="1"/>
  <c r="J138" i="1"/>
  <c r="I7" i="9" s="1"/>
  <c r="N150" i="1"/>
  <c r="N138" i="1"/>
  <c r="M7" i="9" s="1"/>
  <c r="G150" i="1"/>
  <c r="G138" i="1"/>
  <c r="F7" i="9" s="1"/>
  <c r="K150" i="1"/>
  <c r="K138" i="1"/>
  <c r="J7" i="9" s="1"/>
  <c r="O150" i="1"/>
  <c r="O138" i="1"/>
  <c r="N7" i="9" s="1"/>
  <c r="M150" i="1"/>
  <c r="M138" i="1"/>
  <c r="L7" i="9" s="1"/>
  <c r="F150" i="1"/>
  <c r="F97" i="1"/>
  <c r="F138" i="1"/>
  <c r="E7" i="9" s="1"/>
  <c r="H150" i="1"/>
  <c r="H138" i="1"/>
  <c r="G7" i="9" s="1"/>
  <c r="L150" i="1"/>
  <c r="L138" i="1"/>
  <c r="K7" i="9" s="1"/>
  <c r="E121" i="1"/>
  <c r="E123" i="1" s="1"/>
  <c r="C121" i="1"/>
  <c r="C123" i="1" s="1"/>
  <c r="D121" i="1"/>
  <c r="D123" i="1" s="1"/>
  <c r="F98" i="1"/>
  <c r="H98" i="1"/>
  <c r="L98" i="1"/>
  <c r="I97" i="1"/>
  <c r="O98" i="1"/>
  <c r="J97" i="1"/>
  <c r="K98" i="1"/>
  <c r="M98" i="1"/>
  <c r="N98" i="1"/>
  <c r="J98" i="1"/>
  <c r="G98" i="1"/>
  <c r="L97" i="1"/>
  <c r="H97" i="1"/>
  <c r="M97" i="1"/>
  <c r="I98" i="1"/>
  <c r="K97" i="1"/>
  <c r="G97" i="1"/>
  <c r="O97" i="1"/>
  <c r="N97" i="1"/>
  <c r="C10" i="6"/>
  <c r="D10" i="6"/>
  <c r="C11" i="6"/>
  <c r="D11" i="6"/>
  <c r="B11" i="6"/>
  <c r="B10" i="6"/>
  <c r="O77" i="1"/>
  <c r="O79" i="1" s="1"/>
  <c r="N11" i="6" s="1"/>
  <c r="N77" i="1"/>
  <c r="N78" i="1" s="1"/>
  <c r="M10" i="6" s="1"/>
  <c r="M77" i="1"/>
  <c r="M79" i="1" s="1"/>
  <c r="L11" i="6" s="1"/>
  <c r="L77" i="1"/>
  <c r="L78" i="1" s="1"/>
  <c r="K10" i="6" s="1"/>
  <c r="K77" i="1"/>
  <c r="K79" i="1" s="1"/>
  <c r="J11" i="6" s="1"/>
  <c r="J77" i="1"/>
  <c r="J79" i="1" s="1"/>
  <c r="I11" i="6" s="1"/>
  <c r="I77" i="1"/>
  <c r="I78" i="1" s="1"/>
  <c r="H10" i="6" s="1"/>
  <c r="H77" i="1"/>
  <c r="H79" i="1" s="1"/>
  <c r="G11" i="6" s="1"/>
  <c r="G77" i="1"/>
  <c r="G79" i="1" s="1"/>
  <c r="F11" i="6" s="1"/>
  <c r="F77" i="1"/>
  <c r="F78" i="1" s="1"/>
  <c r="E10" i="6" s="1"/>
  <c r="C6" i="6"/>
  <c r="C7" i="6" s="1"/>
  <c r="B22" i="6" s="1"/>
  <c r="D6" i="6"/>
  <c r="D7" i="6" s="1"/>
  <c r="C22" i="6" s="1"/>
  <c r="E6" i="6"/>
  <c r="E8" i="6" s="1"/>
  <c r="D23" i="6" s="1"/>
  <c r="F6" i="6"/>
  <c r="F7" i="6" s="1"/>
  <c r="E22" i="6" s="1"/>
  <c r="G6" i="6"/>
  <c r="G7" i="6" s="1"/>
  <c r="F22" i="6" s="1"/>
  <c r="H6" i="6"/>
  <c r="H7" i="6" s="1"/>
  <c r="G22" i="6" s="1"/>
  <c r="I6" i="6"/>
  <c r="I7" i="6" s="1"/>
  <c r="H22" i="6" s="1"/>
  <c r="B6" i="6"/>
  <c r="B8" i="6" s="1"/>
  <c r="E47" i="1"/>
  <c r="E45" i="1"/>
  <c r="D46" i="1"/>
  <c r="C46" i="1" s="1"/>
  <c r="C47" i="1" s="1"/>
  <c r="D44" i="1"/>
  <c r="D45" i="1" s="1"/>
  <c r="B25" i="1"/>
  <c r="N26" i="20" l="1"/>
  <c r="N26" i="25" s="1"/>
  <c r="M26" i="25"/>
  <c r="L25" i="20"/>
  <c r="K25" i="25"/>
  <c r="J24" i="20"/>
  <c r="J24" i="25" s="1"/>
  <c r="C51" i="1"/>
  <c r="B33" i="19" s="1"/>
  <c r="B47" i="19"/>
  <c r="B31" i="19" s="1"/>
  <c r="B46" i="28"/>
  <c r="C29" i="8"/>
  <c r="C30" i="8" s="1"/>
  <c r="C33" i="8" s="1"/>
  <c r="I28" i="14"/>
  <c r="H11" i="14"/>
  <c r="B28" i="1"/>
  <c r="B29" i="1"/>
  <c r="C25" i="1"/>
  <c r="D25" i="1" s="1"/>
  <c r="E25" i="1" s="1"/>
  <c r="F25" i="1" s="1"/>
  <c r="G25" i="1" s="1"/>
  <c r="H25" i="1" s="1"/>
  <c r="I25" i="1" s="1"/>
  <c r="J25" i="1" s="1"/>
  <c r="K25" i="1" s="1"/>
  <c r="L25" i="1" s="1"/>
  <c r="M25" i="1" s="1"/>
  <c r="N25" i="1" s="1"/>
  <c r="O25" i="1" s="1"/>
  <c r="C44" i="1"/>
  <c r="D48" i="1"/>
  <c r="D49" i="1" s="1"/>
  <c r="K24" i="20"/>
  <c r="K24" i="25" s="1"/>
  <c r="J12" i="16"/>
  <c r="N13" i="17"/>
  <c r="M13" i="17"/>
  <c r="E23" i="1"/>
  <c r="H78" i="1"/>
  <c r="G10" i="6" s="1"/>
  <c r="G13" i="6" s="1"/>
  <c r="G16" i="6" s="1"/>
  <c r="G19" i="6" s="1"/>
  <c r="G25" i="6" s="1"/>
  <c r="I79" i="1"/>
  <c r="H11" i="6" s="1"/>
  <c r="G78" i="1"/>
  <c r="F10" i="6" s="1"/>
  <c r="F13" i="6" s="1"/>
  <c r="J78" i="1"/>
  <c r="I10" i="6" s="1"/>
  <c r="I13" i="6" s="1"/>
  <c r="F79" i="1"/>
  <c r="E11" i="6" s="1"/>
  <c r="E14" i="6" s="1"/>
  <c r="N79" i="1"/>
  <c r="M11" i="6" s="1"/>
  <c r="O78" i="1"/>
  <c r="N10" i="6" s="1"/>
  <c r="M78" i="1"/>
  <c r="L10" i="6" s="1"/>
  <c r="K78" i="1"/>
  <c r="J10" i="6" s="1"/>
  <c r="B14" i="6"/>
  <c r="B17" i="6" s="1"/>
  <c r="B20" i="6" s="1"/>
  <c r="C13" i="6"/>
  <c r="C16" i="6" s="1"/>
  <c r="C19" i="6" s="1"/>
  <c r="C25" i="6" s="1"/>
  <c r="H13" i="6"/>
  <c r="H16" i="6" s="1"/>
  <c r="H19" i="6" s="1"/>
  <c r="H25" i="6" s="1"/>
  <c r="D13" i="6"/>
  <c r="D16" i="6" s="1"/>
  <c r="D19" i="6" s="1"/>
  <c r="L79" i="1"/>
  <c r="K11" i="6" s="1"/>
  <c r="D47" i="1"/>
  <c r="I8" i="6"/>
  <c r="E7" i="6"/>
  <c r="F8" i="6"/>
  <c r="B7" i="6"/>
  <c r="B13" i="6" s="1"/>
  <c r="H8" i="6"/>
  <c r="G23" i="6" s="1"/>
  <c r="D8" i="6"/>
  <c r="C23" i="6" s="1"/>
  <c r="G8" i="6"/>
  <c r="F23" i="6" s="1"/>
  <c r="C8" i="6"/>
  <c r="B23" i="6" s="1"/>
  <c r="E22" i="1"/>
  <c r="F22" i="1" s="1"/>
  <c r="E21" i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E19" i="1"/>
  <c r="F19" i="1" s="1"/>
  <c r="G19" i="1" s="1"/>
  <c r="H19" i="1" s="1"/>
  <c r="I19" i="1" s="1"/>
  <c r="J19" i="1" s="1"/>
  <c r="K19" i="1" s="1"/>
  <c r="L19" i="1" s="1"/>
  <c r="M19" i="1" s="1"/>
  <c r="N19" i="1" s="1"/>
  <c r="O19" i="1" s="1"/>
  <c r="E17" i="1"/>
  <c r="F17" i="1" s="1"/>
  <c r="G17" i="1" s="1"/>
  <c r="H17" i="1" s="1"/>
  <c r="I17" i="1" s="1"/>
  <c r="J17" i="1" s="1"/>
  <c r="K17" i="1" s="1"/>
  <c r="L17" i="1" s="1"/>
  <c r="M17" i="1" s="1"/>
  <c r="N17" i="1" s="1"/>
  <c r="O17" i="1" s="1"/>
  <c r="M25" i="20" l="1"/>
  <c r="L25" i="25"/>
  <c r="B19" i="14"/>
  <c r="B30" i="7" s="1"/>
  <c r="C19" i="14"/>
  <c r="C30" i="7" s="1"/>
  <c r="D19" i="14"/>
  <c r="D30" i="7" s="1"/>
  <c r="B30" i="28"/>
  <c r="B27" i="30"/>
  <c r="B28" i="27" s="1"/>
  <c r="B32" i="28"/>
  <c r="B16" i="30" s="1"/>
  <c r="B17" i="27" s="1"/>
  <c r="B48" i="19"/>
  <c r="B47" i="28"/>
  <c r="B28" i="30" s="1"/>
  <c r="B29" i="27" s="1"/>
  <c r="J28" i="14"/>
  <c r="I11" i="14"/>
  <c r="C45" i="1"/>
  <c r="C48" i="1"/>
  <c r="C49" i="1" s="1"/>
  <c r="L24" i="20"/>
  <c r="L24" i="25" s="1"/>
  <c r="K12" i="16"/>
  <c r="G22" i="1"/>
  <c r="G5" i="9"/>
  <c r="G9" i="9" s="1"/>
  <c r="G18" i="9" s="1"/>
  <c r="G20" i="9" s="1"/>
  <c r="H5" i="9"/>
  <c r="H9" i="9" s="1"/>
  <c r="H18" i="9" s="1"/>
  <c r="H20" i="9" s="1"/>
  <c r="C5" i="9"/>
  <c r="C9" i="9" s="1"/>
  <c r="C18" i="9" s="1"/>
  <c r="C20" i="9" s="1"/>
  <c r="C24" i="9" s="1"/>
  <c r="C27" i="12"/>
  <c r="C25" i="12"/>
  <c r="H136" i="1"/>
  <c r="I136" i="1"/>
  <c r="D136" i="1"/>
  <c r="E20" i="1"/>
  <c r="C29" i="6"/>
  <c r="C6" i="9" s="1"/>
  <c r="F23" i="1"/>
  <c r="B26" i="6"/>
  <c r="B26" i="12" s="1"/>
  <c r="D14" i="6"/>
  <c r="D17" i="6" s="1"/>
  <c r="D20" i="6" s="1"/>
  <c r="D26" i="6" s="1"/>
  <c r="D26" i="12" s="1"/>
  <c r="B16" i="6"/>
  <c r="B19" i="6" s="1"/>
  <c r="B25" i="6" s="1"/>
  <c r="E23" i="6"/>
  <c r="F14" i="6"/>
  <c r="I16" i="6"/>
  <c r="I19" i="6" s="1"/>
  <c r="C14" i="6"/>
  <c r="H23" i="6"/>
  <c r="I14" i="6"/>
  <c r="F16" i="6"/>
  <c r="F19" i="6" s="1"/>
  <c r="F25" i="6" s="1"/>
  <c r="H14" i="6"/>
  <c r="D22" i="6"/>
  <c r="D25" i="6" s="1"/>
  <c r="E13" i="6"/>
  <c r="E17" i="6"/>
  <c r="E20" i="6" s="1"/>
  <c r="G14" i="6"/>
  <c r="K32" i="1"/>
  <c r="K122" i="1" s="1"/>
  <c r="K119" i="1" s="1"/>
  <c r="J9" i="14" s="1"/>
  <c r="J35" i="16" s="1"/>
  <c r="AA45" i="34" s="1"/>
  <c r="F11" i="1"/>
  <c r="F8" i="1"/>
  <c r="F5" i="1"/>
  <c r="E10" i="14" s="1"/>
  <c r="E36" i="16" s="1"/>
  <c r="F6" i="1"/>
  <c r="E36" i="1"/>
  <c r="D36" i="1"/>
  <c r="D33" i="1"/>
  <c r="C34" i="1"/>
  <c r="B11" i="21" s="1"/>
  <c r="F46" i="34" l="1"/>
  <c r="E46" i="34" s="1"/>
  <c r="E27" i="39"/>
  <c r="N25" i="20"/>
  <c r="N25" i="25" s="1"/>
  <c r="M25" i="25"/>
  <c r="D46" i="34"/>
  <c r="B46" i="34"/>
  <c r="C46" i="34"/>
  <c r="B11" i="20"/>
  <c r="B11" i="24"/>
  <c r="B11" i="25" s="1"/>
  <c r="C13" i="18"/>
  <c r="C29" i="16"/>
  <c r="C13" i="11"/>
  <c r="C28" i="12"/>
  <c r="B13" i="11"/>
  <c r="B13" i="18"/>
  <c r="B29" i="16"/>
  <c r="B28" i="12"/>
  <c r="E33" i="1"/>
  <c r="E52" i="1" s="1"/>
  <c r="D5" i="22"/>
  <c r="D5" i="23"/>
  <c r="D5" i="25"/>
  <c r="D5" i="24"/>
  <c r="B14" i="30"/>
  <c r="B15" i="27" s="1"/>
  <c r="E19" i="14"/>
  <c r="E28" i="12" s="1"/>
  <c r="E29" i="16" s="1"/>
  <c r="C52" i="1"/>
  <c r="B30" i="19" s="1"/>
  <c r="B37" i="19" s="1"/>
  <c r="C166" i="1"/>
  <c r="D166" i="1" s="1"/>
  <c r="E44" i="19"/>
  <c r="D28" i="12"/>
  <c r="D29" i="16"/>
  <c r="D13" i="18"/>
  <c r="D13" i="11"/>
  <c r="J43" i="19"/>
  <c r="K28" i="14"/>
  <c r="J11" i="14"/>
  <c r="H87" i="1"/>
  <c r="H7" i="8" s="1"/>
  <c r="G6" i="1"/>
  <c r="D5" i="21"/>
  <c r="D5" i="20"/>
  <c r="D87" i="1"/>
  <c r="D7" i="8" s="1"/>
  <c r="D51" i="1"/>
  <c r="E25" i="14"/>
  <c r="E34" i="14"/>
  <c r="E32" i="14"/>
  <c r="E27" i="14"/>
  <c r="E36" i="14"/>
  <c r="E29" i="14"/>
  <c r="J87" i="1"/>
  <c r="J7" i="8" s="1"/>
  <c r="F87" i="1"/>
  <c r="F7" i="8" s="1"/>
  <c r="D52" i="1"/>
  <c r="I87" i="1"/>
  <c r="I7" i="8" s="1"/>
  <c r="E87" i="1"/>
  <c r="E7" i="8" s="1"/>
  <c r="E51" i="1"/>
  <c r="E9" i="12"/>
  <c r="E10" i="12"/>
  <c r="E31" i="9"/>
  <c r="G87" i="1"/>
  <c r="G7" i="8" s="1"/>
  <c r="E11" i="12"/>
  <c r="F24" i="1"/>
  <c r="E7" i="12"/>
  <c r="E15" i="12"/>
  <c r="E13" i="12"/>
  <c r="E16" i="12"/>
  <c r="M24" i="20"/>
  <c r="M24" i="25" s="1"/>
  <c r="L12" i="16"/>
  <c r="G23" i="1"/>
  <c r="H22" i="1"/>
  <c r="D5" i="9"/>
  <c r="D9" i="9" s="1"/>
  <c r="D18" i="9" s="1"/>
  <c r="D20" i="9" s="1"/>
  <c r="D24" i="9" s="1"/>
  <c r="D27" i="12"/>
  <c r="D25" i="12"/>
  <c r="B5" i="9"/>
  <c r="B9" i="9" s="1"/>
  <c r="B18" i="9" s="1"/>
  <c r="B20" i="9" s="1"/>
  <c r="B24" i="9" s="1"/>
  <c r="B25" i="12"/>
  <c r="B27" i="12"/>
  <c r="F5" i="9"/>
  <c r="F9" i="9" s="1"/>
  <c r="F18" i="9" s="1"/>
  <c r="F20" i="9" s="1"/>
  <c r="F155" i="1"/>
  <c r="F186" i="1"/>
  <c r="F121" i="1"/>
  <c r="F92" i="1"/>
  <c r="F93" i="1" s="1"/>
  <c r="E23" i="12" s="1"/>
  <c r="E27" i="16" s="1"/>
  <c r="C10" i="9"/>
  <c r="C25" i="9" s="1"/>
  <c r="C11" i="10"/>
  <c r="G136" i="1"/>
  <c r="E136" i="1"/>
  <c r="C136" i="1"/>
  <c r="D112" i="1"/>
  <c r="D114" i="1" s="1"/>
  <c r="D115" i="1" s="1"/>
  <c r="C34" i="7" s="1"/>
  <c r="F109" i="1"/>
  <c r="F106" i="1"/>
  <c r="F107" i="1"/>
  <c r="B30" i="6"/>
  <c r="B31" i="6" s="1"/>
  <c r="D29" i="6"/>
  <c r="D6" i="9" s="1"/>
  <c r="F20" i="1"/>
  <c r="B29" i="6"/>
  <c r="B6" i="9" s="1"/>
  <c r="D30" i="6"/>
  <c r="D31" i="6" s="1"/>
  <c r="B11" i="7"/>
  <c r="D34" i="1"/>
  <c r="C11" i="21" s="1"/>
  <c r="G11" i="1"/>
  <c r="G155" i="1" s="1"/>
  <c r="G5" i="1"/>
  <c r="G17" i="6"/>
  <c r="G20" i="6" s="1"/>
  <c r="G26" i="6" s="1"/>
  <c r="C17" i="6"/>
  <c r="C20" i="6" s="1"/>
  <c r="C26" i="6" s="1"/>
  <c r="C26" i="12" s="1"/>
  <c r="C24" i="12" s="1"/>
  <c r="E26" i="6"/>
  <c r="I17" i="6"/>
  <c r="I20" i="6" s="1"/>
  <c r="H17" i="6"/>
  <c r="H20" i="6" s="1"/>
  <c r="H26" i="6" s="1"/>
  <c r="E16" i="6"/>
  <c r="E19" i="6" s="1"/>
  <c r="E25" i="6" s="1"/>
  <c r="F17" i="6"/>
  <c r="F20" i="6" s="1"/>
  <c r="F26" i="6" s="1"/>
  <c r="K36" i="1"/>
  <c r="J6" i="6"/>
  <c r="F46" i="1"/>
  <c r="F44" i="1"/>
  <c r="F48" i="1" s="1"/>
  <c r="F49" i="1" s="1"/>
  <c r="L32" i="1"/>
  <c r="L122" i="1" s="1"/>
  <c r="L119" i="1" s="1"/>
  <c r="K9" i="14" s="1"/>
  <c r="K35" i="16" s="1"/>
  <c r="AB45" i="34" s="1"/>
  <c r="G8" i="1"/>
  <c r="H8" i="1" s="1"/>
  <c r="I8" i="1" s="1"/>
  <c r="J8" i="1" s="1"/>
  <c r="K8" i="1" s="1"/>
  <c r="L8" i="1" s="1"/>
  <c r="M8" i="1" s="1"/>
  <c r="N8" i="1" s="1"/>
  <c r="O8" i="1" s="1"/>
  <c r="C10" i="10" l="1"/>
  <c r="D193" i="1" s="1"/>
  <c r="C10" i="29"/>
  <c r="C9" i="29" s="1"/>
  <c r="C22" i="29" s="1"/>
  <c r="F48" i="34"/>
  <c r="E19" i="19"/>
  <c r="F19" i="34"/>
  <c r="F47" i="34"/>
  <c r="E21" i="19"/>
  <c r="F21" i="34"/>
  <c r="E26" i="12"/>
  <c r="E14" i="17"/>
  <c r="E10" i="23"/>
  <c r="E9" i="23" s="1"/>
  <c r="C11" i="20"/>
  <c r="C11" i="24"/>
  <c r="C11" i="25" s="1"/>
  <c r="E34" i="1"/>
  <c r="D11" i="21" s="1"/>
  <c r="E13" i="18"/>
  <c r="C53" i="1"/>
  <c r="F33" i="1"/>
  <c r="D30" i="19"/>
  <c r="D29" i="28"/>
  <c r="D13" i="30" s="1"/>
  <c r="D14" i="27" s="1"/>
  <c r="E5" i="23"/>
  <c r="E5" i="25"/>
  <c r="C30" i="19"/>
  <c r="C29" i="28"/>
  <c r="C13" i="30" s="1"/>
  <c r="C14" i="27" s="1"/>
  <c r="B29" i="28"/>
  <c r="B20" i="28"/>
  <c r="B21" i="19"/>
  <c r="B31" i="16"/>
  <c r="B48" i="16" s="1"/>
  <c r="B49" i="16" s="1"/>
  <c r="D32" i="28"/>
  <c r="D16" i="30" s="1"/>
  <c r="D17" i="27" s="1"/>
  <c r="C32" i="28"/>
  <c r="C16" i="30" s="1"/>
  <c r="C17" i="27" s="1"/>
  <c r="C20" i="28"/>
  <c r="C31" i="16"/>
  <c r="C48" i="16" s="1"/>
  <c r="C49" i="16" s="1"/>
  <c r="C21" i="19"/>
  <c r="F10" i="14"/>
  <c r="F36" i="16" s="1"/>
  <c r="F19" i="14"/>
  <c r="F28" i="12" s="1"/>
  <c r="F29" i="16" s="1"/>
  <c r="K21" i="34" s="1"/>
  <c r="C30" i="12"/>
  <c r="D31" i="16"/>
  <c r="D48" i="16" s="1"/>
  <c r="D49" i="16" s="1"/>
  <c r="D20" i="28"/>
  <c r="D21" i="19"/>
  <c r="E166" i="1"/>
  <c r="E34" i="20"/>
  <c r="E34" i="25" s="1"/>
  <c r="E20" i="39" s="1"/>
  <c r="K43" i="19"/>
  <c r="C7" i="14"/>
  <c r="C33" i="16"/>
  <c r="L28" i="14"/>
  <c r="K11" i="14"/>
  <c r="J37" i="8"/>
  <c r="E36" i="8"/>
  <c r="O37" i="8"/>
  <c r="J36" i="8"/>
  <c r="I37" i="8"/>
  <c r="D36" i="8"/>
  <c r="D28" i="8"/>
  <c r="M37" i="8"/>
  <c r="H36" i="8"/>
  <c r="N37" i="8"/>
  <c r="I36" i="8"/>
  <c r="L37" i="8"/>
  <c r="G36" i="8"/>
  <c r="K37" i="8"/>
  <c r="F36" i="8"/>
  <c r="G32" i="8"/>
  <c r="K49" i="34" s="1"/>
  <c r="H49" i="34" s="1"/>
  <c r="H28" i="36" s="1"/>
  <c r="B17" i="8"/>
  <c r="F32" i="8"/>
  <c r="F49" i="34" s="1"/>
  <c r="B16" i="8"/>
  <c r="E32" i="8"/>
  <c r="B15" i="8"/>
  <c r="J32" i="8"/>
  <c r="Z49" i="34" s="1"/>
  <c r="B20" i="8"/>
  <c r="D32" i="8"/>
  <c r="B14" i="8"/>
  <c r="H32" i="8"/>
  <c r="P49" i="34" s="1"/>
  <c r="B18" i="8"/>
  <c r="I32" i="8"/>
  <c r="U49" i="34" s="1"/>
  <c r="B19" i="8"/>
  <c r="K87" i="1"/>
  <c r="K7" i="8" s="1"/>
  <c r="K36" i="8" s="1"/>
  <c r="F27" i="14"/>
  <c r="F25" i="14"/>
  <c r="F34" i="14"/>
  <c r="F32" i="14"/>
  <c r="F36" i="14"/>
  <c r="F29" i="14"/>
  <c r="E17" i="16"/>
  <c r="F13" i="12"/>
  <c r="F11" i="12"/>
  <c r="E15" i="16"/>
  <c r="D33" i="19"/>
  <c r="E53" i="1"/>
  <c r="F15" i="12"/>
  <c r="E19" i="16"/>
  <c r="F31" i="9"/>
  <c r="E17" i="17"/>
  <c r="E14" i="12"/>
  <c r="E18" i="16" s="1"/>
  <c r="F7" i="12"/>
  <c r="E6" i="12"/>
  <c r="E11" i="16"/>
  <c r="F10" i="12"/>
  <c r="E14" i="16"/>
  <c r="E45" i="19"/>
  <c r="F16" i="12"/>
  <c r="E20" i="16"/>
  <c r="G24" i="1"/>
  <c r="E19" i="12"/>
  <c r="E23" i="16" s="1"/>
  <c r="F9" i="12"/>
  <c r="E13" i="16"/>
  <c r="E46" i="19"/>
  <c r="C33" i="19"/>
  <c r="D53" i="1"/>
  <c r="H6" i="1"/>
  <c r="E5" i="20"/>
  <c r="N24" i="20"/>
  <c r="N24" i="25" s="1"/>
  <c r="M12" i="16"/>
  <c r="H23" i="1"/>
  <c r="D24" i="12"/>
  <c r="D30" i="12" s="1"/>
  <c r="I22" i="1"/>
  <c r="B24" i="12"/>
  <c r="B30" i="12" s="1"/>
  <c r="E5" i="9"/>
  <c r="E9" i="9" s="1"/>
  <c r="E18" i="9" s="1"/>
  <c r="E20" i="9" s="1"/>
  <c r="E25" i="12"/>
  <c r="E27" i="12"/>
  <c r="G186" i="1"/>
  <c r="F10" i="23" s="1"/>
  <c r="F9" i="23" s="1"/>
  <c r="C11" i="9"/>
  <c r="C14" i="9" s="1"/>
  <c r="C16" i="9" s="1"/>
  <c r="C21" i="9" s="1"/>
  <c r="B10" i="1"/>
  <c r="F101" i="1" s="1"/>
  <c r="E30" i="6" s="1"/>
  <c r="E31" i="6" s="1"/>
  <c r="E8" i="16" s="1"/>
  <c r="B10" i="9"/>
  <c r="B25" i="9" s="1"/>
  <c r="D10" i="9"/>
  <c r="D11" i="9" s="1"/>
  <c r="D14" i="9" s="1"/>
  <c r="D16" i="9" s="1"/>
  <c r="D21" i="9" s="1"/>
  <c r="D11" i="10"/>
  <c r="F136" i="1"/>
  <c r="G92" i="1"/>
  <c r="H11" i="1"/>
  <c r="H155" i="1" s="1"/>
  <c r="G121" i="1"/>
  <c r="C112" i="1"/>
  <c r="C114" i="1" s="1"/>
  <c r="C115" i="1" s="1"/>
  <c r="B34" i="7" s="1"/>
  <c r="E112" i="1"/>
  <c r="E114" i="1" s="1"/>
  <c r="E115" i="1" s="1"/>
  <c r="D34" i="7" s="1"/>
  <c r="G106" i="1"/>
  <c r="F25" i="12" s="1"/>
  <c r="G109" i="1"/>
  <c r="F27" i="12" s="1"/>
  <c r="G107" i="1"/>
  <c r="F26" i="12" s="1"/>
  <c r="B32" i="6"/>
  <c r="G20" i="1"/>
  <c r="D32" i="6"/>
  <c r="C30" i="6"/>
  <c r="C31" i="6" s="1"/>
  <c r="H5" i="1"/>
  <c r="F45" i="1"/>
  <c r="G44" i="1"/>
  <c r="G48" i="1" s="1"/>
  <c r="G49" i="1" s="1"/>
  <c r="J8" i="6"/>
  <c r="J7" i="6"/>
  <c r="F47" i="1"/>
  <c r="G46" i="1"/>
  <c r="M32" i="1"/>
  <c r="M122" i="1" s="1"/>
  <c r="M119" i="1" s="1"/>
  <c r="L9" i="14" s="1"/>
  <c r="L35" i="16" s="1"/>
  <c r="AC45" i="34" s="1"/>
  <c r="K6" i="6"/>
  <c r="L36" i="1"/>
  <c r="K46" i="34" l="1"/>
  <c r="F27" i="39"/>
  <c r="E32" i="39"/>
  <c r="D10" i="10"/>
  <c r="E193" i="1" s="1"/>
  <c r="E198" i="1" s="1"/>
  <c r="D10" i="29"/>
  <c r="D9" i="29" s="1"/>
  <c r="D22" i="29" s="1"/>
  <c r="E26" i="27"/>
  <c r="F26" i="36"/>
  <c r="E27" i="27"/>
  <c r="F27" i="36"/>
  <c r="E15" i="26"/>
  <c r="F15" i="35"/>
  <c r="E16" i="26"/>
  <c r="F16" i="35"/>
  <c r="Z33" i="34"/>
  <c r="W49" i="34"/>
  <c r="W28" i="36" s="1"/>
  <c r="V49" i="34"/>
  <c r="V28" i="36" s="1"/>
  <c r="X49" i="34"/>
  <c r="X28" i="36" s="1"/>
  <c r="Y49" i="34"/>
  <c r="Y28" i="36" s="1"/>
  <c r="U33" i="34"/>
  <c r="T49" i="34"/>
  <c r="T28" i="36" s="1"/>
  <c r="Q49" i="34"/>
  <c r="Q28" i="36" s="1"/>
  <c r="R49" i="34"/>
  <c r="R28" i="36" s="1"/>
  <c r="S49" i="34"/>
  <c r="S28" i="36" s="1"/>
  <c r="P33" i="34"/>
  <c r="N49" i="34"/>
  <c r="N28" i="36" s="1"/>
  <c r="M49" i="34"/>
  <c r="M28" i="36" s="1"/>
  <c r="O49" i="34"/>
  <c r="O28" i="36" s="1"/>
  <c r="L49" i="34"/>
  <c r="L28" i="36" s="1"/>
  <c r="C47" i="34"/>
  <c r="C26" i="36" s="1"/>
  <c r="E47" i="34"/>
  <c r="E26" i="36" s="1"/>
  <c r="B47" i="34"/>
  <c r="B26" i="36" s="1"/>
  <c r="D47" i="34"/>
  <c r="D26" i="36" s="1"/>
  <c r="K33" i="34"/>
  <c r="J49" i="34"/>
  <c r="J28" i="36" s="1"/>
  <c r="G49" i="34"/>
  <c r="G28" i="36" s="1"/>
  <c r="I49" i="34"/>
  <c r="I28" i="36" s="1"/>
  <c r="C48" i="34"/>
  <c r="C27" i="36" s="1"/>
  <c r="E48" i="34"/>
  <c r="E27" i="36" s="1"/>
  <c r="B48" i="34"/>
  <c r="B27" i="36" s="1"/>
  <c r="D48" i="34"/>
  <c r="D27" i="36" s="1"/>
  <c r="J21" i="34"/>
  <c r="G21" i="34"/>
  <c r="H21" i="34"/>
  <c r="I21" i="34"/>
  <c r="I46" i="34"/>
  <c r="J46" i="34"/>
  <c r="G46" i="34"/>
  <c r="H46" i="34"/>
  <c r="F33" i="34"/>
  <c r="E33" i="34" s="1"/>
  <c r="E15" i="36" s="1"/>
  <c r="C49" i="34"/>
  <c r="C28" i="36" s="1"/>
  <c r="B49" i="34"/>
  <c r="B28" i="36" s="1"/>
  <c r="D49" i="34"/>
  <c r="D28" i="36" s="1"/>
  <c r="E49" i="34"/>
  <c r="E28" i="36" s="1"/>
  <c r="C19" i="34"/>
  <c r="E19" i="34"/>
  <c r="B19" i="34"/>
  <c r="D19" i="34"/>
  <c r="E21" i="34"/>
  <c r="B21" i="34"/>
  <c r="D21" i="34"/>
  <c r="C21" i="34"/>
  <c r="E9" i="19"/>
  <c r="F9" i="34"/>
  <c r="E15" i="19"/>
  <c r="F15" i="34"/>
  <c r="K47" i="34"/>
  <c r="E13" i="19"/>
  <c r="F13" i="34"/>
  <c r="E16" i="19"/>
  <c r="F16" i="34"/>
  <c r="B16" i="34" s="1"/>
  <c r="E14" i="19"/>
  <c r="F14" i="34"/>
  <c r="K48" i="34"/>
  <c r="F52" i="1"/>
  <c r="F12" i="33"/>
  <c r="D11" i="20"/>
  <c r="D11" i="24"/>
  <c r="D11" i="25" s="1"/>
  <c r="F166" i="1"/>
  <c r="G33" i="1"/>
  <c r="F34" i="1"/>
  <c r="E12" i="12" s="1"/>
  <c r="E16" i="16" s="1"/>
  <c r="F44" i="19"/>
  <c r="F51" i="1"/>
  <c r="F35" i="34" s="1"/>
  <c r="B13" i="30"/>
  <c r="B36" i="28"/>
  <c r="F13" i="18"/>
  <c r="F21" i="19"/>
  <c r="F5" i="25"/>
  <c r="F5" i="23"/>
  <c r="G10" i="14"/>
  <c r="G36" i="16" s="1"/>
  <c r="G19" i="14"/>
  <c r="G28" i="12" s="1"/>
  <c r="G29" i="16" s="1"/>
  <c r="P21" i="34" s="1"/>
  <c r="F34" i="20"/>
  <c r="F34" i="25" s="1"/>
  <c r="F20" i="39" s="1"/>
  <c r="L43" i="19"/>
  <c r="H47" i="19"/>
  <c r="U28" i="36" s="1"/>
  <c r="G47" i="19"/>
  <c r="P28" i="36" s="1"/>
  <c r="I47" i="19"/>
  <c r="Z28" i="36" s="1"/>
  <c r="E47" i="19"/>
  <c r="F28" i="36" s="1"/>
  <c r="C47" i="19"/>
  <c r="C31" i="19" s="1"/>
  <c r="C37" i="19" s="1"/>
  <c r="C46" i="28"/>
  <c r="D47" i="19"/>
  <c r="D31" i="19" s="1"/>
  <c r="D37" i="19" s="1"/>
  <c r="D46" i="28"/>
  <c r="F47" i="19"/>
  <c r="K28" i="36" s="1"/>
  <c r="C42" i="29"/>
  <c r="C41" i="28"/>
  <c r="C40" i="28" s="1"/>
  <c r="E28" i="8"/>
  <c r="D165" i="1"/>
  <c r="B33" i="16"/>
  <c r="B7" i="14"/>
  <c r="M28" i="14"/>
  <c r="L11" i="14"/>
  <c r="D33" i="16"/>
  <c r="D7" i="14"/>
  <c r="C42" i="19"/>
  <c r="C41" i="19" s="1"/>
  <c r="I18" i="8"/>
  <c r="M18" i="8"/>
  <c r="N18" i="8"/>
  <c r="H18" i="8"/>
  <c r="O18" i="8"/>
  <c r="K18" i="8"/>
  <c r="L18" i="8"/>
  <c r="J18" i="8"/>
  <c r="L20" i="8"/>
  <c r="O20" i="8"/>
  <c r="J20" i="8"/>
  <c r="K20" i="8"/>
  <c r="N20" i="8"/>
  <c r="M20" i="8"/>
  <c r="J16" i="8"/>
  <c r="F16" i="8"/>
  <c r="N16" i="8"/>
  <c r="G16" i="8"/>
  <c r="O16" i="8"/>
  <c r="H16" i="8"/>
  <c r="L16" i="8"/>
  <c r="I16" i="8"/>
  <c r="M16" i="8"/>
  <c r="K16" i="8"/>
  <c r="O19" i="8"/>
  <c r="K19" i="8"/>
  <c r="L19" i="8"/>
  <c r="M19" i="8"/>
  <c r="N19" i="8"/>
  <c r="J19" i="8"/>
  <c r="I19" i="8"/>
  <c r="G14" i="8"/>
  <c r="K14" i="8"/>
  <c r="N14" i="8"/>
  <c r="L14" i="8"/>
  <c r="O14" i="8"/>
  <c r="E14" i="8"/>
  <c r="I14" i="8"/>
  <c r="M14" i="8"/>
  <c r="F14" i="8"/>
  <c r="J14" i="8"/>
  <c r="D14" i="8"/>
  <c r="D12" i="8" s="1"/>
  <c r="D31" i="8" s="1"/>
  <c r="C35" i="7" s="1"/>
  <c r="C33" i="7" s="1"/>
  <c r="H14" i="8"/>
  <c r="O15" i="8"/>
  <c r="I15" i="8"/>
  <c r="M15" i="8"/>
  <c r="F15" i="8"/>
  <c r="E15" i="8"/>
  <c r="G15" i="8"/>
  <c r="K15" i="8"/>
  <c r="N15" i="8"/>
  <c r="H15" i="8"/>
  <c r="L15" i="8"/>
  <c r="J15" i="8"/>
  <c r="O17" i="8"/>
  <c r="J17" i="8"/>
  <c r="G17" i="8"/>
  <c r="H17" i="8"/>
  <c r="L17" i="8"/>
  <c r="N17" i="8"/>
  <c r="I17" i="8"/>
  <c r="M17" i="8"/>
  <c r="K17" i="8"/>
  <c r="K32" i="8"/>
  <c r="AA49" i="34" s="1"/>
  <c r="AA33" i="34" s="1"/>
  <c r="B21" i="8"/>
  <c r="F24" i="12"/>
  <c r="F28" i="16" s="1"/>
  <c r="L87" i="1"/>
  <c r="L7" i="8" s="1"/>
  <c r="L36" i="8" s="1"/>
  <c r="G27" i="14"/>
  <c r="G25" i="14"/>
  <c r="G34" i="14"/>
  <c r="G32" i="14"/>
  <c r="G29" i="14"/>
  <c r="G36" i="14"/>
  <c r="G15" i="12"/>
  <c r="F19" i="16"/>
  <c r="F17" i="16"/>
  <c r="G13" i="12"/>
  <c r="G14" i="12" s="1"/>
  <c r="G18" i="16" s="1"/>
  <c r="H186" i="1"/>
  <c r="F14" i="17"/>
  <c r="F14" i="12"/>
  <c r="F18" i="16" s="1"/>
  <c r="G9" i="12"/>
  <c r="F13" i="16"/>
  <c r="G16" i="12"/>
  <c r="F20" i="16"/>
  <c r="F11" i="16"/>
  <c r="F6" i="12"/>
  <c r="G7" i="12"/>
  <c r="G10" i="12"/>
  <c r="F14" i="16"/>
  <c r="G31" i="9"/>
  <c r="F17" i="17"/>
  <c r="F45" i="19"/>
  <c r="I6" i="1"/>
  <c r="F5" i="20"/>
  <c r="H24" i="1"/>
  <c r="F19" i="12"/>
  <c r="F23" i="16" s="1"/>
  <c r="E10" i="16"/>
  <c r="G11" i="12"/>
  <c r="F15" i="16"/>
  <c r="F46" i="19"/>
  <c r="N12" i="16"/>
  <c r="I23" i="1"/>
  <c r="J22" i="1"/>
  <c r="E24" i="12"/>
  <c r="E28" i="16" s="1"/>
  <c r="C13" i="9"/>
  <c r="C19" i="9" s="1"/>
  <c r="B11" i="9"/>
  <c r="B14" i="9" s="1"/>
  <c r="B16" i="9" s="1"/>
  <c r="B21" i="9" s="1"/>
  <c r="H101" i="1"/>
  <c r="G30" i="6" s="1"/>
  <c r="G31" i="6" s="1"/>
  <c r="G8" i="16" s="1"/>
  <c r="G101" i="1"/>
  <c r="F30" i="6" s="1"/>
  <c r="F31" i="6" s="1"/>
  <c r="F8" i="16" s="1"/>
  <c r="D25" i="9"/>
  <c r="B11" i="10"/>
  <c r="C24" i="10"/>
  <c r="B24" i="10"/>
  <c r="D13" i="9"/>
  <c r="D19" i="9" s="1"/>
  <c r="B7" i="7"/>
  <c r="C175" i="1" s="1"/>
  <c r="B177" i="1" s="1"/>
  <c r="D7" i="7"/>
  <c r="E175" i="1" s="1"/>
  <c r="E182" i="1" s="1"/>
  <c r="I11" i="1"/>
  <c r="I155" i="1" s="1"/>
  <c r="H121" i="1"/>
  <c r="G93" i="1"/>
  <c r="F23" i="12" s="1"/>
  <c r="F27" i="16" s="1"/>
  <c r="H92" i="1"/>
  <c r="C32" i="6"/>
  <c r="C7" i="7"/>
  <c r="D175" i="1" s="1"/>
  <c r="H106" i="1"/>
  <c r="G25" i="12" s="1"/>
  <c r="H109" i="1"/>
  <c r="G27" i="12" s="1"/>
  <c r="H107" i="1"/>
  <c r="G26" i="12" s="1"/>
  <c r="H20" i="1"/>
  <c r="I5" i="1"/>
  <c r="I23" i="6"/>
  <c r="I26" i="6" s="1"/>
  <c r="J14" i="6"/>
  <c r="I22" i="6"/>
  <c r="I25" i="6" s="1"/>
  <c r="J13" i="6"/>
  <c r="K7" i="6"/>
  <c r="K8" i="6"/>
  <c r="H46" i="1"/>
  <c r="G47" i="1"/>
  <c r="H44" i="1"/>
  <c r="H48" i="1" s="1"/>
  <c r="H49" i="1" s="1"/>
  <c r="G45" i="1"/>
  <c r="L6" i="6"/>
  <c r="M36" i="1"/>
  <c r="N32" i="1"/>
  <c r="N122" i="1" s="1"/>
  <c r="N119" i="1" s="1"/>
  <c r="M9" i="14" s="1"/>
  <c r="M35" i="16" s="1"/>
  <c r="AD45" i="34" s="1"/>
  <c r="D182" i="1" l="1"/>
  <c r="P46" i="34"/>
  <c r="G27" i="39"/>
  <c r="F32" i="39"/>
  <c r="C16" i="18"/>
  <c r="B10" i="10"/>
  <c r="C193" i="1" s="1"/>
  <c r="B10" i="29"/>
  <c r="B9" i="29" s="1"/>
  <c r="B22" i="29" s="1"/>
  <c r="D9" i="34"/>
  <c r="B9" i="34"/>
  <c r="C9" i="34"/>
  <c r="E9" i="34"/>
  <c r="F26" i="27"/>
  <c r="K26" i="36"/>
  <c r="F27" i="27"/>
  <c r="K27" i="36"/>
  <c r="F16" i="26"/>
  <c r="K16" i="35"/>
  <c r="C15" i="35"/>
  <c r="D15" i="35"/>
  <c r="B15" i="35"/>
  <c r="E15" i="35"/>
  <c r="D16" i="35"/>
  <c r="E16" i="35"/>
  <c r="B16" i="35"/>
  <c r="C16" i="35"/>
  <c r="F15" i="26"/>
  <c r="K15" i="35"/>
  <c r="W33" i="34"/>
  <c r="W15" i="36" s="1"/>
  <c r="V33" i="34"/>
  <c r="V15" i="36" s="1"/>
  <c r="X33" i="34"/>
  <c r="X15" i="36" s="1"/>
  <c r="Y33" i="34"/>
  <c r="Y15" i="36" s="1"/>
  <c r="Q33" i="34"/>
  <c r="Q15" i="36" s="1"/>
  <c r="R33" i="34"/>
  <c r="R15" i="36" s="1"/>
  <c r="S33" i="34"/>
  <c r="S15" i="36" s="1"/>
  <c r="T33" i="34"/>
  <c r="T15" i="36" s="1"/>
  <c r="O46" i="34"/>
  <c r="L46" i="34"/>
  <c r="M46" i="34"/>
  <c r="N46" i="34"/>
  <c r="D33" i="34"/>
  <c r="D15" i="36" s="1"/>
  <c r="N21" i="34"/>
  <c r="L21" i="34"/>
  <c r="O21" i="34"/>
  <c r="M21" i="34"/>
  <c r="O33" i="34"/>
  <c r="O15" i="36" s="1"/>
  <c r="M33" i="34"/>
  <c r="M15" i="36" s="1"/>
  <c r="N33" i="34"/>
  <c r="N15" i="36" s="1"/>
  <c r="L33" i="34"/>
  <c r="L15" i="36" s="1"/>
  <c r="I48" i="34"/>
  <c r="I27" i="36" s="1"/>
  <c r="G48" i="34"/>
  <c r="G27" i="36" s="1"/>
  <c r="H48" i="34"/>
  <c r="H27" i="36" s="1"/>
  <c r="J48" i="34"/>
  <c r="J27" i="36" s="1"/>
  <c r="C33" i="34"/>
  <c r="C15" i="36" s="1"/>
  <c r="B33" i="34"/>
  <c r="B15" i="36" s="1"/>
  <c r="I33" i="34"/>
  <c r="I15" i="36" s="1"/>
  <c r="G33" i="34"/>
  <c r="G15" i="36" s="1"/>
  <c r="H33" i="34"/>
  <c r="H15" i="36" s="1"/>
  <c r="J33" i="34"/>
  <c r="J15" i="36" s="1"/>
  <c r="J47" i="34"/>
  <c r="J26" i="36" s="1"/>
  <c r="G47" i="34"/>
  <c r="G26" i="36" s="1"/>
  <c r="H47" i="34"/>
  <c r="H26" i="36" s="1"/>
  <c r="I47" i="34"/>
  <c r="I26" i="36" s="1"/>
  <c r="P47" i="34"/>
  <c r="E15" i="34"/>
  <c r="C15" i="34"/>
  <c r="D15" i="34"/>
  <c r="B15" i="34"/>
  <c r="D14" i="34"/>
  <c r="E14" i="34"/>
  <c r="B14" i="34"/>
  <c r="C14" i="34"/>
  <c r="D13" i="34"/>
  <c r="E13" i="34"/>
  <c r="B13" i="34"/>
  <c r="C13" i="34"/>
  <c r="C35" i="34"/>
  <c r="C17" i="36" s="1"/>
  <c r="D35" i="34"/>
  <c r="D17" i="36" s="1"/>
  <c r="B35" i="34"/>
  <c r="B17" i="36" s="1"/>
  <c r="E35" i="34"/>
  <c r="E17" i="36" s="1"/>
  <c r="E16" i="34"/>
  <c r="D16" i="34"/>
  <c r="C16" i="34"/>
  <c r="P48" i="34"/>
  <c r="E11" i="19"/>
  <c r="F11" i="34"/>
  <c r="F9" i="19"/>
  <c r="K9" i="34"/>
  <c r="E20" i="19"/>
  <c r="F20" i="34"/>
  <c r="F16" i="19"/>
  <c r="K16" i="34"/>
  <c r="F13" i="19"/>
  <c r="K13" i="34"/>
  <c r="G9" i="19"/>
  <c r="P9" i="34"/>
  <c r="F15" i="19"/>
  <c r="K15" i="34"/>
  <c r="G14" i="19"/>
  <c r="P14" i="34"/>
  <c r="F14" i="19"/>
  <c r="K14" i="34"/>
  <c r="E12" i="19"/>
  <c r="F12" i="34"/>
  <c r="F19" i="19"/>
  <c r="K19" i="34"/>
  <c r="F20" i="19"/>
  <c r="K20" i="34"/>
  <c r="E30" i="19"/>
  <c r="F32" i="34"/>
  <c r="E11" i="20"/>
  <c r="E11" i="25" s="1"/>
  <c r="G52" i="1"/>
  <c r="K32" i="34" s="1"/>
  <c r="G12" i="33"/>
  <c r="G14" i="17"/>
  <c r="G10" i="23"/>
  <c r="G9" i="23" s="1"/>
  <c r="H31" i="19"/>
  <c r="H28" i="27"/>
  <c r="C37" i="29"/>
  <c r="C45" i="29" s="1"/>
  <c r="C43" i="26"/>
  <c r="C38" i="26" s="1"/>
  <c r="C46" i="26" s="1"/>
  <c r="E31" i="19"/>
  <c r="E28" i="27"/>
  <c r="F31" i="19"/>
  <c r="F28" i="27"/>
  <c r="I31" i="19"/>
  <c r="I28" i="27"/>
  <c r="B20" i="30"/>
  <c r="B14" i="27"/>
  <c r="G31" i="19"/>
  <c r="G28" i="27"/>
  <c r="E33" i="19"/>
  <c r="G166" i="1"/>
  <c r="F30" i="19"/>
  <c r="G34" i="1"/>
  <c r="F12" i="12" s="1"/>
  <c r="F16" i="16" s="1"/>
  <c r="H33" i="1"/>
  <c r="H12" i="33" s="1"/>
  <c r="G51" i="1"/>
  <c r="K35" i="34" s="1"/>
  <c r="G5" i="23"/>
  <c r="G5" i="25"/>
  <c r="G13" i="18"/>
  <c r="G21" i="19"/>
  <c r="F53" i="1"/>
  <c r="H10" i="14"/>
  <c r="H36" i="16" s="1"/>
  <c r="H19" i="14"/>
  <c r="H28" i="12" s="1"/>
  <c r="H29" i="16" s="1"/>
  <c r="U21" i="34" s="1"/>
  <c r="D30" i="28"/>
  <c r="D27" i="30"/>
  <c r="D28" i="27" s="1"/>
  <c r="C30" i="28"/>
  <c r="C27" i="30"/>
  <c r="C28" i="27" s="1"/>
  <c r="G44" i="19"/>
  <c r="G34" i="20"/>
  <c r="G34" i="25" s="1"/>
  <c r="G20" i="39" s="1"/>
  <c r="F12" i="8"/>
  <c r="F31" i="8" s="1"/>
  <c r="E8" i="14" s="1"/>
  <c r="E34" i="16" s="1"/>
  <c r="E28" i="39" s="1"/>
  <c r="M43" i="19"/>
  <c r="J47" i="19"/>
  <c r="AA28" i="36" s="1"/>
  <c r="E12" i="8"/>
  <c r="E31" i="8" s="1"/>
  <c r="D35" i="7" s="1"/>
  <c r="D8" i="14" s="1"/>
  <c r="D6" i="14" s="1"/>
  <c r="G12" i="8"/>
  <c r="G31" i="8" s="1"/>
  <c r="F8" i="14" s="1"/>
  <c r="F34" i="16" s="1"/>
  <c r="F28" i="39" s="1"/>
  <c r="D41" i="28"/>
  <c r="D40" i="28" s="1"/>
  <c r="D42" i="29"/>
  <c r="B42" i="19"/>
  <c r="B42" i="29"/>
  <c r="B43" i="26" s="1"/>
  <c r="B38" i="26" s="1"/>
  <c r="B46" i="26" s="1"/>
  <c r="B48" i="26" s="1"/>
  <c r="B41" i="28"/>
  <c r="F28" i="8"/>
  <c r="E165" i="1"/>
  <c r="J12" i="8"/>
  <c r="J31" i="8" s="1"/>
  <c r="I8" i="14" s="1"/>
  <c r="I34" i="16" s="1"/>
  <c r="I28" i="39" s="1"/>
  <c r="C8" i="14"/>
  <c r="C6" i="14" s="1"/>
  <c r="C34" i="16"/>
  <c r="I12" i="8"/>
  <c r="I31" i="8" s="1"/>
  <c r="H8" i="14" s="1"/>
  <c r="H34" i="16" s="1"/>
  <c r="H28" i="39" s="1"/>
  <c r="D42" i="19"/>
  <c r="D41" i="19" s="1"/>
  <c r="N28" i="14"/>
  <c r="M11" i="14"/>
  <c r="D29" i="8"/>
  <c r="D30" i="8" s="1"/>
  <c r="D33" i="8" s="1"/>
  <c r="H12" i="8"/>
  <c r="H31" i="8" s="1"/>
  <c r="G8" i="14" s="1"/>
  <c r="G34" i="16" s="1"/>
  <c r="G28" i="39" s="1"/>
  <c r="O21" i="8"/>
  <c r="L21" i="8"/>
  <c r="K21" i="8"/>
  <c r="K12" i="8" s="1"/>
  <c r="K31" i="8" s="1"/>
  <c r="J8" i="14" s="1"/>
  <c r="J34" i="16" s="1"/>
  <c r="J28" i="39" s="1"/>
  <c r="N21" i="8"/>
  <c r="M21" i="8"/>
  <c r="L32" i="8"/>
  <c r="AB49" i="34" s="1"/>
  <c r="AB33" i="34" s="1"/>
  <c r="B22" i="8"/>
  <c r="I186" i="1"/>
  <c r="G45" i="19"/>
  <c r="M87" i="1"/>
  <c r="M7" i="8" s="1"/>
  <c r="M36" i="8" s="1"/>
  <c r="I101" i="1"/>
  <c r="H30" i="6" s="1"/>
  <c r="H31" i="6" s="1"/>
  <c r="H8" i="16" s="1"/>
  <c r="H34" i="14"/>
  <c r="H32" i="14"/>
  <c r="H27" i="14"/>
  <c r="H25" i="14"/>
  <c r="H29" i="14"/>
  <c r="H36" i="14"/>
  <c r="I24" i="1"/>
  <c r="G19" i="12"/>
  <c r="G23" i="16" s="1"/>
  <c r="F10" i="16"/>
  <c r="H9" i="12"/>
  <c r="G13" i="16"/>
  <c r="H15" i="12"/>
  <c r="G19" i="16"/>
  <c r="H11" i="12"/>
  <c r="G15" i="16"/>
  <c r="H31" i="9"/>
  <c r="G17" i="17"/>
  <c r="G17" i="16"/>
  <c r="H13" i="12"/>
  <c r="G24" i="12"/>
  <c r="G28" i="16" s="1"/>
  <c r="J6" i="1"/>
  <c r="G5" i="20"/>
  <c r="G11" i="16"/>
  <c r="H7" i="12"/>
  <c r="G6" i="12"/>
  <c r="H16" i="12"/>
  <c r="G20" i="16"/>
  <c r="G46" i="19"/>
  <c r="H10" i="12"/>
  <c r="G14" i="16"/>
  <c r="K22" i="1"/>
  <c r="J23" i="1"/>
  <c r="I5" i="9"/>
  <c r="I9" i="9" s="1"/>
  <c r="I18" i="9" s="1"/>
  <c r="I20" i="9" s="1"/>
  <c r="C16" i="11"/>
  <c r="C18" i="11"/>
  <c r="B172" i="1"/>
  <c r="B171" i="1"/>
  <c r="C7" i="10"/>
  <c r="C22" i="9"/>
  <c r="B13" i="9"/>
  <c r="B19" i="9" s="1"/>
  <c r="D22" i="9"/>
  <c r="D7" i="15" s="1"/>
  <c r="D6" i="15" s="1"/>
  <c r="D24" i="10"/>
  <c r="J136" i="1"/>
  <c r="I92" i="1"/>
  <c r="H93" i="1"/>
  <c r="G23" i="12" s="1"/>
  <c r="G27" i="16" s="1"/>
  <c r="J11" i="1"/>
  <c r="J155" i="1" s="1"/>
  <c r="I121" i="1"/>
  <c r="I109" i="1"/>
  <c r="H27" i="12" s="1"/>
  <c r="I107" i="1"/>
  <c r="H26" i="12" s="1"/>
  <c r="I106" i="1"/>
  <c r="H25" i="12" s="1"/>
  <c r="I20" i="1"/>
  <c r="J5" i="1"/>
  <c r="J16" i="6"/>
  <c r="J19" i="6" s="1"/>
  <c r="J22" i="6"/>
  <c r="K13" i="6"/>
  <c r="J17" i="6"/>
  <c r="J20" i="6" s="1"/>
  <c r="J23" i="6"/>
  <c r="K14" i="6"/>
  <c r="M6" i="6"/>
  <c r="O32" i="1"/>
  <c r="O122" i="1" s="1"/>
  <c r="O119" i="1" s="1"/>
  <c r="N9" i="14" s="1"/>
  <c r="N35" i="16" s="1"/>
  <c r="AE45" i="34" s="1"/>
  <c r="N36" i="1"/>
  <c r="I44" i="1"/>
  <c r="I48" i="1" s="1"/>
  <c r="I49" i="1" s="1"/>
  <c r="H45" i="1"/>
  <c r="L7" i="6"/>
  <c r="L8" i="6"/>
  <c r="I46" i="1"/>
  <c r="H47" i="1"/>
  <c r="C32" i="16" l="1"/>
  <c r="C39" i="16" s="1"/>
  <c r="C28" i="39"/>
  <c r="B21" i="27"/>
  <c r="B10" i="39"/>
  <c r="G32" i="39"/>
  <c r="U46" i="34"/>
  <c r="T46" i="34" s="1"/>
  <c r="H27" i="39"/>
  <c r="D192" i="1"/>
  <c r="C6" i="18"/>
  <c r="B196" i="1"/>
  <c r="D198" i="1"/>
  <c r="M9" i="34"/>
  <c r="L9" i="34"/>
  <c r="O9" i="34"/>
  <c r="N9" i="34"/>
  <c r="H9" i="34"/>
  <c r="G9" i="34"/>
  <c r="J9" i="34"/>
  <c r="I9" i="34"/>
  <c r="F14" i="27"/>
  <c r="K14" i="36"/>
  <c r="I15" i="27"/>
  <c r="Z15" i="36"/>
  <c r="E17" i="27"/>
  <c r="F17" i="36"/>
  <c r="F15" i="27"/>
  <c r="K15" i="36"/>
  <c r="G15" i="27"/>
  <c r="P15" i="36"/>
  <c r="E15" i="27"/>
  <c r="F15" i="36"/>
  <c r="H15" i="27"/>
  <c r="U15" i="36"/>
  <c r="E14" i="27"/>
  <c r="F14" i="36"/>
  <c r="G27" i="27"/>
  <c r="P27" i="36"/>
  <c r="G26" i="27"/>
  <c r="P26" i="36"/>
  <c r="J15" i="35"/>
  <c r="G15" i="35"/>
  <c r="I15" i="35"/>
  <c r="H15" i="35"/>
  <c r="G15" i="26"/>
  <c r="P15" i="35"/>
  <c r="H16" i="35"/>
  <c r="I16" i="35"/>
  <c r="G16" i="35"/>
  <c r="J16" i="35"/>
  <c r="G16" i="26"/>
  <c r="P16" i="35"/>
  <c r="T21" i="34"/>
  <c r="R21" i="34"/>
  <c r="Q21" i="34"/>
  <c r="S21" i="34"/>
  <c r="L47" i="34"/>
  <c r="L26" i="36" s="1"/>
  <c r="M47" i="34"/>
  <c r="M26" i="36" s="1"/>
  <c r="N47" i="34"/>
  <c r="N26" i="36" s="1"/>
  <c r="O47" i="34"/>
  <c r="O26" i="36" s="1"/>
  <c r="O14" i="34"/>
  <c r="L14" i="34"/>
  <c r="M14" i="34"/>
  <c r="N14" i="34"/>
  <c r="M48" i="34"/>
  <c r="M27" i="36" s="1"/>
  <c r="L48" i="34"/>
  <c r="L27" i="36" s="1"/>
  <c r="N48" i="34"/>
  <c r="N27" i="36" s="1"/>
  <c r="O48" i="34"/>
  <c r="O27" i="36" s="1"/>
  <c r="H32" i="34"/>
  <c r="H14" i="36" s="1"/>
  <c r="I32" i="34"/>
  <c r="I14" i="36" s="1"/>
  <c r="G32" i="34"/>
  <c r="G14" i="36" s="1"/>
  <c r="J32" i="34"/>
  <c r="J14" i="36" s="1"/>
  <c r="G19" i="34"/>
  <c r="I19" i="34"/>
  <c r="J19" i="34"/>
  <c r="H19" i="34"/>
  <c r="J14" i="34"/>
  <c r="G14" i="34"/>
  <c r="H14" i="34"/>
  <c r="I14" i="34"/>
  <c r="H15" i="34"/>
  <c r="J15" i="34"/>
  <c r="G15" i="34"/>
  <c r="I15" i="34"/>
  <c r="I13" i="34"/>
  <c r="H13" i="34"/>
  <c r="J13" i="34"/>
  <c r="G13" i="34"/>
  <c r="H20" i="34"/>
  <c r="I20" i="34"/>
  <c r="J20" i="34"/>
  <c r="G20" i="34"/>
  <c r="H16" i="34"/>
  <c r="J16" i="34"/>
  <c r="G16" i="34"/>
  <c r="I16" i="34"/>
  <c r="G35" i="34"/>
  <c r="G17" i="36" s="1"/>
  <c r="H35" i="34"/>
  <c r="H17" i="36" s="1"/>
  <c r="J35" i="34"/>
  <c r="J17" i="36" s="1"/>
  <c r="I35" i="34"/>
  <c r="I17" i="36" s="1"/>
  <c r="F39" i="34"/>
  <c r="C32" i="34"/>
  <c r="E32" i="34"/>
  <c r="D32" i="34"/>
  <c r="B32" i="34"/>
  <c r="D20" i="34"/>
  <c r="E20" i="34"/>
  <c r="C20" i="34"/>
  <c r="B20" i="34"/>
  <c r="D11" i="34"/>
  <c r="E11" i="34"/>
  <c r="B11" i="34"/>
  <c r="C11" i="34"/>
  <c r="D12" i="34"/>
  <c r="C12" i="34"/>
  <c r="E12" i="34"/>
  <c r="B12" i="34"/>
  <c r="U47" i="34"/>
  <c r="K39" i="34"/>
  <c r="U48" i="34"/>
  <c r="G13" i="19"/>
  <c r="P13" i="34"/>
  <c r="G20" i="19"/>
  <c r="P20" i="34"/>
  <c r="H9" i="19"/>
  <c r="U9" i="34"/>
  <c r="G16" i="19"/>
  <c r="P16" i="34"/>
  <c r="G19" i="19"/>
  <c r="P19" i="34"/>
  <c r="G15" i="19"/>
  <c r="P15" i="34"/>
  <c r="F11" i="19"/>
  <c r="K11" i="34"/>
  <c r="F12" i="19"/>
  <c r="K12" i="34"/>
  <c r="C24" i="30"/>
  <c r="C25" i="27" s="1"/>
  <c r="H14" i="17"/>
  <c r="H10" i="23"/>
  <c r="H9" i="23" s="1"/>
  <c r="E37" i="19"/>
  <c r="D37" i="29"/>
  <c r="D45" i="29" s="1"/>
  <c r="D43" i="26"/>
  <c r="D38" i="26" s="1"/>
  <c r="D46" i="26" s="1"/>
  <c r="J31" i="19"/>
  <c r="J28" i="27"/>
  <c r="G53" i="1"/>
  <c r="H166" i="1"/>
  <c r="F11" i="20"/>
  <c r="F11" i="25" s="1"/>
  <c r="F33" i="19"/>
  <c r="K17" i="36" s="1"/>
  <c r="I33" i="1"/>
  <c r="I12" i="33" s="1"/>
  <c r="H34" i="1"/>
  <c r="G12" i="12" s="1"/>
  <c r="G16" i="16" s="1"/>
  <c r="H52" i="1"/>
  <c r="P32" i="34" s="1"/>
  <c r="D36" i="28"/>
  <c r="D14" i="30"/>
  <c r="H51" i="1"/>
  <c r="P35" i="34" s="1"/>
  <c r="H5" i="25"/>
  <c r="H5" i="23"/>
  <c r="C36" i="28"/>
  <c r="C14" i="30"/>
  <c r="H44" i="19"/>
  <c r="I19" i="14"/>
  <c r="I28" i="12" s="1"/>
  <c r="I29" i="16" s="1"/>
  <c r="Z21" i="34" s="1"/>
  <c r="I10" i="14"/>
  <c r="I36" i="16" s="1"/>
  <c r="H13" i="18"/>
  <c r="H21" i="19"/>
  <c r="B37" i="29"/>
  <c r="B45" i="29" s="1"/>
  <c r="H34" i="20"/>
  <c r="H34" i="25" s="1"/>
  <c r="H20" i="39" s="1"/>
  <c r="D34" i="16"/>
  <c r="D33" i="7"/>
  <c r="D16" i="18" s="1"/>
  <c r="E29" i="8"/>
  <c r="E30" i="8" s="1"/>
  <c r="E33" i="8" s="1"/>
  <c r="N43" i="19"/>
  <c r="K47" i="19"/>
  <c r="AB28" i="36" s="1"/>
  <c r="C48" i="19"/>
  <c r="C50" i="19" s="1"/>
  <c r="C47" i="28"/>
  <c r="C48" i="26"/>
  <c r="C38" i="8"/>
  <c r="G28" i="8"/>
  <c r="G29" i="8" s="1"/>
  <c r="F165" i="1"/>
  <c r="F29" i="8"/>
  <c r="H46" i="19"/>
  <c r="N11" i="14"/>
  <c r="H45" i="19"/>
  <c r="N22" i="8"/>
  <c r="O22" i="8"/>
  <c r="M22" i="8"/>
  <c r="L22" i="8"/>
  <c r="L12" i="8" s="1"/>
  <c r="L31" i="8" s="1"/>
  <c r="K8" i="14" s="1"/>
  <c r="K34" i="16" s="1"/>
  <c r="K28" i="39" s="1"/>
  <c r="M32" i="8"/>
  <c r="AC49" i="34" s="1"/>
  <c r="AC33" i="34" s="1"/>
  <c r="B23" i="8"/>
  <c r="J101" i="1"/>
  <c r="I30" i="6" s="1"/>
  <c r="I31" i="6" s="1"/>
  <c r="I8" i="16" s="1"/>
  <c r="I34" i="14"/>
  <c r="I32" i="14"/>
  <c r="I27" i="14"/>
  <c r="I25" i="14"/>
  <c r="I29" i="14"/>
  <c r="I36" i="14"/>
  <c r="J186" i="1"/>
  <c r="I10" i="12"/>
  <c r="H14" i="16"/>
  <c r="I16" i="12"/>
  <c r="H20" i="16"/>
  <c r="H17" i="16"/>
  <c r="I13" i="12"/>
  <c r="I14" i="12" s="1"/>
  <c r="I18" i="16" s="1"/>
  <c r="H14" i="12"/>
  <c r="H18" i="16" s="1"/>
  <c r="K6" i="1"/>
  <c r="H5" i="20"/>
  <c r="I11" i="12"/>
  <c r="H15" i="16"/>
  <c r="J24" i="1"/>
  <c r="H19" i="12"/>
  <c r="H23" i="16" s="1"/>
  <c r="N87" i="1"/>
  <c r="N7" i="8" s="1"/>
  <c r="N36" i="8" s="1"/>
  <c r="H11" i="16"/>
  <c r="H6" i="12"/>
  <c r="I7" i="12"/>
  <c r="I9" i="12"/>
  <c r="H13" i="16"/>
  <c r="I15" i="12"/>
  <c r="H19" i="16"/>
  <c r="H24" i="12"/>
  <c r="H28" i="16" s="1"/>
  <c r="G10" i="16"/>
  <c r="H17" i="17"/>
  <c r="I31" i="9"/>
  <c r="L22" i="1"/>
  <c r="K23" i="1"/>
  <c r="C26" i="9"/>
  <c r="C7" i="15"/>
  <c r="C6" i="15" s="1"/>
  <c r="C17" i="10"/>
  <c r="C23" i="10" s="1"/>
  <c r="C40" i="10" s="1"/>
  <c r="C6" i="11"/>
  <c r="B18" i="11"/>
  <c r="C12" i="11"/>
  <c r="C27" i="9"/>
  <c r="C28" i="9"/>
  <c r="C14" i="11" s="1"/>
  <c r="B7" i="10"/>
  <c r="B22" i="9"/>
  <c r="D26" i="9"/>
  <c r="D28" i="9"/>
  <c r="D14" i="11" s="1"/>
  <c r="D27" i="9"/>
  <c r="D7" i="10"/>
  <c r="J92" i="1"/>
  <c r="I93" i="1"/>
  <c r="H23" i="12" s="1"/>
  <c r="H27" i="16" s="1"/>
  <c r="K11" i="1"/>
  <c r="K155" i="1" s="1"/>
  <c r="J121" i="1"/>
  <c r="J106" i="1"/>
  <c r="I25" i="12" s="1"/>
  <c r="J107" i="1"/>
  <c r="I26" i="12" s="1"/>
  <c r="J109" i="1"/>
  <c r="I27" i="12" s="1"/>
  <c r="J20" i="1"/>
  <c r="K5" i="1"/>
  <c r="J25" i="6"/>
  <c r="J26" i="6"/>
  <c r="K17" i="6"/>
  <c r="K20" i="6" s="1"/>
  <c r="K16" i="6"/>
  <c r="K19" i="6" s="1"/>
  <c r="K22" i="6"/>
  <c r="L13" i="6"/>
  <c r="K23" i="6"/>
  <c r="L14" i="6"/>
  <c r="M8" i="6"/>
  <c r="M7" i="6"/>
  <c r="J44" i="1"/>
  <c r="J48" i="1" s="1"/>
  <c r="J49" i="1" s="1"/>
  <c r="I45" i="1"/>
  <c r="O36" i="1"/>
  <c r="N6" i="6"/>
  <c r="J46" i="1"/>
  <c r="I47" i="1"/>
  <c r="S46" i="34" l="1"/>
  <c r="D32" i="16"/>
  <c r="D39" i="16" s="1"/>
  <c r="D28" i="39"/>
  <c r="R46" i="34"/>
  <c r="Q46" i="34"/>
  <c r="H32" i="39"/>
  <c r="Z46" i="34"/>
  <c r="W46" i="34" s="1"/>
  <c r="I27" i="39"/>
  <c r="E10" i="39"/>
  <c r="D6" i="11"/>
  <c r="E192" i="1"/>
  <c r="E197" i="1" s="1"/>
  <c r="D6" i="18"/>
  <c r="B6" i="11"/>
  <c r="C192" i="1"/>
  <c r="D197" i="1" s="1"/>
  <c r="B6" i="18"/>
  <c r="R9" i="34"/>
  <c r="Q9" i="34"/>
  <c r="T9" i="34"/>
  <c r="S9" i="34"/>
  <c r="F21" i="36"/>
  <c r="E21" i="27"/>
  <c r="J15" i="27"/>
  <c r="AA15" i="36"/>
  <c r="K21" i="36"/>
  <c r="J21" i="36"/>
  <c r="N15" i="35"/>
  <c r="M15" i="35"/>
  <c r="L15" i="35"/>
  <c r="O15" i="35"/>
  <c r="O16" i="35"/>
  <c r="M16" i="35"/>
  <c r="N16" i="35"/>
  <c r="L16" i="35"/>
  <c r="G21" i="36"/>
  <c r="D39" i="34"/>
  <c r="D14" i="36"/>
  <c r="D21" i="36" s="1"/>
  <c r="E39" i="34"/>
  <c r="E14" i="36"/>
  <c r="E21" i="36" s="1"/>
  <c r="C39" i="34"/>
  <c r="C14" i="36"/>
  <c r="C21" i="36" s="1"/>
  <c r="I21" i="36"/>
  <c r="B39" i="34"/>
  <c r="B14" i="36"/>
  <c r="B21" i="36" s="1"/>
  <c r="H21" i="36"/>
  <c r="H27" i="27"/>
  <c r="U27" i="36"/>
  <c r="H26" i="27"/>
  <c r="U26" i="36"/>
  <c r="X46" i="34"/>
  <c r="H16" i="26"/>
  <c r="U16" i="35"/>
  <c r="H15" i="26"/>
  <c r="U15" i="35"/>
  <c r="X21" i="34"/>
  <c r="W21" i="34"/>
  <c r="V21" i="34"/>
  <c r="Y21" i="34"/>
  <c r="R47" i="34"/>
  <c r="R26" i="36" s="1"/>
  <c r="T47" i="34"/>
  <c r="T26" i="36" s="1"/>
  <c r="Q47" i="34"/>
  <c r="Q26" i="36" s="1"/>
  <c r="S47" i="34"/>
  <c r="S26" i="36" s="1"/>
  <c r="S48" i="34"/>
  <c r="S27" i="36" s="1"/>
  <c r="T48" i="34"/>
  <c r="T27" i="36" s="1"/>
  <c r="Q48" i="34"/>
  <c r="Q27" i="36" s="1"/>
  <c r="R48" i="34"/>
  <c r="R27" i="36" s="1"/>
  <c r="J39" i="34"/>
  <c r="M16" i="34"/>
  <c r="L16" i="34"/>
  <c r="N16" i="34"/>
  <c r="O16" i="34"/>
  <c r="L19" i="34"/>
  <c r="M19" i="34"/>
  <c r="N19" i="34"/>
  <c r="O19" i="34"/>
  <c r="N13" i="34"/>
  <c r="L13" i="34"/>
  <c r="O13" i="34"/>
  <c r="M13" i="34"/>
  <c r="I39" i="34"/>
  <c r="O32" i="34"/>
  <c r="O14" i="36" s="1"/>
  <c r="M32" i="34"/>
  <c r="M14" i="36" s="1"/>
  <c r="N32" i="34"/>
  <c r="N14" i="36" s="1"/>
  <c r="L32" i="34"/>
  <c r="L14" i="36" s="1"/>
  <c r="L15" i="34"/>
  <c r="O15" i="34"/>
  <c r="M15" i="34"/>
  <c r="N15" i="34"/>
  <c r="M20" i="34"/>
  <c r="N20" i="34"/>
  <c r="O20" i="34"/>
  <c r="L20" i="34"/>
  <c r="N35" i="34"/>
  <c r="N17" i="36" s="1"/>
  <c r="L35" i="34"/>
  <c r="L17" i="36" s="1"/>
  <c r="O35" i="34"/>
  <c r="O17" i="36" s="1"/>
  <c r="M35" i="34"/>
  <c r="M17" i="36" s="1"/>
  <c r="J11" i="34"/>
  <c r="G11" i="34"/>
  <c r="H11" i="34"/>
  <c r="I11" i="34"/>
  <c r="H12" i="34"/>
  <c r="I12" i="34"/>
  <c r="G12" i="34"/>
  <c r="J12" i="34"/>
  <c r="G39" i="34"/>
  <c r="H39" i="34"/>
  <c r="H19" i="19"/>
  <c r="U19" i="34"/>
  <c r="H14" i="19"/>
  <c r="U14" i="34"/>
  <c r="I14" i="19"/>
  <c r="Z14" i="34"/>
  <c r="I9" i="19"/>
  <c r="Z9" i="34"/>
  <c r="G11" i="19"/>
  <c r="P11" i="34"/>
  <c r="G12" i="19"/>
  <c r="P12" i="34"/>
  <c r="H20" i="19"/>
  <c r="U20" i="34"/>
  <c r="H15" i="19"/>
  <c r="U15" i="34"/>
  <c r="H13" i="19"/>
  <c r="U13" i="34"/>
  <c r="Z47" i="34"/>
  <c r="H16" i="19"/>
  <c r="U16" i="34"/>
  <c r="Z48" i="34"/>
  <c r="P39" i="34"/>
  <c r="G11" i="20"/>
  <c r="G11" i="25" s="1"/>
  <c r="I14" i="17"/>
  <c r="I10" i="23"/>
  <c r="I9" i="23" s="1"/>
  <c r="D24" i="30"/>
  <c r="D25" i="27" s="1"/>
  <c r="C20" i="30"/>
  <c r="C15" i="27"/>
  <c r="F37" i="19"/>
  <c r="F17" i="27"/>
  <c r="F21" i="27" s="1"/>
  <c r="D20" i="30"/>
  <c r="D15" i="27"/>
  <c r="K31" i="19"/>
  <c r="K28" i="27"/>
  <c r="I166" i="1"/>
  <c r="J33" i="1"/>
  <c r="I34" i="1"/>
  <c r="H11" i="20" s="1"/>
  <c r="H11" i="25" s="1"/>
  <c r="G30" i="19"/>
  <c r="I52" i="1"/>
  <c r="U32" i="34" s="1"/>
  <c r="I44" i="19"/>
  <c r="I13" i="18"/>
  <c r="I21" i="19"/>
  <c r="J19" i="14"/>
  <c r="J28" i="12" s="1"/>
  <c r="J29" i="16" s="1"/>
  <c r="AA21" i="34" s="1"/>
  <c r="J10" i="14"/>
  <c r="J36" i="16" s="1"/>
  <c r="G33" i="19"/>
  <c r="I5" i="25"/>
  <c r="I5" i="23"/>
  <c r="I51" i="1"/>
  <c r="U35" i="34" s="1"/>
  <c r="C49" i="28"/>
  <c r="C28" i="30"/>
  <c r="H53" i="1"/>
  <c r="I34" i="20"/>
  <c r="I34" i="25" s="1"/>
  <c r="I20" i="39" s="1"/>
  <c r="F30" i="8"/>
  <c r="D16" i="11"/>
  <c r="D48" i="19"/>
  <c r="D50" i="19" s="1"/>
  <c r="D48" i="26"/>
  <c r="D47" i="28"/>
  <c r="L47" i="19"/>
  <c r="AC28" i="36" s="1"/>
  <c r="C39" i="8"/>
  <c r="B30" i="21" s="1"/>
  <c r="B30" i="24" s="1"/>
  <c r="B34" i="21"/>
  <c r="B34" i="24" s="1"/>
  <c r="G30" i="8"/>
  <c r="F38" i="8" s="1"/>
  <c r="E35" i="20" s="1"/>
  <c r="E35" i="25" s="1"/>
  <c r="H28" i="8"/>
  <c r="H29" i="8" s="1"/>
  <c r="H30" i="8" s="1"/>
  <c r="D38" i="8"/>
  <c r="C34" i="21" s="1"/>
  <c r="C34" i="24" s="1"/>
  <c r="N23" i="8"/>
  <c r="M23" i="8"/>
  <c r="M12" i="8" s="1"/>
  <c r="M31" i="8" s="1"/>
  <c r="L8" i="14" s="1"/>
  <c r="L34" i="16" s="1"/>
  <c r="L28" i="39" s="1"/>
  <c r="O23" i="8"/>
  <c r="N32" i="8"/>
  <c r="AD49" i="34" s="1"/>
  <c r="AD33" i="34" s="1"/>
  <c r="B24" i="8"/>
  <c r="I24" i="12"/>
  <c r="I28" i="16" s="1"/>
  <c r="I46" i="19"/>
  <c r="J11" i="12"/>
  <c r="I15" i="16"/>
  <c r="I20" i="16"/>
  <c r="J16" i="12"/>
  <c r="O87" i="1"/>
  <c r="K101" i="1"/>
  <c r="J30" i="6" s="1"/>
  <c r="J31" i="6" s="1"/>
  <c r="J8" i="16" s="1"/>
  <c r="J27" i="14"/>
  <c r="J34" i="14"/>
  <c r="J32" i="14"/>
  <c r="J25" i="14"/>
  <c r="J29" i="14"/>
  <c r="J36" i="14"/>
  <c r="J31" i="9"/>
  <c r="I17" i="17"/>
  <c r="I17" i="16"/>
  <c r="J13" i="12"/>
  <c r="J14" i="12" s="1"/>
  <c r="J18" i="16" s="1"/>
  <c r="J9" i="12"/>
  <c r="I13" i="16"/>
  <c r="K186" i="1"/>
  <c r="I11" i="16"/>
  <c r="I6" i="12"/>
  <c r="J7" i="12"/>
  <c r="I19" i="16"/>
  <c r="J15" i="12"/>
  <c r="H10" i="16"/>
  <c r="K24" i="1"/>
  <c r="I19" i="12"/>
  <c r="I23" i="16" s="1"/>
  <c r="L6" i="1"/>
  <c r="I5" i="20"/>
  <c r="J10" i="12"/>
  <c r="I14" i="16"/>
  <c r="I45" i="19"/>
  <c r="M22" i="1"/>
  <c r="L23" i="1"/>
  <c r="B27" i="9"/>
  <c r="B7" i="15"/>
  <c r="B6" i="15" s="1"/>
  <c r="J5" i="9"/>
  <c r="J9" i="9" s="1"/>
  <c r="J18" i="9" s="1"/>
  <c r="J20" i="9" s="1"/>
  <c r="D18" i="11"/>
  <c r="B189" i="1"/>
  <c r="B12" i="11"/>
  <c r="B188" i="1"/>
  <c r="C29" i="9"/>
  <c r="C30" i="9" s="1"/>
  <c r="B17" i="10"/>
  <c r="B23" i="10" s="1"/>
  <c r="B40" i="10" s="1"/>
  <c r="B26" i="9"/>
  <c r="B28" i="9"/>
  <c r="B14" i="11" s="1"/>
  <c r="D29" i="9"/>
  <c r="D30" i="9" s="1"/>
  <c r="D11" i="11" s="1"/>
  <c r="K136" i="1"/>
  <c r="L11" i="1"/>
  <c r="L155" i="1" s="1"/>
  <c r="K121" i="1"/>
  <c r="K92" i="1"/>
  <c r="J93" i="1"/>
  <c r="I23" i="12" s="1"/>
  <c r="I27" i="16" s="1"/>
  <c r="K107" i="1"/>
  <c r="J26" i="12" s="1"/>
  <c r="K109" i="1"/>
  <c r="J27" i="12" s="1"/>
  <c r="K106" i="1"/>
  <c r="J25" i="12" s="1"/>
  <c r="K20" i="1"/>
  <c r="L5" i="1"/>
  <c r="K25" i="6"/>
  <c r="L17" i="6"/>
  <c r="L20" i="6" s="1"/>
  <c r="L23" i="6"/>
  <c r="M14" i="6"/>
  <c r="L16" i="6"/>
  <c r="L19" i="6" s="1"/>
  <c r="L22" i="6"/>
  <c r="M13" i="6"/>
  <c r="K26" i="6"/>
  <c r="N7" i="6"/>
  <c r="N8" i="6"/>
  <c r="K44" i="1"/>
  <c r="K48" i="1" s="1"/>
  <c r="K49" i="1" s="1"/>
  <c r="J45" i="1"/>
  <c r="K46" i="1"/>
  <c r="J47" i="1"/>
  <c r="D21" i="27" l="1"/>
  <c r="D10" i="39"/>
  <c r="C21" i="27"/>
  <c r="C10" i="39"/>
  <c r="Y46" i="34"/>
  <c r="V46" i="34"/>
  <c r="AA46" i="34"/>
  <c r="J27" i="39"/>
  <c r="F10" i="39"/>
  <c r="I32" i="39"/>
  <c r="B195" i="1"/>
  <c r="B194" i="1"/>
  <c r="W9" i="34"/>
  <c r="V9" i="34"/>
  <c r="Y9" i="34"/>
  <c r="X9" i="34"/>
  <c r="I26" i="27"/>
  <c r="Z26" i="36"/>
  <c r="I27" i="27"/>
  <c r="Z27" i="36"/>
  <c r="G14" i="27"/>
  <c r="P14" i="36"/>
  <c r="G17" i="27"/>
  <c r="P17" i="36"/>
  <c r="K15" i="27"/>
  <c r="AB15" i="36"/>
  <c r="N21" i="36"/>
  <c r="T15" i="35"/>
  <c r="Q15" i="35"/>
  <c r="R15" i="35"/>
  <c r="S15" i="35"/>
  <c r="L21" i="36"/>
  <c r="S16" i="35"/>
  <c r="T16" i="35"/>
  <c r="Q16" i="35"/>
  <c r="R16" i="35"/>
  <c r="M21" i="36"/>
  <c r="O21" i="36"/>
  <c r="M39" i="34"/>
  <c r="Y47" i="34"/>
  <c r="Y26" i="36" s="1"/>
  <c r="X47" i="34"/>
  <c r="X26" i="36" s="1"/>
  <c r="W47" i="34"/>
  <c r="W26" i="36" s="1"/>
  <c r="V47" i="34"/>
  <c r="V26" i="36" s="1"/>
  <c r="I16" i="26"/>
  <c r="Z16" i="35"/>
  <c r="Y48" i="34"/>
  <c r="Y27" i="36" s="1"/>
  <c r="W48" i="34"/>
  <c r="W27" i="36" s="1"/>
  <c r="V48" i="34"/>
  <c r="V27" i="36" s="1"/>
  <c r="X48" i="34"/>
  <c r="X27" i="36" s="1"/>
  <c r="W14" i="34"/>
  <c r="X14" i="34"/>
  <c r="V14" i="34"/>
  <c r="Y14" i="34"/>
  <c r="I15" i="26"/>
  <c r="Z15" i="35"/>
  <c r="T13" i="34"/>
  <c r="R13" i="34"/>
  <c r="Q13" i="34"/>
  <c r="S13" i="34"/>
  <c r="S20" i="34"/>
  <c r="R20" i="34"/>
  <c r="T20" i="34"/>
  <c r="Q20" i="34"/>
  <c r="R19" i="34"/>
  <c r="S19" i="34"/>
  <c r="T19" i="34"/>
  <c r="Q19" i="34"/>
  <c r="S35" i="34"/>
  <c r="S17" i="36" s="1"/>
  <c r="Q35" i="34"/>
  <c r="Q17" i="36" s="1"/>
  <c r="T35" i="34"/>
  <c r="T17" i="36" s="1"/>
  <c r="R35" i="34"/>
  <c r="R17" i="36" s="1"/>
  <c r="S16" i="34"/>
  <c r="Q16" i="34"/>
  <c r="T16" i="34"/>
  <c r="R16" i="34"/>
  <c r="N39" i="34"/>
  <c r="T32" i="34"/>
  <c r="T14" i="36" s="1"/>
  <c r="R32" i="34"/>
  <c r="R14" i="36" s="1"/>
  <c r="S32" i="34"/>
  <c r="S14" i="36" s="1"/>
  <c r="Q32" i="34"/>
  <c r="Q14" i="36" s="1"/>
  <c r="R15" i="34"/>
  <c r="T15" i="34"/>
  <c r="Q15" i="34"/>
  <c r="S15" i="34"/>
  <c r="Q14" i="34"/>
  <c r="T14" i="34"/>
  <c r="R14" i="34"/>
  <c r="S14" i="34"/>
  <c r="M12" i="34"/>
  <c r="N12" i="34"/>
  <c r="O12" i="34"/>
  <c r="L12" i="34"/>
  <c r="O39" i="34"/>
  <c r="L11" i="34"/>
  <c r="O11" i="34"/>
  <c r="M11" i="34"/>
  <c r="N11" i="34"/>
  <c r="L39" i="34"/>
  <c r="AA47" i="34"/>
  <c r="AA48" i="34"/>
  <c r="I19" i="19"/>
  <c r="Z19" i="34"/>
  <c r="I13" i="19"/>
  <c r="Z13" i="34"/>
  <c r="I16" i="19"/>
  <c r="Z16" i="34"/>
  <c r="I20" i="19"/>
  <c r="Z20" i="34"/>
  <c r="I15" i="19"/>
  <c r="Z15" i="34"/>
  <c r="J9" i="19"/>
  <c r="AA9" i="34"/>
  <c r="H11" i="19"/>
  <c r="U11" i="34"/>
  <c r="J14" i="19"/>
  <c r="AA14" i="34"/>
  <c r="U39" i="34"/>
  <c r="J52" i="1"/>
  <c r="J12" i="33"/>
  <c r="J14" i="17"/>
  <c r="J10" i="23"/>
  <c r="J9" i="23" s="1"/>
  <c r="B35" i="25"/>
  <c r="B32" i="24"/>
  <c r="B31" i="25"/>
  <c r="B29" i="25" s="1"/>
  <c r="B28" i="24"/>
  <c r="C35" i="25"/>
  <c r="C32" i="24"/>
  <c r="L31" i="19"/>
  <c r="L28" i="27"/>
  <c r="C29" i="30"/>
  <c r="C29" i="27"/>
  <c r="C30" i="27" s="1"/>
  <c r="G37" i="19"/>
  <c r="H12" i="12"/>
  <c r="H16" i="16" s="1"/>
  <c r="J34" i="1"/>
  <c r="I12" i="12" s="1"/>
  <c r="I16" i="16" s="1"/>
  <c r="K33" i="1"/>
  <c r="K52" i="1" s="1"/>
  <c r="AA32" i="34" s="1"/>
  <c r="J166" i="1"/>
  <c r="H30" i="19"/>
  <c r="B31" i="20"/>
  <c r="B29" i="20" s="1"/>
  <c r="J51" i="1"/>
  <c r="Z35" i="34" s="1"/>
  <c r="I53" i="1"/>
  <c r="H33" i="19"/>
  <c r="J21" i="19"/>
  <c r="J13" i="18"/>
  <c r="K19" i="14"/>
  <c r="K28" i="12" s="1"/>
  <c r="K29" i="16" s="1"/>
  <c r="AB21" i="34" s="1"/>
  <c r="K10" i="14"/>
  <c r="K36" i="16" s="1"/>
  <c r="J5" i="25"/>
  <c r="J5" i="23"/>
  <c r="D49" i="28"/>
  <c r="D28" i="30"/>
  <c r="J44" i="19"/>
  <c r="F33" i="8"/>
  <c r="F50" i="34" s="1"/>
  <c r="E38" i="8"/>
  <c r="D34" i="21" s="1"/>
  <c r="D34" i="24" s="1"/>
  <c r="J34" i="20"/>
  <c r="J34" i="25" s="1"/>
  <c r="J20" i="39" s="1"/>
  <c r="C32" i="21"/>
  <c r="C35" i="20"/>
  <c r="C33" i="20" s="1"/>
  <c r="B32" i="21"/>
  <c r="B35" i="20"/>
  <c r="B33" i="20" s="1"/>
  <c r="M47" i="19"/>
  <c r="AD28" i="36" s="1"/>
  <c r="B28" i="21"/>
  <c r="G37" i="8"/>
  <c r="G165" i="1" s="1"/>
  <c r="G33" i="8"/>
  <c r="K50" i="34" s="1"/>
  <c r="D39" i="8"/>
  <c r="I28" i="8"/>
  <c r="H165" i="1"/>
  <c r="N24" i="8"/>
  <c r="N12" i="8" s="1"/>
  <c r="N31" i="8" s="1"/>
  <c r="M8" i="14" s="1"/>
  <c r="M34" i="16" s="1"/>
  <c r="M28" i="39" s="1"/>
  <c r="O24" i="8"/>
  <c r="H33" i="8"/>
  <c r="P50" i="34" s="1"/>
  <c r="G38" i="8"/>
  <c r="F35" i="20" s="1"/>
  <c r="F35" i="25" s="1"/>
  <c r="J45" i="19"/>
  <c r="J11" i="16"/>
  <c r="K7" i="12"/>
  <c r="J6" i="12"/>
  <c r="L24" i="1"/>
  <c r="J19" i="12"/>
  <c r="J23" i="16" s="1"/>
  <c r="J46" i="19"/>
  <c r="K11" i="12"/>
  <c r="J15" i="16"/>
  <c r="L101" i="1"/>
  <c r="K30" i="6" s="1"/>
  <c r="K31" i="6" s="1"/>
  <c r="K8" i="16" s="1"/>
  <c r="K27" i="14"/>
  <c r="K25" i="14"/>
  <c r="K34" i="14"/>
  <c r="K32" i="14"/>
  <c r="K29" i="14"/>
  <c r="K36" i="14"/>
  <c r="O7" i="8"/>
  <c r="O36" i="8" s="1"/>
  <c r="I10" i="16"/>
  <c r="K9" i="12"/>
  <c r="J13" i="16"/>
  <c r="J17" i="17"/>
  <c r="K31" i="9"/>
  <c r="K16" i="12"/>
  <c r="J20" i="16"/>
  <c r="M6" i="1"/>
  <c r="J5" i="20"/>
  <c r="J19" i="16"/>
  <c r="K15" i="12"/>
  <c r="J17" i="16"/>
  <c r="K13" i="12"/>
  <c r="K10" i="12"/>
  <c r="J14" i="16"/>
  <c r="M23" i="1"/>
  <c r="N22" i="1"/>
  <c r="K5" i="9"/>
  <c r="K9" i="9" s="1"/>
  <c r="K18" i="9" s="1"/>
  <c r="K20" i="9" s="1"/>
  <c r="J24" i="12"/>
  <c r="J28" i="16" s="1"/>
  <c r="L186" i="1"/>
  <c r="C31" i="10"/>
  <c r="C20" i="15" s="1"/>
  <c r="C11" i="11"/>
  <c r="D17" i="10"/>
  <c r="D12" i="11"/>
  <c r="B29" i="9"/>
  <c r="B30" i="9" s="1"/>
  <c r="L136" i="1"/>
  <c r="L92" i="1"/>
  <c r="K93" i="1"/>
  <c r="J23" i="12" s="1"/>
  <c r="J27" i="16" s="1"/>
  <c r="M11" i="1"/>
  <c r="M155" i="1" s="1"/>
  <c r="L121" i="1"/>
  <c r="L109" i="1"/>
  <c r="K27" i="12" s="1"/>
  <c r="L106" i="1"/>
  <c r="K25" i="12" s="1"/>
  <c r="L107" i="1"/>
  <c r="K26" i="12" s="1"/>
  <c r="L20" i="1"/>
  <c r="M5" i="1"/>
  <c r="M16" i="6"/>
  <c r="M19" i="6" s="1"/>
  <c r="M17" i="6"/>
  <c r="M20" i="6" s="1"/>
  <c r="M22" i="6"/>
  <c r="N22" i="6"/>
  <c r="N13" i="6"/>
  <c r="M23" i="6"/>
  <c r="N23" i="6"/>
  <c r="N14" i="6"/>
  <c r="L25" i="6"/>
  <c r="L26" i="6"/>
  <c r="L46" i="1"/>
  <c r="K47" i="1"/>
  <c r="L44" i="1"/>
  <c r="L48" i="1" s="1"/>
  <c r="L49" i="1" s="1"/>
  <c r="K45" i="1"/>
  <c r="B33" i="25" l="1"/>
  <c r="B21" i="39"/>
  <c r="C33" i="25"/>
  <c r="J32" i="39"/>
  <c r="AB46" i="34"/>
  <c r="K27" i="39"/>
  <c r="G10" i="39"/>
  <c r="P21" i="36"/>
  <c r="G21" i="27"/>
  <c r="L15" i="27"/>
  <c r="AC15" i="36"/>
  <c r="J26" i="27"/>
  <c r="AA26" i="36"/>
  <c r="H17" i="27"/>
  <c r="U17" i="36"/>
  <c r="H14" i="27"/>
  <c r="U14" i="36"/>
  <c r="J27" i="27"/>
  <c r="AA27" i="36"/>
  <c r="T21" i="36"/>
  <c r="Y16" i="35"/>
  <c r="W16" i="35"/>
  <c r="V16" i="35"/>
  <c r="X16" i="35"/>
  <c r="Q21" i="36"/>
  <c r="X15" i="35"/>
  <c r="W15" i="35"/>
  <c r="Y15" i="35"/>
  <c r="V15" i="35"/>
  <c r="S21" i="36"/>
  <c r="R21" i="36"/>
  <c r="Q39" i="34"/>
  <c r="W20" i="34"/>
  <c r="V20" i="34"/>
  <c r="X20" i="34"/>
  <c r="Y20" i="34"/>
  <c r="S39" i="34"/>
  <c r="J16" i="26"/>
  <c r="AA16" i="35"/>
  <c r="J15" i="26"/>
  <c r="AA15" i="35"/>
  <c r="Y13" i="34"/>
  <c r="X13" i="34"/>
  <c r="W13" i="34"/>
  <c r="V13" i="34"/>
  <c r="Y35" i="34"/>
  <c r="Y17" i="36" s="1"/>
  <c r="V35" i="34"/>
  <c r="V17" i="36" s="1"/>
  <c r="X35" i="34"/>
  <c r="X17" i="36" s="1"/>
  <c r="W35" i="34"/>
  <c r="W17" i="36" s="1"/>
  <c r="W15" i="34"/>
  <c r="Y15" i="34"/>
  <c r="V15" i="34"/>
  <c r="X15" i="34"/>
  <c r="X16" i="34"/>
  <c r="V16" i="34"/>
  <c r="Y16" i="34"/>
  <c r="W16" i="34"/>
  <c r="V19" i="34"/>
  <c r="Y19" i="34"/>
  <c r="W19" i="34"/>
  <c r="X19" i="34"/>
  <c r="R11" i="34"/>
  <c r="T11" i="34"/>
  <c r="S11" i="34"/>
  <c r="Q11" i="34"/>
  <c r="R39" i="34"/>
  <c r="T39" i="34"/>
  <c r="O50" i="34"/>
  <c r="O29" i="36" s="1"/>
  <c r="L50" i="34"/>
  <c r="L29" i="36" s="1"/>
  <c r="M50" i="34"/>
  <c r="M29" i="36" s="1"/>
  <c r="N50" i="34"/>
  <c r="N29" i="36" s="1"/>
  <c r="I50" i="34"/>
  <c r="I29" i="36" s="1"/>
  <c r="J50" i="34"/>
  <c r="J29" i="36" s="1"/>
  <c r="G50" i="34"/>
  <c r="G29" i="36" s="1"/>
  <c r="H50" i="34"/>
  <c r="H29" i="36" s="1"/>
  <c r="C50" i="34"/>
  <c r="C29" i="36" s="1"/>
  <c r="D50" i="34"/>
  <c r="D29" i="36" s="1"/>
  <c r="E50" i="34"/>
  <c r="E29" i="36" s="1"/>
  <c r="B50" i="34"/>
  <c r="B29" i="36" s="1"/>
  <c r="I11" i="19"/>
  <c r="Z11" i="34"/>
  <c r="J19" i="19"/>
  <c r="AA19" i="34"/>
  <c r="J13" i="19"/>
  <c r="AA13" i="34"/>
  <c r="H12" i="19"/>
  <c r="U12" i="34"/>
  <c r="AB47" i="34"/>
  <c r="K9" i="19"/>
  <c r="AB9" i="34"/>
  <c r="I12" i="19"/>
  <c r="Z12" i="34"/>
  <c r="J20" i="19"/>
  <c r="AA20" i="34"/>
  <c r="J16" i="19"/>
  <c r="AA16" i="34"/>
  <c r="J15" i="19"/>
  <c r="AA15" i="34"/>
  <c r="AB48" i="34"/>
  <c r="I30" i="19"/>
  <c r="Z32" i="34"/>
  <c r="K14" i="17"/>
  <c r="K10" i="23"/>
  <c r="K9" i="23" s="1"/>
  <c r="D35" i="25"/>
  <c r="D32" i="24"/>
  <c r="M31" i="19"/>
  <c r="M28" i="27"/>
  <c r="D29" i="30"/>
  <c r="D29" i="27"/>
  <c r="D30" i="27" s="1"/>
  <c r="I33" i="19"/>
  <c r="Z17" i="36" s="1"/>
  <c r="K166" i="1"/>
  <c r="J30" i="19"/>
  <c r="H37" i="19"/>
  <c r="I11" i="20"/>
  <c r="I11" i="25" s="1"/>
  <c r="K34" i="1"/>
  <c r="J12" i="12" s="1"/>
  <c r="J16" i="16" s="1"/>
  <c r="L33" i="1"/>
  <c r="L52" i="1" s="1"/>
  <c r="AB32" i="34" s="1"/>
  <c r="K5" i="23"/>
  <c r="K5" i="25"/>
  <c r="J53" i="1"/>
  <c r="K44" i="19"/>
  <c r="K51" i="1"/>
  <c r="AA35" i="34" s="1"/>
  <c r="AA39" i="34" s="1"/>
  <c r="L19" i="14"/>
  <c r="L28" i="12" s="1"/>
  <c r="L29" i="16" s="1"/>
  <c r="AC21" i="34" s="1"/>
  <c r="L10" i="14"/>
  <c r="L36" i="16" s="1"/>
  <c r="K13" i="18"/>
  <c r="K21" i="19"/>
  <c r="K34" i="20"/>
  <c r="K34" i="25" s="1"/>
  <c r="K20" i="39" s="1"/>
  <c r="D32" i="21"/>
  <c r="D35" i="20"/>
  <c r="D33" i="20" s="1"/>
  <c r="E48" i="19"/>
  <c r="E39" i="8"/>
  <c r="C30" i="21"/>
  <c r="C30" i="24" s="1"/>
  <c r="F48" i="19"/>
  <c r="G48" i="19"/>
  <c r="J28" i="8"/>
  <c r="I165" i="1"/>
  <c r="I29" i="8"/>
  <c r="I30" i="8" s="1"/>
  <c r="I33" i="8" s="1"/>
  <c r="U50" i="34" s="1"/>
  <c r="O32" i="8"/>
  <c r="AE49" i="34" s="1"/>
  <c r="AE33" i="34" s="1"/>
  <c r="B25" i="8"/>
  <c r="O25" i="8" s="1"/>
  <c r="O12" i="8" s="1"/>
  <c r="O31" i="8" s="1"/>
  <c r="N8" i="14" s="1"/>
  <c r="N34" i="16" s="1"/>
  <c r="N28" i="39" s="1"/>
  <c r="K24" i="12"/>
  <c r="K28" i="16" s="1"/>
  <c r="K46" i="19"/>
  <c r="L16" i="12"/>
  <c r="K20" i="16"/>
  <c r="M101" i="1"/>
  <c r="L30" i="6" s="1"/>
  <c r="L31" i="6" s="1"/>
  <c r="L8" i="16" s="1"/>
  <c r="L34" i="14"/>
  <c r="L32" i="14"/>
  <c r="L27" i="14"/>
  <c r="L25" i="14"/>
  <c r="L29" i="14"/>
  <c r="L36" i="14"/>
  <c r="L10" i="12"/>
  <c r="K14" i="16"/>
  <c r="K17" i="16"/>
  <c r="L13" i="12"/>
  <c r="K11" i="16"/>
  <c r="K6" i="12"/>
  <c r="L7" i="12"/>
  <c r="K14" i="12"/>
  <c r="K18" i="16" s="1"/>
  <c r="N6" i="1"/>
  <c r="K5" i="20"/>
  <c r="J10" i="16"/>
  <c r="L15" i="12"/>
  <c r="K19" i="16"/>
  <c r="K45" i="19"/>
  <c r="M24" i="1"/>
  <c r="K19" i="12"/>
  <c r="K23" i="16" s="1"/>
  <c r="L9" i="12"/>
  <c r="K13" i="16"/>
  <c r="L11" i="12"/>
  <c r="K15" i="16"/>
  <c r="L31" i="9"/>
  <c r="K17" i="17"/>
  <c r="O22" i="1"/>
  <c r="N23" i="1"/>
  <c r="L5" i="9"/>
  <c r="L9" i="9" s="1"/>
  <c r="L18" i="9" s="1"/>
  <c r="L20" i="9" s="1"/>
  <c r="D23" i="10"/>
  <c r="M186" i="1"/>
  <c r="B31" i="10"/>
  <c r="B20" i="15" s="1"/>
  <c r="B11" i="11"/>
  <c r="M136" i="1"/>
  <c r="M92" i="1"/>
  <c r="L93" i="1"/>
  <c r="K23" i="12" s="1"/>
  <c r="K27" i="16" s="1"/>
  <c r="N11" i="1"/>
  <c r="N155" i="1" s="1"/>
  <c r="M121" i="1"/>
  <c r="M109" i="1"/>
  <c r="L27" i="12" s="1"/>
  <c r="M107" i="1"/>
  <c r="L26" i="12" s="1"/>
  <c r="M106" i="1"/>
  <c r="L25" i="12" s="1"/>
  <c r="M20" i="1"/>
  <c r="N5" i="1"/>
  <c r="M25" i="6"/>
  <c r="N16" i="6"/>
  <c r="N19" i="6" s="1"/>
  <c r="N25" i="6" s="1"/>
  <c r="N17" i="6"/>
  <c r="N20" i="6" s="1"/>
  <c r="N26" i="6" s="1"/>
  <c r="M26" i="6"/>
  <c r="M44" i="1"/>
  <c r="M48" i="1" s="1"/>
  <c r="M49" i="1" s="1"/>
  <c r="L45" i="1"/>
  <c r="M46" i="1"/>
  <c r="L47" i="1"/>
  <c r="B19" i="39" l="1"/>
  <c r="B33" i="39"/>
  <c r="D33" i="25"/>
  <c r="H10" i="39"/>
  <c r="K32" i="39"/>
  <c r="AC46" i="34"/>
  <c r="L27" i="39"/>
  <c r="J14" i="27"/>
  <c r="AA14" i="36"/>
  <c r="M15" i="27"/>
  <c r="AD15" i="36"/>
  <c r="H21" i="27"/>
  <c r="G29" i="27"/>
  <c r="P29" i="36"/>
  <c r="E29" i="27"/>
  <c r="F29" i="36"/>
  <c r="U21" i="36"/>
  <c r="K27" i="27"/>
  <c r="AB27" i="36"/>
  <c r="F29" i="27"/>
  <c r="K29" i="36"/>
  <c r="I14" i="27"/>
  <c r="Z14" i="36"/>
  <c r="Z21" i="36" s="1"/>
  <c r="K26" i="27"/>
  <c r="AB26" i="36"/>
  <c r="K16" i="26"/>
  <c r="AB16" i="35"/>
  <c r="K15" i="26"/>
  <c r="AB15" i="35"/>
  <c r="X12" i="34"/>
  <c r="W12" i="34"/>
  <c r="V12" i="34"/>
  <c r="Y12" i="34"/>
  <c r="Z39" i="34"/>
  <c r="Y32" i="34"/>
  <c r="V32" i="34"/>
  <c r="W32" i="34"/>
  <c r="X32" i="34"/>
  <c r="W11" i="34"/>
  <c r="V11" i="34"/>
  <c r="Y11" i="34"/>
  <c r="X11" i="34"/>
  <c r="Q50" i="34"/>
  <c r="Q29" i="36" s="1"/>
  <c r="S50" i="34"/>
  <c r="S29" i="36" s="1"/>
  <c r="T50" i="34"/>
  <c r="T29" i="36" s="1"/>
  <c r="R50" i="34"/>
  <c r="R29" i="36" s="1"/>
  <c r="S12" i="34"/>
  <c r="R12" i="34"/>
  <c r="T12" i="34"/>
  <c r="Q12" i="34"/>
  <c r="AC47" i="34"/>
  <c r="K20" i="19"/>
  <c r="AB20" i="34"/>
  <c r="J12" i="19"/>
  <c r="AA12" i="34"/>
  <c r="AC48" i="34"/>
  <c r="K16" i="19"/>
  <c r="AB16" i="34"/>
  <c r="J11" i="19"/>
  <c r="AA11" i="34"/>
  <c r="K13" i="19"/>
  <c r="AB13" i="34"/>
  <c r="L9" i="19"/>
  <c r="AC9" i="34"/>
  <c r="K15" i="19"/>
  <c r="AB15" i="34"/>
  <c r="K19" i="19"/>
  <c r="AB19" i="34"/>
  <c r="K14" i="19"/>
  <c r="AB14" i="34"/>
  <c r="L14" i="17"/>
  <c r="L10" i="23"/>
  <c r="L9" i="23" s="1"/>
  <c r="C31" i="25"/>
  <c r="C28" i="24"/>
  <c r="I37" i="19"/>
  <c r="I17" i="27"/>
  <c r="J11" i="20"/>
  <c r="J11" i="25" s="1"/>
  <c r="K30" i="19"/>
  <c r="L166" i="1"/>
  <c r="L34" i="1"/>
  <c r="K12" i="12" s="1"/>
  <c r="K16" i="16" s="1"/>
  <c r="M33" i="1"/>
  <c r="M52" i="1" s="1"/>
  <c r="AC32" i="34" s="1"/>
  <c r="L51" i="1"/>
  <c r="AB35" i="34" s="1"/>
  <c r="AB39" i="34" s="1"/>
  <c r="M19" i="14"/>
  <c r="M28" i="12" s="1"/>
  <c r="M29" i="16" s="1"/>
  <c r="AD21" i="34" s="1"/>
  <c r="M10" i="14"/>
  <c r="M36" i="16" s="1"/>
  <c r="J33" i="19"/>
  <c r="AA17" i="36" s="1"/>
  <c r="L5" i="23"/>
  <c r="L5" i="25"/>
  <c r="L13" i="18"/>
  <c r="L21" i="19"/>
  <c r="K53" i="1"/>
  <c r="L44" i="19"/>
  <c r="L34" i="20"/>
  <c r="L34" i="25" s="1"/>
  <c r="L20" i="39" s="1"/>
  <c r="C28" i="21"/>
  <c r="C31" i="20"/>
  <c r="C29" i="20" s="1"/>
  <c r="H48" i="19"/>
  <c r="N47" i="19"/>
  <c r="AE28" i="36" s="1"/>
  <c r="D30" i="21"/>
  <c r="D30" i="24" s="1"/>
  <c r="F39" i="8"/>
  <c r="H38" i="8"/>
  <c r="G35" i="20" s="1"/>
  <c r="G35" i="25" s="1"/>
  <c r="J165" i="1"/>
  <c r="K28" i="8"/>
  <c r="K29" i="8" s="1"/>
  <c r="J29" i="8"/>
  <c r="J30" i="8" s="1"/>
  <c r="J33" i="8" s="1"/>
  <c r="Z50" i="34" s="1"/>
  <c r="L24" i="12"/>
  <c r="L28" i="16" s="1"/>
  <c r="L45" i="19"/>
  <c r="L46" i="19"/>
  <c r="M34" i="14"/>
  <c r="M32" i="14"/>
  <c r="M27" i="14"/>
  <c r="M25" i="14"/>
  <c r="M29" i="14"/>
  <c r="M36" i="14"/>
  <c r="M31" i="9"/>
  <c r="L17" i="17"/>
  <c r="N24" i="1"/>
  <c r="L19" i="12"/>
  <c r="L23" i="16" s="1"/>
  <c r="O6" i="1"/>
  <c r="L5" i="20"/>
  <c r="K33" i="19"/>
  <c r="K10" i="16"/>
  <c r="M10" i="12"/>
  <c r="L14" i="16"/>
  <c r="M11" i="12"/>
  <c r="L15" i="16"/>
  <c r="L17" i="16"/>
  <c r="M13" i="12"/>
  <c r="M16" i="12"/>
  <c r="L20" i="16"/>
  <c r="L14" i="12"/>
  <c r="L18" i="16" s="1"/>
  <c r="M15" i="12"/>
  <c r="L19" i="16"/>
  <c r="L11" i="16"/>
  <c r="L6" i="12"/>
  <c r="M7" i="12"/>
  <c r="M9" i="12"/>
  <c r="L13" i="16"/>
  <c r="O23" i="1"/>
  <c r="D31" i="10"/>
  <c r="D20" i="15" s="1"/>
  <c r="D40" i="10"/>
  <c r="N5" i="9"/>
  <c r="N9" i="9" s="1"/>
  <c r="N18" i="9" s="1"/>
  <c r="N20" i="9" s="1"/>
  <c r="M5" i="9"/>
  <c r="M9" i="9" s="1"/>
  <c r="M18" i="9" s="1"/>
  <c r="M20" i="9" s="1"/>
  <c r="C33" i="10"/>
  <c r="C21" i="15" s="1"/>
  <c r="B33" i="10"/>
  <c r="N186" i="1"/>
  <c r="N109" i="1"/>
  <c r="M27" i="12" s="1"/>
  <c r="N101" i="1"/>
  <c r="M30" i="6" s="1"/>
  <c r="M31" i="6" s="1"/>
  <c r="M8" i="16" s="1"/>
  <c r="O136" i="1"/>
  <c r="N136" i="1"/>
  <c r="N92" i="1"/>
  <c r="M93" i="1"/>
  <c r="L23" i="12" s="1"/>
  <c r="L27" i="16" s="1"/>
  <c r="O11" i="1"/>
  <c r="B13" i="1" s="1"/>
  <c r="N121" i="1"/>
  <c r="N107" i="1"/>
  <c r="M26" i="12" s="1"/>
  <c r="N106" i="1"/>
  <c r="M25" i="12" s="1"/>
  <c r="N20" i="1"/>
  <c r="O5" i="1"/>
  <c r="N46" i="1"/>
  <c r="M47" i="1"/>
  <c r="N44" i="1"/>
  <c r="N48" i="1" s="1"/>
  <c r="N49" i="1" s="1"/>
  <c r="M45" i="1"/>
  <c r="C29" i="25" l="1"/>
  <c r="C21" i="39"/>
  <c r="I10" i="39"/>
  <c r="AD46" i="34"/>
  <c r="M27" i="39"/>
  <c r="L32" i="39"/>
  <c r="H29" i="27"/>
  <c r="U29" i="36"/>
  <c r="K17" i="27"/>
  <c r="AB17" i="36"/>
  <c r="L27" i="27"/>
  <c r="AC27" i="36"/>
  <c r="AA21" i="36"/>
  <c r="K14" i="27"/>
  <c r="AB14" i="36"/>
  <c r="L26" i="27"/>
  <c r="AC26" i="36"/>
  <c r="I21" i="27"/>
  <c r="W39" i="34"/>
  <c r="W14" i="36"/>
  <c r="W21" i="36" s="1"/>
  <c r="V39" i="34"/>
  <c r="V14" i="36"/>
  <c r="V21" i="36" s="1"/>
  <c r="Y39" i="34"/>
  <c r="Y14" i="36"/>
  <c r="Y21" i="36" s="1"/>
  <c r="X39" i="34"/>
  <c r="X14" i="36"/>
  <c r="X21" i="36" s="1"/>
  <c r="L15" i="26"/>
  <c r="AC15" i="35"/>
  <c r="X50" i="34"/>
  <c r="X29" i="36" s="1"/>
  <c r="W50" i="34"/>
  <c r="W29" i="36" s="1"/>
  <c r="V50" i="34"/>
  <c r="V29" i="36" s="1"/>
  <c r="Y50" i="34"/>
  <c r="Y29" i="36" s="1"/>
  <c r="L16" i="26"/>
  <c r="AC16" i="35"/>
  <c r="AD48" i="34"/>
  <c r="L14" i="19"/>
  <c r="AC14" i="34"/>
  <c r="L13" i="19"/>
  <c r="AC13" i="34"/>
  <c r="K12" i="19"/>
  <c r="AB12" i="34"/>
  <c r="L16" i="19"/>
  <c r="AC16" i="34"/>
  <c r="K11" i="19"/>
  <c r="AB11" i="34"/>
  <c r="L20" i="19"/>
  <c r="AC20" i="34"/>
  <c r="L15" i="19"/>
  <c r="AC15" i="34"/>
  <c r="L19" i="19"/>
  <c r="AC19" i="34"/>
  <c r="M9" i="19"/>
  <c r="AD9" i="34"/>
  <c r="AD47" i="34"/>
  <c r="M14" i="17"/>
  <c r="M10" i="23"/>
  <c r="M9" i="23" s="1"/>
  <c r="D31" i="25"/>
  <c r="D28" i="24"/>
  <c r="J37" i="19"/>
  <c r="J17" i="27"/>
  <c r="J21" i="27" s="1"/>
  <c r="N31" i="19"/>
  <c r="N28" i="27"/>
  <c r="L30" i="19"/>
  <c r="K37" i="19"/>
  <c r="M166" i="1"/>
  <c r="N33" i="1"/>
  <c r="N52" i="1" s="1"/>
  <c r="M34" i="1"/>
  <c r="L11" i="20" s="1"/>
  <c r="L11" i="25" s="1"/>
  <c r="K11" i="20"/>
  <c r="K11" i="25" s="1"/>
  <c r="M51" i="1"/>
  <c r="AC35" i="34" s="1"/>
  <c r="AC39" i="34" s="1"/>
  <c r="N19" i="14"/>
  <c r="N28" i="12" s="1"/>
  <c r="N29" i="16" s="1"/>
  <c r="AE21" i="34" s="1"/>
  <c r="N10" i="14"/>
  <c r="N36" i="16" s="1"/>
  <c r="M5" i="20"/>
  <c r="N5" i="20" s="1"/>
  <c r="M5" i="23"/>
  <c r="N5" i="23" s="1"/>
  <c r="M5" i="25"/>
  <c r="N5" i="25" s="1"/>
  <c r="L53" i="1"/>
  <c r="M44" i="19"/>
  <c r="M21" i="19"/>
  <c r="M13" i="18"/>
  <c r="M34" i="20"/>
  <c r="M34" i="25" s="1"/>
  <c r="M20" i="39" s="1"/>
  <c r="G39" i="8"/>
  <c r="E31" i="20"/>
  <c r="D28" i="21"/>
  <c r="D31" i="20"/>
  <c r="D29" i="20" s="1"/>
  <c r="M45" i="19"/>
  <c r="I48" i="19"/>
  <c r="K30" i="8"/>
  <c r="J38" i="8" s="1"/>
  <c r="I35" i="20" s="1"/>
  <c r="I35" i="25" s="1"/>
  <c r="I38" i="8"/>
  <c r="K165" i="1"/>
  <c r="L28" i="8"/>
  <c r="L29" i="8" s="1"/>
  <c r="L30" i="8" s="1"/>
  <c r="M46" i="19"/>
  <c r="M11" i="16"/>
  <c r="M6" i="12"/>
  <c r="N7" i="12"/>
  <c r="N16" i="12"/>
  <c r="N20" i="16" s="1"/>
  <c r="AE16" i="34" s="1"/>
  <c r="M20" i="16"/>
  <c r="AD16" i="34" s="1"/>
  <c r="N11" i="12"/>
  <c r="N15" i="16" s="1"/>
  <c r="M15" i="16"/>
  <c r="N31" i="9"/>
  <c r="N17" i="17" s="1"/>
  <c r="M17" i="17"/>
  <c r="N27" i="14"/>
  <c r="N34" i="14"/>
  <c r="N32" i="14"/>
  <c r="N25" i="14"/>
  <c r="N29" i="14"/>
  <c r="N36" i="14"/>
  <c r="N9" i="12"/>
  <c r="N13" i="16" s="1"/>
  <c r="M13" i="16"/>
  <c r="L10" i="16"/>
  <c r="N15" i="12"/>
  <c r="N19" i="16" s="1"/>
  <c r="AE15" i="34" s="1"/>
  <c r="M19" i="16"/>
  <c r="AD15" i="34" s="1"/>
  <c r="N10" i="12"/>
  <c r="N14" i="16" s="1"/>
  <c r="M14" i="16"/>
  <c r="M17" i="16"/>
  <c r="AD13" i="34" s="1"/>
  <c r="N13" i="12"/>
  <c r="N17" i="16" s="1"/>
  <c r="AE13" i="34" s="1"/>
  <c r="M14" i="12"/>
  <c r="M18" i="16" s="1"/>
  <c r="AD14" i="34" s="1"/>
  <c r="O24" i="1"/>
  <c r="N19" i="12" s="1"/>
  <c r="N23" i="16" s="1"/>
  <c r="M19" i="12"/>
  <c r="M23" i="16" s="1"/>
  <c r="M24" i="12"/>
  <c r="M28" i="16" s="1"/>
  <c r="AD20" i="34" s="1"/>
  <c r="D33" i="10"/>
  <c r="D21" i="15" s="1"/>
  <c r="B35" i="10"/>
  <c r="B34" i="17" s="1"/>
  <c r="B21" i="15"/>
  <c r="C38" i="10"/>
  <c r="C27" i="22" s="1"/>
  <c r="C28" i="23" s="1"/>
  <c r="C35" i="10"/>
  <c r="C34" i="17" s="1"/>
  <c r="C36" i="10"/>
  <c r="C35" i="17" s="1"/>
  <c r="B36" i="10"/>
  <c r="B35" i="17" s="1"/>
  <c r="B38" i="10"/>
  <c r="B27" i="22" s="1"/>
  <c r="O186" i="1"/>
  <c r="O155" i="1"/>
  <c r="O101" i="1"/>
  <c r="O103" i="1"/>
  <c r="H103" i="1"/>
  <c r="O151" i="1"/>
  <c r="N15" i="9" s="1"/>
  <c r="N24" i="9" s="1"/>
  <c r="N18" i="17" s="1"/>
  <c r="I103" i="1"/>
  <c r="N103" i="1"/>
  <c r="N131" i="1" s="1"/>
  <c r="N132" i="1" s="1"/>
  <c r="M8" i="9" s="1"/>
  <c r="M12" i="17" s="1"/>
  <c r="K151" i="1"/>
  <c r="J15" i="9" s="1"/>
  <c r="J24" i="9" s="1"/>
  <c r="J18" i="17" s="1"/>
  <c r="M103" i="1"/>
  <c r="L151" i="1"/>
  <c r="K15" i="9" s="1"/>
  <c r="K24" i="9" s="1"/>
  <c r="K18" i="17" s="1"/>
  <c r="G151" i="1"/>
  <c r="F15" i="9" s="1"/>
  <c r="F24" i="9" s="1"/>
  <c r="F18" i="17" s="1"/>
  <c r="H151" i="1"/>
  <c r="G15" i="9" s="1"/>
  <c r="G24" i="9" s="1"/>
  <c r="G18" i="17" s="1"/>
  <c r="N151" i="1"/>
  <c r="M15" i="9" s="1"/>
  <c r="M24" i="9" s="1"/>
  <c r="M18" i="17" s="1"/>
  <c r="J103" i="1"/>
  <c r="J123" i="1" s="1"/>
  <c r="I15" i="14" s="1"/>
  <c r="I37" i="16" s="1"/>
  <c r="Z42" i="34" s="1"/>
  <c r="F103" i="1"/>
  <c r="K103" i="1"/>
  <c r="I151" i="1"/>
  <c r="H15" i="9" s="1"/>
  <c r="H24" i="9" s="1"/>
  <c r="H18" i="17" s="1"/>
  <c r="J151" i="1"/>
  <c r="I15" i="9" s="1"/>
  <c r="I24" i="9" s="1"/>
  <c r="I18" i="17" s="1"/>
  <c r="F151" i="1"/>
  <c r="E15" i="9" s="1"/>
  <c r="E24" i="9" s="1"/>
  <c r="E18" i="17" s="1"/>
  <c r="L103" i="1"/>
  <c r="G103" i="1"/>
  <c r="M151" i="1"/>
  <c r="L15" i="9" s="1"/>
  <c r="L24" i="9" s="1"/>
  <c r="L18" i="17" s="1"/>
  <c r="N123" i="1"/>
  <c r="M15" i="14" s="1"/>
  <c r="M37" i="16" s="1"/>
  <c r="AD42" i="34" s="1"/>
  <c r="O92" i="1"/>
  <c r="O93" i="1" s="1"/>
  <c r="N23" i="12" s="1"/>
  <c r="N27" i="16" s="1"/>
  <c r="AE19" i="34" s="1"/>
  <c r="N93" i="1"/>
  <c r="M23" i="12" s="1"/>
  <c r="M27" i="16" s="1"/>
  <c r="AD19" i="34" s="1"/>
  <c r="O121" i="1"/>
  <c r="O106" i="1"/>
  <c r="N25" i="12" s="1"/>
  <c r="O107" i="1"/>
  <c r="N26" i="12" s="1"/>
  <c r="O109" i="1"/>
  <c r="N27" i="12" s="1"/>
  <c r="O20" i="1"/>
  <c r="O46" i="1"/>
  <c r="O47" i="1" s="1"/>
  <c r="N47" i="1"/>
  <c r="O44" i="1"/>
  <c r="N45" i="1"/>
  <c r="F164" i="1"/>
  <c r="J10" i="39" l="1"/>
  <c r="C19" i="39"/>
  <c r="C33" i="39"/>
  <c r="K10" i="39"/>
  <c r="M32" i="39"/>
  <c r="D29" i="25"/>
  <c r="D21" i="39"/>
  <c r="AE46" i="34"/>
  <c r="N27" i="39"/>
  <c r="C26" i="22"/>
  <c r="B28" i="23"/>
  <c r="B22" i="22"/>
  <c r="B38" i="22" s="1"/>
  <c r="B39" i="22" s="1"/>
  <c r="K21" i="27"/>
  <c r="I29" i="27"/>
  <c r="Z29" i="36"/>
  <c r="M26" i="27"/>
  <c r="AD26" i="36"/>
  <c r="N15" i="27"/>
  <c r="AE15" i="36"/>
  <c r="M27" i="27"/>
  <c r="AD27" i="36"/>
  <c r="L14" i="27"/>
  <c r="AC14" i="36"/>
  <c r="AB21" i="36"/>
  <c r="L17" i="26"/>
  <c r="AC17" i="35"/>
  <c r="I17" i="26"/>
  <c r="Z17" i="35"/>
  <c r="K17" i="26"/>
  <c r="AB17" i="35"/>
  <c r="H17" i="26"/>
  <c r="U17" i="35"/>
  <c r="E17" i="26"/>
  <c r="F17" i="35"/>
  <c r="F17" i="26"/>
  <c r="K17" i="35"/>
  <c r="M13" i="26"/>
  <c r="AD13" i="35"/>
  <c r="N16" i="26"/>
  <c r="AE16" i="35"/>
  <c r="M15" i="26"/>
  <c r="AD15" i="35"/>
  <c r="Y42" i="34"/>
  <c r="X42" i="34"/>
  <c r="V42" i="34"/>
  <c r="W42" i="34"/>
  <c r="M17" i="26"/>
  <c r="AD17" i="35"/>
  <c r="N17" i="26"/>
  <c r="AE17" i="35"/>
  <c r="G17" i="26"/>
  <c r="P17" i="35"/>
  <c r="J17" i="26"/>
  <c r="AA17" i="35"/>
  <c r="M16" i="26"/>
  <c r="AD16" i="35"/>
  <c r="AE47" i="34"/>
  <c r="M30" i="19"/>
  <c r="AD32" i="34"/>
  <c r="L11" i="19"/>
  <c r="AC11" i="34"/>
  <c r="AE48" i="34"/>
  <c r="N166" i="1"/>
  <c r="K33" i="8"/>
  <c r="N14" i="17"/>
  <c r="N10" i="23"/>
  <c r="N9" i="23" s="1"/>
  <c r="E31" i="25"/>
  <c r="E21" i="39" s="1"/>
  <c r="L12" i="12"/>
  <c r="L16" i="16" s="1"/>
  <c r="L33" i="19"/>
  <c r="AC17" i="36" s="1"/>
  <c r="M53" i="1"/>
  <c r="O33" i="1"/>
  <c r="O34" i="1" s="1"/>
  <c r="N11" i="20" s="1"/>
  <c r="N11" i="25" s="1"/>
  <c r="N34" i="1"/>
  <c r="M12" i="12" s="1"/>
  <c r="M16" i="16" s="1"/>
  <c r="O51" i="1"/>
  <c r="N44" i="19"/>
  <c r="N51" i="1"/>
  <c r="AD35" i="34" s="1"/>
  <c r="N13" i="18"/>
  <c r="N21" i="19"/>
  <c r="H35" i="20"/>
  <c r="H35" i="25" s="1"/>
  <c r="H39" i="8"/>
  <c r="G31" i="20" s="1"/>
  <c r="F31" i="20"/>
  <c r="N34" i="20"/>
  <c r="N34" i="25" s="1"/>
  <c r="N20" i="39" s="1"/>
  <c r="N19" i="19"/>
  <c r="M14" i="19"/>
  <c r="N13" i="19"/>
  <c r="N15" i="19"/>
  <c r="M13" i="19"/>
  <c r="M16" i="19"/>
  <c r="M19" i="19"/>
  <c r="M15" i="19"/>
  <c r="N16" i="19"/>
  <c r="M20" i="19"/>
  <c r="F167" i="1"/>
  <c r="L165" i="1"/>
  <c r="M28" i="8"/>
  <c r="M29" i="8" s="1"/>
  <c r="M30" i="8" s="1"/>
  <c r="L33" i="8"/>
  <c r="AB50" i="34" s="1"/>
  <c r="K38" i="8"/>
  <c r="J35" i="20" s="1"/>
  <c r="J35" i="25" s="1"/>
  <c r="N24" i="12"/>
  <c r="N28" i="16" s="1"/>
  <c r="AE20" i="34" s="1"/>
  <c r="I17" i="18"/>
  <c r="I40" i="19"/>
  <c r="N14" i="12"/>
  <c r="N18" i="16" s="1"/>
  <c r="AE14" i="34" s="1"/>
  <c r="N11" i="16"/>
  <c r="N10" i="16" s="1"/>
  <c r="AE11" i="34" s="1"/>
  <c r="N6" i="12"/>
  <c r="N46" i="19"/>
  <c r="O45" i="1"/>
  <c r="O48" i="1"/>
  <c r="O49" i="1" s="1"/>
  <c r="M17" i="18"/>
  <c r="M40" i="19"/>
  <c r="N45" i="19"/>
  <c r="M10" i="16"/>
  <c r="AD11" i="34" s="1"/>
  <c r="D35" i="10"/>
  <c r="D34" i="17" s="1"/>
  <c r="D36" i="10"/>
  <c r="D35" i="17" s="1"/>
  <c r="D38" i="10"/>
  <c r="D27" i="22" s="1"/>
  <c r="D28" i="23" s="1"/>
  <c r="M29" i="6"/>
  <c r="M7" i="16" s="1"/>
  <c r="AD8" i="34" s="1"/>
  <c r="J131" i="1"/>
  <c r="J132" i="1" s="1"/>
  <c r="I8" i="9" s="1"/>
  <c r="I12" i="17" s="1"/>
  <c r="I29" i="6"/>
  <c r="I7" i="16" s="1"/>
  <c r="Z8" i="34" s="1"/>
  <c r="N30" i="6"/>
  <c r="N31" i="6" s="1"/>
  <c r="N8" i="16" s="1"/>
  <c r="M131" i="1"/>
  <c r="M132" i="1" s="1"/>
  <c r="L8" i="9" s="1"/>
  <c r="L12" i="17" s="1"/>
  <c r="M123" i="1"/>
  <c r="L15" i="14" s="1"/>
  <c r="L37" i="16" s="1"/>
  <c r="AC42" i="34" s="1"/>
  <c r="L29" i="6"/>
  <c r="L7" i="16" s="1"/>
  <c r="AC8" i="34" s="1"/>
  <c r="K123" i="1"/>
  <c r="J15" i="14" s="1"/>
  <c r="J37" i="16" s="1"/>
  <c r="AA42" i="34" s="1"/>
  <c r="K131" i="1"/>
  <c r="K132" i="1" s="1"/>
  <c r="J8" i="9" s="1"/>
  <c r="J12" i="17" s="1"/>
  <c r="J29" i="6"/>
  <c r="J7" i="16" s="1"/>
  <c r="AA8" i="34" s="1"/>
  <c r="O123" i="1"/>
  <c r="N15" i="14" s="1"/>
  <c r="N37" i="16" s="1"/>
  <c r="AE42" i="34" s="1"/>
  <c r="O131" i="1"/>
  <c r="O132" i="1" s="1"/>
  <c r="N8" i="9" s="1"/>
  <c r="N12" i="17" s="1"/>
  <c r="N29" i="6"/>
  <c r="H29" i="6"/>
  <c r="H7" i="16" s="1"/>
  <c r="U8" i="34" s="1"/>
  <c r="I131" i="1"/>
  <c r="I132" i="1" s="1"/>
  <c r="H8" i="9" s="1"/>
  <c r="H12" i="17" s="1"/>
  <c r="I123" i="1"/>
  <c r="H15" i="14" s="1"/>
  <c r="H37" i="16" s="1"/>
  <c r="U42" i="34" s="1"/>
  <c r="L123" i="1"/>
  <c r="K15" i="14" s="1"/>
  <c r="K37" i="16" s="1"/>
  <c r="AB42" i="34" s="1"/>
  <c r="L131" i="1"/>
  <c r="L132" i="1" s="1"/>
  <c r="K8" i="9" s="1"/>
  <c r="K12" i="17" s="1"/>
  <c r="K29" i="6"/>
  <c r="K7" i="16" s="1"/>
  <c r="AB8" i="34" s="1"/>
  <c r="F29" i="6"/>
  <c r="F7" i="16" s="1"/>
  <c r="K8" i="34" s="1"/>
  <c r="G123" i="1"/>
  <c r="F15" i="14" s="1"/>
  <c r="F37" i="16" s="1"/>
  <c r="K42" i="34" s="1"/>
  <c r="G131" i="1"/>
  <c r="G132" i="1" s="1"/>
  <c r="F8" i="9" s="1"/>
  <c r="F12" i="17" s="1"/>
  <c r="F123" i="1"/>
  <c r="E15" i="14" s="1"/>
  <c r="E37" i="16" s="1"/>
  <c r="F42" i="34" s="1"/>
  <c r="F131" i="1"/>
  <c r="F132" i="1" s="1"/>
  <c r="E8" i="9" s="1"/>
  <c r="E12" i="17" s="1"/>
  <c r="E29" i="6"/>
  <c r="E7" i="16" s="1"/>
  <c r="F8" i="34" s="1"/>
  <c r="H123" i="1"/>
  <c r="G15" i="14" s="1"/>
  <c r="G37" i="16" s="1"/>
  <c r="P42" i="34" s="1"/>
  <c r="G29" i="6"/>
  <c r="G7" i="16" s="1"/>
  <c r="P8" i="34" s="1"/>
  <c r="H131" i="1"/>
  <c r="H132" i="1" s="1"/>
  <c r="G8" i="9" s="1"/>
  <c r="G12" i="17" s="1"/>
  <c r="H164" i="1"/>
  <c r="E164" i="1"/>
  <c r="E167" i="1" s="1"/>
  <c r="D10" i="21" s="1"/>
  <c r="D10" i="24" s="1"/>
  <c r="N164" i="1"/>
  <c r="F169" i="1"/>
  <c r="F170" i="1" s="1"/>
  <c r="E18" i="12" s="1"/>
  <c r="D164" i="1"/>
  <c r="M164" i="1"/>
  <c r="O164" i="1"/>
  <c r="C164" i="1"/>
  <c r="K164" i="1"/>
  <c r="J164" i="1"/>
  <c r="I164" i="1"/>
  <c r="G164" i="1"/>
  <c r="L164" i="1"/>
  <c r="B23" i="23" l="1"/>
  <c r="B40" i="23" s="1"/>
  <c r="B24" i="39"/>
  <c r="B35" i="39" s="1"/>
  <c r="N32" i="39"/>
  <c r="E19" i="39"/>
  <c r="E33" i="39"/>
  <c r="D19" i="39"/>
  <c r="D33" i="39"/>
  <c r="D26" i="22"/>
  <c r="C27" i="23"/>
  <c r="C22" i="22"/>
  <c r="C38" i="22" s="1"/>
  <c r="P7" i="34"/>
  <c r="M26" i="34"/>
  <c r="N27" i="34"/>
  <c r="N26" i="34"/>
  <c r="O27" i="34"/>
  <c r="O26" i="34"/>
  <c r="L27" i="34"/>
  <c r="M27" i="34"/>
  <c r="L26" i="34"/>
  <c r="T26" i="34"/>
  <c r="Q27" i="34"/>
  <c r="R27" i="34"/>
  <c r="Q26" i="34"/>
  <c r="R26" i="34"/>
  <c r="S27" i="34"/>
  <c r="S26" i="34"/>
  <c r="T27" i="34"/>
  <c r="K7" i="34"/>
  <c r="J26" i="34"/>
  <c r="G27" i="34"/>
  <c r="H26" i="34"/>
  <c r="I27" i="34"/>
  <c r="I26" i="34"/>
  <c r="J27" i="34"/>
  <c r="H27" i="34"/>
  <c r="G26" i="34"/>
  <c r="W26" i="34"/>
  <c r="X27" i="34"/>
  <c r="X26" i="34"/>
  <c r="Y27" i="34"/>
  <c r="Y26" i="34"/>
  <c r="V27" i="34"/>
  <c r="W27" i="34"/>
  <c r="V26" i="34"/>
  <c r="C27" i="34"/>
  <c r="D27" i="34"/>
  <c r="E27" i="34"/>
  <c r="F7" i="34"/>
  <c r="E26" i="34"/>
  <c r="B27" i="34"/>
  <c r="B26" i="34"/>
  <c r="C26" i="34"/>
  <c r="D26" i="34"/>
  <c r="Y24" i="36"/>
  <c r="L42" i="34"/>
  <c r="W24" i="36"/>
  <c r="G42" i="34"/>
  <c r="V24" i="36"/>
  <c r="Q42" i="34"/>
  <c r="X24" i="36"/>
  <c r="N26" i="27"/>
  <c r="AE26" i="36"/>
  <c r="M24" i="27"/>
  <c r="AD24" i="36"/>
  <c r="N27" i="27"/>
  <c r="AE27" i="36"/>
  <c r="I24" i="27"/>
  <c r="Z24" i="36"/>
  <c r="AC21" i="36"/>
  <c r="M14" i="27"/>
  <c r="AD14" i="36"/>
  <c r="N17" i="35"/>
  <c r="O17" i="35"/>
  <c r="L17" i="35"/>
  <c r="M17" i="35"/>
  <c r="R17" i="35"/>
  <c r="T17" i="35"/>
  <c r="Q17" i="35"/>
  <c r="S17" i="35"/>
  <c r="X17" i="35"/>
  <c r="Y17" i="35"/>
  <c r="V17" i="35"/>
  <c r="W17" i="35"/>
  <c r="Y8" i="34"/>
  <c r="Y7" i="34" s="1"/>
  <c r="Z7" i="34"/>
  <c r="X8" i="34"/>
  <c r="X7" i="34" s="1"/>
  <c r="V8" i="34"/>
  <c r="V7" i="34" s="1"/>
  <c r="W8" i="34"/>
  <c r="W7" i="34" s="1"/>
  <c r="F13" i="26"/>
  <c r="K13" i="35"/>
  <c r="C17" i="35"/>
  <c r="D17" i="35"/>
  <c r="E17" i="35"/>
  <c r="B17" i="35"/>
  <c r="J13" i="26"/>
  <c r="AA13" i="35"/>
  <c r="L13" i="26"/>
  <c r="AC13" i="35"/>
  <c r="N15" i="26"/>
  <c r="AE15" i="35"/>
  <c r="G13" i="26"/>
  <c r="P13" i="35"/>
  <c r="E13" i="26"/>
  <c r="F13" i="35"/>
  <c r="N13" i="26"/>
  <c r="AE13" i="35"/>
  <c r="H17" i="35"/>
  <c r="I17" i="35"/>
  <c r="G17" i="35"/>
  <c r="J17" i="35"/>
  <c r="H13" i="26"/>
  <c r="U13" i="35"/>
  <c r="K13" i="26"/>
  <c r="AB13" i="35"/>
  <c r="I13" i="26"/>
  <c r="Z13" i="35"/>
  <c r="R42" i="34"/>
  <c r="S42" i="34"/>
  <c r="T42" i="34"/>
  <c r="T8" i="34"/>
  <c r="T7" i="34" s="1"/>
  <c r="S8" i="34"/>
  <c r="S7" i="34" s="1"/>
  <c r="Q8" i="34"/>
  <c r="Q7" i="34" s="1"/>
  <c r="R8" i="34"/>
  <c r="R7" i="34" s="1"/>
  <c r="U7" i="34"/>
  <c r="L8" i="34"/>
  <c r="L7" i="34" s="1"/>
  <c r="M8" i="34"/>
  <c r="M7" i="34" s="1"/>
  <c r="N8" i="34"/>
  <c r="N7" i="34" s="1"/>
  <c r="O8" i="34"/>
  <c r="O7" i="34" s="1"/>
  <c r="M42" i="34"/>
  <c r="N42" i="34"/>
  <c r="O42" i="34"/>
  <c r="I8" i="34"/>
  <c r="I7" i="34" s="1"/>
  <c r="J8" i="34"/>
  <c r="J7" i="34" s="1"/>
  <c r="H8" i="34"/>
  <c r="H7" i="34" s="1"/>
  <c r="G8" i="34"/>
  <c r="G7" i="34" s="1"/>
  <c r="I42" i="34"/>
  <c r="H42" i="34"/>
  <c r="J42" i="34"/>
  <c r="D42" i="34"/>
  <c r="E42" i="34"/>
  <c r="C42" i="34"/>
  <c r="B42" i="34"/>
  <c r="D8" i="34"/>
  <c r="D7" i="34" s="1"/>
  <c r="E8" i="34"/>
  <c r="E7" i="34" s="1"/>
  <c r="B8" i="34"/>
  <c r="B7" i="34" s="1"/>
  <c r="C8" i="34"/>
  <c r="C7" i="34" s="1"/>
  <c r="N9" i="19"/>
  <c r="AE9" i="34"/>
  <c r="L12" i="19"/>
  <c r="AC12" i="34"/>
  <c r="AD39" i="34"/>
  <c r="M12" i="19"/>
  <c r="AD12" i="34"/>
  <c r="J48" i="19"/>
  <c r="AA50" i="34"/>
  <c r="N33" i="19"/>
  <c r="AE35" i="34"/>
  <c r="G31" i="25"/>
  <c r="G21" i="39" s="1"/>
  <c r="D9" i="24"/>
  <c r="D10" i="25"/>
  <c r="D9" i="25" s="1"/>
  <c r="F31" i="25"/>
  <c r="F21" i="39" s="1"/>
  <c r="L37" i="19"/>
  <c r="L17" i="27"/>
  <c r="L21" i="27" s="1"/>
  <c r="M11" i="20"/>
  <c r="M11" i="25" s="1"/>
  <c r="O52" i="1"/>
  <c r="N12" i="12"/>
  <c r="N16" i="16" s="1"/>
  <c r="O166" i="1"/>
  <c r="J6" i="16"/>
  <c r="J8" i="19"/>
  <c r="J7" i="19" s="1"/>
  <c r="E6" i="16"/>
  <c r="E8" i="19"/>
  <c r="E7" i="19" s="1"/>
  <c r="M6" i="16"/>
  <c r="M8" i="19"/>
  <c r="M7" i="19" s="1"/>
  <c r="F6" i="16"/>
  <c r="F8" i="19"/>
  <c r="F7" i="19" s="1"/>
  <c r="N53" i="1"/>
  <c r="H6" i="16"/>
  <c r="H8" i="19"/>
  <c r="H7" i="19" s="1"/>
  <c r="G6" i="16"/>
  <c r="G8" i="19"/>
  <c r="G7" i="19" s="1"/>
  <c r="K6" i="16"/>
  <c r="K8" i="19"/>
  <c r="K7" i="19" s="1"/>
  <c r="L6" i="16"/>
  <c r="L8" i="19"/>
  <c r="L7" i="19" s="1"/>
  <c r="I6" i="16"/>
  <c r="I8" i="19"/>
  <c r="I7" i="19" s="1"/>
  <c r="M33" i="19"/>
  <c r="AD17" i="36" s="1"/>
  <c r="F168" i="1"/>
  <c r="E20" i="12" s="1"/>
  <c r="E24" i="16" s="1"/>
  <c r="E9" i="18" s="1"/>
  <c r="E9" i="39" s="1"/>
  <c r="E10" i="20"/>
  <c r="I39" i="8"/>
  <c r="D9" i="21"/>
  <c r="D10" i="20"/>
  <c r="D9" i="20" s="1"/>
  <c r="K48" i="19"/>
  <c r="N11" i="19"/>
  <c r="M11" i="19"/>
  <c r="N14" i="19"/>
  <c r="N20" i="19"/>
  <c r="L167" i="1"/>
  <c r="K10" i="20" s="1"/>
  <c r="J167" i="1"/>
  <c r="K167" i="1"/>
  <c r="D167" i="1"/>
  <c r="C10" i="21" s="1"/>
  <c r="C10" i="24" s="1"/>
  <c r="H167" i="1"/>
  <c r="G167" i="1"/>
  <c r="C167" i="1"/>
  <c r="B10" i="21" s="1"/>
  <c r="B10" i="24" s="1"/>
  <c r="I167" i="1"/>
  <c r="M165" i="1"/>
  <c r="M167" i="1" s="1"/>
  <c r="N28" i="8"/>
  <c r="N29" i="8" s="1"/>
  <c r="N30" i="8" s="1"/>
  <c r="M33" i="8"/>
  <c r="AC50" i="34" s="1"/>
  <c r="L38" i="8"/>
  <c r="K35" i="20" s="1"/>
  <c r="K35" i="25" s="1"/>
  <c r="K17" i="18"/>
  <c r="K40" i="19"/>
  <c r="H17" i="18"/>
  <c r="H40" i="19"/>
  <c r="J17" i="18"/>
  <c r="J40" i="19"/>
  <c r="E17" i="18"/>
  <c r="E40" i="19"/>
  <c r="N17" i="18"/>
  <c r="N40" i="19"/>
  <c r="F17" i="18"/>
  <c r="F40" i="19"/>
  <c r="G17" i="18"/>
  <c r="G40" i="19"/>
  <c r="L17" i="18"/>
  <c r="L40" i="19"/>
  <c r="E17" i="12"/>
  <c r="E22" i="16"/>
  <c r="E21" i="16" s="1"/>
  <c r="N17" i="14"/>
  <c r="N38" i="16" s="1"/>
  <c r="N7" i="16"/>
  <c r="AE8" i="34" s="1"/>
  <c r="H6" i="9"/>
  <c r="H11" i="17" s="1"/>
  <c r="U12" i="35" s="1"/>
  <c r="H17" i="14"/>
  <c r="H38" i="16" s="1"/>
  <c r="J6" i="9"/>
  <c r="J11" i="17" s="1"/>
  <c r="AA12" i="35" s="1"/>
  <c r="J17" i="14"/>
  <c r="J38" i="16" s="1"/>
  <c r="F6" i="9"/>
  <c r="F17" i="14"/>
  <c r="F38" i="16" s="1"/>
  <c r="G6" i="9"/>
  <c r="G17" i="14"/>
  <c r="G38" i="16" s="1"/>
  <c r="K6" i="9"/>
  <c r="K17" i="14"/>
  <c r="K38" i="16" s="1"/>
  <c r="L6" i="9"/>
  <c r="L17" i="14"/>
  <c r="L38" i="16" s="1"/>
  <c r="I6" i="9"/>
  <c r="I17" i="14"/>
  <c r="I38" i="16" s="1"/>
  <c r="E6" i="9"/>
  <c r="E17" i="14"/>
  <c r="E38" i="16" s="1"/>
  <c r="M32" i="6"/>
  <c r="M21" i="12" s="1"/>
  <c r="M25" i="16" s="1"/>
  <c r="AD18" i="34" s="1"/>
  <c r="M17" i="14"/>
  <c r="M38" i="16" s="1"/>
  <c r="N112" i="1"/>
  <c r="N114" i="1" s="1"/>
  <c r="N115" i="1" s="1"/>
  <c r="M7" i="14" s="1"/>
  <c r="M6" i="9"/>
  <c r="J112" i="1"/>
  <c r="J114" i="1" s="1"/>
  <c r="J115" i="1" s="1"/>
  <c r="I7" i="14" s="1"/>
  <c r="I32" i="6"/>
  <c r="N32" i="6"/>
  <c r="N6" i="9"/>
  <c r="O112" i="1"/>
  <c r="O114" i="1" s="1"/>
  <c r="O115" i="1" s="1"/>
  <c r="N7" i="14" s="1"/>
  <c r="E169" i="1"/>
  <c r="E168" i="1"/>
  <c r="D9" i="11" s="1"/>
  <c r="F112" i="1"/>
  <c r="F114" i="1" s="1"/>
  <c r="F115" i="1" s="1"/>
  <c r="E7" i="14" s="1"/>
  <c r="E32" i="6"/>
  <c r="G112" i="1"/>
  <c r="G114" i="1" s="1"/>
  <c r="G115" i="1" s="1"/>
  <c r="F7" i="14" s="1"/>
  <c r="F32" i="6"/>
  <c r="G32" i="6"/>
  <c r="H112" i="1"/>
  <c r="H114" i="1" s="1"/>
  <c r="H115" i="1" s="1"/>
  <c r="G7" i="14" s="1"/>
  <c r="K32" i="6"/>
  <c r="L112" i="1"/>
  <c r="L114" i="1" s="1"/>
  <c r="L115" i="1" s="1"/>
  <c r="K7" i="14" s="1"/>
  <c r="K112" i="1"/>
  <c r="K114" i="1" s="1"/>
  <c r="K115" i="1" s="1"/>
  <c r="J7" i="14" s="1"/>
  <c r="J32" i="6"/>
  <c r="L32" i="6"/>
  <c r="M112" i="1"/>
  <c r="M114" i="1" s="1"/>
  <c r="M115" i="1" s="1"/>
  <c r="L7" i="14" s="1"/>
  <c r="I112" i="1"/>
  <c r="I114" i="1" s="1"/>
  <c r="I115" i="1" s="1"/>
  <c r="H7" i="14" s="1"/>
  <c r="H32" i="6"/>
  <c r="J169" i="1"/>
  <c r="J170" i="1" s="1"/>
  <c r="I18" i="12" s="1"/>
  <c r="D169" i="1"/>
  <c r="C9" i="11"/>
  <c r="O169" i="1"/>
  <c r="O170" i="1" s="1"/>
  <c r="N18" i="12" s="1"/>
  <c r="L169" i="1"/>
  <c r="L170" i="1" s="1"/>
  <c r="K18" i="12" s="1"/>
  <c r="I169" i="1"/>
  <c r="I170" i="1" s="1"/>
  <c r="H18" i="12" s="1"/>
  <c r="B9" i="11"/>
  <c r="C169" i="1"/>
  <c r="M169" i="1"/>
  <c r="M170" i="1" s="1"/>
  <c r="L18" i="12" s="1"/>
  <c r="N169" i="1"/>
  <c r="N170" i="1" s="1"/>
  <c r="M18" i="12" s="1"/>
  <c r="G169" i="1"/>
  <c r="G170" i="1" s="1"/>
  <c r="F18" i="12" s="1"/>
  <c r="K169" i="1"/>
  <c r="K170" i="1" s="1"/>
  <c r="J18" i="12" s="1"/>
  <c r="H169" i="1"/>
  <c r="H170" i="1" s="1"/>
  <c r="G18" i="12" s="1"/>
  <c r="C23" i="23" l="1"/>
  <c r="C40" i="23" s="1"/>
  <c r="C24" i="39"/>
  <c r="C35" i="39" s="1"/>
  <c r="L10" i="39"/>
  <c r="G33" i="39"/>
  <c r="G19" i="39"/>
  <c r="F19" i="39"/>
  <c r="F33" i="39"/>
  <c r="F27" i="34"/>
  <c r="Z27" i="34"/>
  <c r="D27" i="23"/>
  <c r="D24" i="39" s="1"/>
  <c r="D35" i="39" s="1"/>
  <c r="D22" i="22"/>
  <c r="D38" i="22" s="1"/>
  <c r="K27" i="34"/>
  <c r="P27" i="34"/>
  <c r="Z26" i="34"/>
  <c r="K26" i="34"/>
  <c r="U27" i="34"/>
  <c r="F26" i="34"/>
  <c r="U26" i="34"/>
  <c r="P26" i="34"/>
  <c r="J24" i="36"/>
  <c r="N24" i="36"/>
  <c r="S24" i="36"/>
  <c r="L24" i="36"/>
  <c r="C24" i="36"/>
  <c r="H24" i="36"/>
  <c r="M24" i="36"/>
  <c r="R24" i="36"/>
  <c r="E24" i="36"/>
  <c r="I24" i="36"/>
  <c r="Q24" i="36"/>
  <c r="D24" i="36"/>
  <c r="O24" i="36"/>
  <c r="T24" i="36"/>
  <c r="G24" i="36"/>
  <c r="L24" i="27"/>
  <c r="AC24" i="36"/>
  <c r="F24" i="27"/>
  <c r="K24" i="36"/>
  <c r="E24" i="27"/>
  <c r="F24" i="36"/>
  <c r="H24" i="27"/>
  <c r="U24" i="36"/>
  <c r="K29" i="27"/>
  <c r="AB29" i="36"/>
  <c r="N17" i="27"/>
  <c r="AE17" i="36"/>
  <c r="G24" i="27"/>
  <c r="P24" i="36"/>
  <c r="N24" i="27"/>
  <c r="AE24" i="36"/>
  <c r="J24" i="27"/>
  <c r="AA24" i="36"/>
  <c r="K24" i="27"/>
  <c r="AB24" i="36"/>
  <c r="AD21" i="36"/>
  <c r="J29" i="27"/>
  <c r="AA29" i="36"/>
  <c r="B24" i="36"/>
  <c r="S12" i="35"/>
  <c r="R12" i="35"/>
  <c r="T12" i="35"/>
  <c r="Q12" i="35"/>
  <c r="N13" i="35"/>
  <c r="M13" i="35"/>
  <c r="O13" i="35"/>
  <c r="L13" i="35"/>
  <c r="X13" i="35"/>
  <c r="W13" i="35"/>
  <c r="V13" i="35"/>
  <c r="Y13" i="35"/>
  <c r="R13" i="35"/>
  <c r="T13" i="35"/>
  <c r="Q13" i="35"/>
  <c r="S13" i="35"/>
  <c r="U11" i="35"/>
  <c r="H13" i="35"/>
  <c r="I13" i="35"/>
  <c r="G13" i="35"/>
  <c r="J13" i="35"/>
  <c r="D13" i="35"/>
  <c r="E13" i="35"/>
  <c r="B13" i="35"/>
  <c r="C13" i="35"/>
  <c r="AA11" i="35"/>
  <c r="N175" i="1"/>
  <c r="N177" i="1" s="1"/>
  <c r="M16" i="20" s="1"/>
  <c r="AD7" i="34"/>
  <c r="K175" i="1"/>
  <c r="K177" i="1" s="1"/>
  <c r="J16" i="20" s="1"/>
  <c r="AA7" i="34"/>
  <c r="AD23" i="34"/>
  <c r="AD51" i="34"/>
  <c r="Z51" i="34"/>
  <c r="Z23" i="34"/>
  <c r="AB51" i="34"/>
  <c r="AB23" i="34"/>
  <c r="K51" i="34"/>
  <c r="K23" i="34"/>
  <c r="U51" i="34"/>
  <c r="U23" i="34"/>
  <c r="M175" i="1"/>
  <c r="M177" i="1" s="1"/>
  <c r="L16" i="20" s="1"/>
  <c r="AC7" i="34"/>
  <c r="H175" i="1"/>
  <c r="H177" i="1" s="1"/>
  <c r="G16" i="20" s="1"/>
  <c r="G175" i="1"/>
  <c r="F175" i="1"/>
  <c r="F177" i="1" s="1"/>
  <c r="E16" i="20" s="1"/>
  <c r="N12" i="19"/>
  <c r="AE12" i="34"/>
  <c r="AE51" i="34"/>
  <c r="AE23" i="34"/>
  <c r="F23" i="34"/>
  <c r="F51" i="34"/>
  <c r="AC51" i="34"/>
  <c r="AC23" i="34"/>
  <c r="P51" i="34"/>
  <c r="P23" i="34"/>
  <c r="AA51" i="34"/>
  <c r="AA23" i="34"/>
  <c r="J175" i="1"/>
  <c r="J177" i="1" s="1"/>
  <c r="I16" i="20" s="1"/>
  <c r="L175" i="1"/>
  <c r="L177" i="1" s="1"/>
  <c r="K16" i="20" s="1"/>
  <c r="AB7" i="34"/>
  <c r="I175" i="1"/>
  <c r="I177" i="1" s="1"/>
  <c r="H16" i="20" s="1"/>
  <c r="N30" i="19"/>
  <c r="AE32" i="34"/>
  <c r="AE39" i="34" s="1"/>
  <c r="O53" i="1"/>
  <c r="B9" i="24"/>
  <c r="B10" i="25"/>
  <c r="B9" i="25" s="1"/>
  <c r="E9" i="20"/>
  <c r="E10" i="25"/>
  <c r="E9" i="25" s="1"/>
  <c r="K9" i="20"/>
  <c r="K10" i="25"/>
  <c r="K9" i="25" s="1"/>
  <c r="C9" i="24"/>
  <c r="C10" i="25"/>
  <c r="C9" i="25" s="1"/>
  <c r="J10" i="17"/>
  <c r="J12" i="26"/>
  <c r="J11" i="26" s="1"/>
  <c r="M37" i="19"/>
  <c r="M17" i="27"/>
  <c r="M21" i="27" s="1"/>
  <c r="H10" i="17"/>
  <c r="H12" i="26"/>
  <c r="H11" i="26" s="1"/>
  <c r="N6" i="16"/>
  <c r="N8" i="19"/>
  <c r="N7" i="19" s="1"/>
  <c r="M168" i="1"/>
  <c r="L20" i="12" s="1"/>
  <c r="L24" i="16" s="1"/>
  <c r="L9" i="18" s="1"/>
  <c r="L9" i="39" s="1"/>
  <c r="L10" i="20"/>
  <c r="G168" i="1"/>
  <c r="F20" i="12" s="1"/>
  <c r="F24" i="16" s="1"/>
  <c r="F9" i="18" s="1"/>
  <c r="F9" i="39" s="1"/>
  <c r="F10" i="20"/>
  <c r="J168" i="1"/>
  <c r="I20" i="12" s="1"/>
  <c r="I24" i="16" s="1"/>
  <c r="I9" i="18" s="1"/>
  <c r="I9" i="39" s="1"/>
  <c r="I10" i="20"/>
  <c r="L168" i="1"/>
  <c r="K20" i="12" s="1"/>
  <c r="K24" i="16" s="1"/>
  <c r="K9" i="18" s="1"/>
  <c r="K9" i="39" s="1"/>
  <c r="H168" i="1"/>
  <c r="G20" i="12" s="1"/>
  <c r="G24" i="16" s="1"/>
  <c r="G9" i="18" s="1"/>
  <c r="G9" i="39" s="1"/>
  <c r="G10" i="20"/>
  <c r="H31" i="20"/>
  <c r="J39" i="8"/>
  <c r="I168" i="1"/>
  <c r="H20" i="12" s="1"/>
  <c r="H24" i="16" s="1"/>
  <c r="H9" i="18" s="1"/>
  <c r="H9" i="39" s="1"/>
  <c r="H10" i="20"/>
  <c r="K168" i="1"/>
  <c r="J20" i="12" s="1"/>
  <c r="J24" i="16" s="1"/>
  <c r="J9" i="18" s="1"/>
  <c r="J9" i="39" s="1"/>
  <c r="J10" i="20"/>
  <c r="C9" i="21"/>
  <c r="C10" i="20"/>
  <c r="C9" i="20" s="1"/>
  <c r="B9" i="21"/>
  <c r="B10" i="20"/>
  <c r="B9" i="20" s="1"/>
  <c r="L48" i="19"/>
  <c r="M18" i="19"/>
  <c r="C168" i="1"/>
  <c r="D168" i="1"/>
  <c r="N165" i="1"/>
  <c r="N167" i="1" s="1"/>
  <c r="M10" i="20" s="1"/>
  <c r="O28" i="8"/>
  <c r="O29" i="8" s="1"/>
  <c r="O30" i="8" s="1"/>
  <c r="N33" i="8"/>
  <c r="AD50" i="34" s="1"/>
  <c r="M38" i="8"/>
  <c r="L35" i="20" s="1"/>
  <c r="L35" i="25" s="1"/>
  <c r="M29" i="12"/>
  <c r="M30" i="16" s="1"/>
  <c r="AD22" i="34" s="1"/>
  <c r="E9" i="16"/>
  <c r="M23" i="19"/>
  <c r="M49" i="19"/>
  <c r="I23" i="19"/>
  <c r="I49" i="19"/>
  <c r="K23" i="19"/>
  <c r="K49" i="19"/>
  <c r="H23" i="19"/>
  <c r="H49" i="19"/>
  <c r="E23" i="19"/>
  <c r="E49" i="19"/>
  <c r="L23" i="19"/>
  <c r="L49" i="19"/>
  <c r="G23" i="19"/>
  <c r="G49" i="19"/>
  <c r="J23" i="19"/>
  <c r="J49" i="19"/>
  <c r="N23" i="19"/>
  <c r="N49" i="19"/>
  <c r="F23" i="19"/>
  <c r="F49" i="19"/>
  <c r="H10" i="9"/>
  <c r="H11" i="9" s="1"/>
  <c r="N17" i="12"/>
  <c r="N22" i="16"/>
  <c r="N21" i="16" s="1"/>
  <c r="J33" i="16"/>
  <c r="AA44" i="34" s="1"/>
  <c r="AA43" i="34" s="1"/>
  <c r="J6" i="14"/>
  <c r="E10" i="9"/>
  <c r="E11" i="9" s="1"/>
  <c r="E11" i="17"/>
  <c r="F12" i="35" s="1"/>
  <c r="L10" i="9"/>
  <c r="L11" i="9" s="1"/>
  <c r="L11" i="17"/>
  <c r="AC12" i="35" s="1"/>
  <c r="AC11" i="35" s="1"/>
  <c r="G10" i="9"/>
  <c r="G11" i="9" s="1"/>
  <c r="G13" i="9" s="1"/>
  <c r="G19" i="9" s="1"/>
  <c r="G7" i="17" s="1"/>
  <c r="G11" i="17"/>
  <c r="P12" i="35" s="1"/>
  <c r="F17" i="12"/>
  <c r="F22" i="16"/>
  <c r="F21" i="16" s="1"/>
  <c r="L6" i="14"/>
  <c r="L33" i="16"/>
  <c r="AC44" i="34" s="1"/>
  <c r="AC43" i="34" s="1"/>
  <c r="AC52" i="34" s="1"/>
  <c r="G17" i="12"/>
  <c r="G22" i="16"/>
  <c r="G21" i="16" s="1"/>
  <c r="L17" i="12"/>
  <c r="L22" i="16"/>
  <c r="L21" i="16" s="1"/>
  <c r="K17" i="12"/>
  <c r="K22" i="16"/>
  <c r="K21" i="16" s="1"/>
  <c r="I17" i="12"/>
  <c r="I22" i="16"/>
  <c r="I21" i="16" s="1"/>
  <c r="G33" i="16"/>
  <c r="P44" i="34" s="1"/>
  <c r="G6" i="14"/>
  <c r="N33" i="16"/>
  <c r="AE44" i="34" s="1"/>
  <c r="AE43" i="34" s="1"/>
  <c r="N6" i="14"/>
  <c r="M33" i="16"/>
  <c r="AD44" i="34" s="1"/>
  <c r="AD43" i="34" s="1"/>
  <c r="M6" i="14"/>
  <c r="J17" i="12"/>
  <c r="J22" i="16"/>
  <c r="J21" i="16" s="1"/>
  <c r="H33" i="16"/>
  <c r="U44" i="34" s="1"/>
  <c r="H6" i="14"/>
  <c r="E33" i="16"/>
  <c r="F44" i="34" s="1"/>
  <c r="E6" i="14"/>
  <c r="N10" i="9"/>
  <c r="N11" i="9" s="1"/>
  <c r="N14" i="9" s="1"/>
  <c r="N16" i="9" s="1"/>
  <c r="N21" i="9" s="1"/>
  <c r="N8" i="17" s="1"/>
  <c r="N11" i="17"/>
  <c r="AE12" i="35" s="1"/>
  <c r="AE11" i="35" s="1"/>
  <c r="K33" i="16"/>
  <c r="AB44" i="34" s="1"/>
  <c r="AB43" i="34" s="1"/>
  <c r="AB52" i="34" s="1"/>
  <c r="K6" i="14"/>
  <c r="I33" i="16"/>
  <c r="Z44" i="34" s="1"/>
  <c r="I6" i="14"/>
  <c r="M17" i="12"/>
  <c r="M22" i="16"/>
  <c r="M21" i="16" s="1"/>
  <c r="H17" i="12"/>
  <c r="H22" i="16"/>
  <c r="H21" i="16" s="1"/>
  <c r="F33" i="16"/>
  <c r="K44" i="34" s="1"/>
  <c r="F6" i="14"/>
  <c r="J10" i="9"/>
  <c r="J25" i="9" s="1"/>
  <c r="M10" i="9"/>
  <c r="M25" i="9" s="1"/>
  <c r="M11" i="17"/>
  <c r="AD12" i="35" s="1"/>
  <c r="AD11" i="35" s="1"/>
  <c r="I10" i="9"/>
  <c r="I25" i="9" s="1"/>
  <c r="I11" i="17"/>
  <c r="Z12" i="35" s="1"/>
  <c r="K10" i="9"/>
  <c r="K25" i="9" s="1"/>
  <c r="K11" i="17"/>
  <c r="AB12" i="35" s="1"/>
  <c r="AB11" i="35" s="1"/>
  <c r="F10" i="9"/>
  <c r="F11" i="9" s="1"/>
  <c r="F11" i="17"/>
  <c r="K12" i="35" s="1"/>
  <c r="H21" i="12"/>
  <c r="H29" i="12"/>
  <c r="H30" i="16" s="1"/>
  <c r="J29" i="12"/>
  <c r="J30" i="16" s="1"/>
  <c r="J21" i="12"/>
  <c r="E29" i="12"/>
  <c r="E30" i="16" s="1"/>
  <c r="E21" i="12"/>
  <c r="I29" i="12"/>
  <c r="I30" i="16" s="1"/>
  <c r="I21" i="12"/>
  <c r="K21" i="12"/>
  <c r="K29" i="12"/>
  <c r="K30" i="16" s="1"/>
  <c r="G21" i="12"/>
  <c r="G29" i="12"/>
  <c r="G30" i="16" s="1"/>
  <c r="M11" i="9"/>
  <c r="M14" i="9" s="1"/>
  <c r="M16" i="9" s="1"/>
  <c r="M21" i="9" s="1"/>
  <c r="M8" i="17" s="1"/>
  <c r="L21" i="12"/>
  <c r="L29" i="12"/>
  <c r="L30" i="16" s="1"/>
  <c r="F29" i="12"/>
  <c r="F30" i="16" s="1"/>
  <c r="F21" i="12"/>
  <c r="N29" i="12"/>
  <c r="N30" i="16" s="1"/>
  <c r="AE22" i="34" s="1"/>
  <c r="N21" i="12"/>
  <c r="N25" i="16" s="1"/>
  <c r="AE18" i="34" s="1"/>
  <c r="C170" i="1"/>
  <c r="B22" i="7" s="1"/>
  <c r="D170" i="1"/>
  <c r="C22" i="7" s="1"/>
  <c r="C10" i="7" s="1"/>
  <c r="E170" i="1"/>
  <c r="D22" i="7" s="1"/>
  <c r="D10" i="7" s="1"/>
  <c r="M10" i="39" l="1"/>
  <c r="E176" i="1"/>
  <c r="E183" i="1" s="1"/>
  <c r="D7" i="18"/>
  <c r="D10" i="18" s="1"/>
  <c r="D15" i="18" s="1"/>
  <c r="D176" i="1"/>
  <c r="C7" i="18"/>
  <c r="C10" i="18" s="1"/>
  <c r="C15" i="18" s="1"/>
  <c r="E27" i="23"/>
  <c r="D23" i="23"/>
  <c r="D40" i="23" s="1"/>
  <c r="AD52" i="34"/>
  <c r="AA52" i="34"/>
  <c r="R11" i="35"/>
  <c r="N14" i="27"/>
  <c r="AE14" i="36"/>
  <c r="AE21" i="36" s="1"/>
  <c r="L29" i="27"/>
  <c r="AC29" i="36"/>
  <c r="Q11" i="35"/>
  <c r="P11" i="35"/>
  <c r="O12" i="35"/>
  <c r="O11" i="35" s="1"/>
  <c r="M12" i="35"/>
  <c r="M11" i="35" s="1"/>
  <c r="N12" i="35"/>
  <c r="N11" i="35" s="1"/>
  <c r="L12" i="35"/>
  <c r="L11" i="35" s="1"/>
  <c r="S11" i="35"/>
  <c r="Z11" i="35"/>
  <c r="Y12" i="35"/>
  <c r="Y11" i="35" s="1"/>
  <c r="W12" i="35"/>
  <c r="W11" i="35" s="1"/>
  <c r="V12" i="35"/>
  <c r="V11" i="35" s="1"/>
  <c r="X12" i="35"/>
  <c r="X11" i="35" s="1"/>
  <c r="T11" i="35"/>
  <c r="C12" i="35"/>
  <c r="C11" i="35" s="1"/>
  <c r="D12" i="35"/>
  <c r="E12" i="35"/>
  <c r="E11" i="35" s="1"/>
  <c r="B12" i="35"/>
  <c r="B11" i="35" s="1"/>
  <c r="F11" i="35"/>
  <c r="H12" i="35"/>
  <c r="H11" i="35" s="1"/>
  <c r="J12" i="35"/>
  <c r="J11" i="35" s="1"/>
  <c r="G12" i="35"/>
  <c r="G11" i="35" s="1"/>
  <c r="I12" i="35"/>
  <c r="I11" i="35" s="1"/>
  <c r="K11" i="35"/>
  <c r="Z43" i="34"/>
  <c r="Z52" i="34" s="1"/>
  <c r="Y44" i="34"/>
  <c r="Y43" i="34" s="1"/>
  <c r="W44" i="34"/>
  <c r="W43" i="34" s="1"/>
  <c r="V44" i="34"/>
  <c r="V43" i="34" s="1"/>
  <c r="X44" i="34"/>
  <c r="X43" i="34" s="1"/>
  <c r="N9" i="26"/>
  <c r="AE9" i="35"/>
  <c r="Y51" i="34"/>
  <c r="X51" i="34"/>
  <c r="W51" i="34"/>
  <c r="V51" i="34"/>
  <c r="D11" i="35"/>
  <c r="G8" i="26"/>
  <c r="P8" i="35"/>
  <c r="M9" i="26"/>
  <c r="AD9" i="35"/>
  <c r="V23" i="34"/>
  <c r="Y23" i="34"/>
  <c r="W23" i="34"/>
  <c r="X23" i="34"/>
  <c r="R23" i="34"/>
  <c r="T23" i="34"/>
  <c r="Q23" i="34"/>
  <c r="S23" i="34"/>
  <c r="S44" i="34"/>
  <c r="S43" i="34" s="1"/>
  <c r="U43" i="34"/>
  <c r="U52" i="34" s="1"/>
  <c r="Q44" i="34"/>
  <c r="Q43" i="34" s="1"/>
  <c r="T44" i="34"/>
  <c r="T43" i="34" s="1"/>
  <c r="R44" i="34"/>
  <c r="R43" i="34" s="1"/>
  <c r="R51" i="34"/>
  <c r="Q51" i="34"/>
  <c r="S51" i="34"/>
  <c r="T51" i="34"/>
  <c r="P43" i="34"/>
  <c r="P52" i="34" s="1"/>
  <c r="M44" i="34"/>
  <c r="M43" i="34" s="1"/>
  <c r="N44" i="34"/>
  <c r="N43" i="34" s="1"/>
  <c r="O44" i="34"/>
  <c r="O43" i="34" s="1"/>
  <c r="L44" i="34"/>
  <c r="L43" i="34" s="1"/>
  <c r="L51" i="34"/>
  <c r="M51" i="34"/>
  <c r="N51" i="34"/>
  <c r="O51" i="34"/>
  <c r="L23" i="34"/>
  <c r="M23" i="34"/>
  <c r="N23" i="34"/>
  <c r="O23" i="34"/>
  <c r="G23" i="34"/>
  <c r="H23" i="34"/>
  <c r="I23" i="34"/>
  <c r="J23" i="34"/>
  <c r="H51" i="34"/>
  <c r="I51" i="34"/>
  <c r="G51" i="34"/>
  <c r="J51" i="34"/>
  <c r="J44" i="34"/>
  <c r="J43" i="34" s="1"/>
  <c r="G44" i="34"/>
  <c r="G43" i="34" s="1"/>
  <c r="H44" i="34"/>
  <c r="H43" i="34" s="1"/>
  <c r="I44" i="34"/>
  <c r="I43" i="34" s="1"/>
  <c r="K43" i="34"/>
  <c r="K52" i="34" s="1"/>
  <c r="E51" i="34"/>
  <c r="C51" i="34"/>
  <c r="B51" i="34"/>
  <c r="D51" i="34"/>
  <c r="C44" i="34"/>
  <c r="C43" i="34" s="1"/>
  <c r="B44" i="34"/>
  <c r="B43" i="34" s="1"/>
  <c r="D44" i="34"/>
  <c r="D43" i="34" s="1"/>
  <c r="E44" i="34"/>
  <c r="E43" i="34" s="1"/>
  <c r="F43" i="34"/>
  <c r="F52" i="34" s="1"/>
  <c r="C23" i="34"/>
  <c r="B23" i="34"/>
  <c r="E23" i="34"/>
  <c r="D23" i="34"/>
  <c r="F182" i="1"/>
  <c r="E19" i="20" s="1"/>
  <c r="G182" i="1"/>
  <c r="N37" i="19"/>
  <c r="H182" i="1"/>
  <c r="G22" i="19"/>
  <c r="P22" i="34"/>
  <c r="J182" i="1"/>
  <c r="K182" i="1"/>
  <c r="L22" i="19"/>
  <c r="AC22" i="34"/>
  <c r="I22" i="19"/>
  <c r="Z22" i="34"/>
  <c r="J22" i="19"/>
  <c r="AA22" i="34"/>
  <c r="O175" i="1"/>
  <c r="O182" i="1" s="1"/>
  <c r="AE7" i="34"/>
  <c r="I182" i="1"/>
  <c r="L182" i="1"/>
  <c r="E22" i="19"/>
  <c r="F22" i="34"/>
  <c r="F22" i="19"/>
  <c r="K22" i="34"/>
  <c r="K22" i="19"/>
  <c r="AB22" i="34"/>
  <c r="H22" i="19"/>
  <c r="U22" i="34"/>
  <c r="M182" i="1"/>
  <c r="N182" i="1"/>
  <c r="G177" i="1"/>
  <c r="F16" i="20" s="1"/>
  <c r="I9" i="20"/>
  <c r="I10" i="25"/>
  <c r="I9" i="25" s="1"/>
  <c r="H9" i="20"/>
  <c r="H10" i="25"/>
  <c r="H9" i="25" s="1"/>
  <c r="G9" i="20"/>
  <c r="G10" i="25"/>
  <c r="G9" i="25" s="1"/>
  <c r="H31" i="25"/>
  <c r="H21" i="39" s="1"/>
  <c r="M9" i="20"/>
  <c r="M10" i="25"/>
  <c r="M9" i="25" s="1"/>
  <c r="F9" i="20"/>
  <c r="F10" i="25"/>
  <c r="F9" i="25" s="1"/>
  <c r="L9" i="20"/>
  <c r="L10" i="25"/>
  <c r="L9" i="25" s="1"/>
  <c r="J9" i="20"/>
  <c r="J10" i="25"/>
  <c r="J9" i="25" s="1"/>
  <c r="G10" i="17"/>
  <c r="G12" i="26"/>
  <c r="G11" i="26" s="1"/>
  <c r="E10" i="17"/>
  <c r="E12" i="26"/>
  <c r="E11" i="26" s="1"/>
  <c r="K10" i="17"/>
  <c r="K12" i="26"/>
  <c r="K11" i="26" s="1"/>
  <c r="M10" i="17"/>
  <c r="M12" i="26"/>
  <c r="M11" i="26" s="1"/>
  <c r="N10" i="17"/>
  <c r="N12" i="26"/>
  <c r="N11" i="26" s="1"/>
  <c r="L10" i="17"/>
  <c r="L12" i="26"/>
  <c r="L11" i="26" s="1"/>
  <c r="F10" i="17"/>
  <c r="F12" i="26"/>
  <c r="F11" i="26" s="1"/>
  <c r="I10" i="17"/>
  <c r="I12" i="26"/>
  <c r="I11" i="26" s="1"/>
  <c r="E26" i="16"/>
  <c r="F176" i="1"/>
  <c r="N168" i="1"/>
  <c r="M20" i="12" s="1"/>
  <c r="M22" i="12" s="1"/>
  <c r="M30" i="12" s="1"/>
  <c r="I31" i="20"/>
  <c r="K39" i="8"/>
  <c r="M48" i="19"/>
  <c r="N18" i="19"/>
  <c r="N22" i="19"/>
  <c r="M22" i="19"/>
  <c r="O165" i="1"/>
  <c r="O167" i="1" s="1"/>
  <c r="O33" i="8"/>
  <c r="AE50" i="34" s="1"/>
  <c r="AE52" i="34" s="1"/>
  <c r="N38" i="8"/>
  <c r="M35" i="20" s="1"/>
  <c r="M35" i="25" s="1"/>
  <c r="H25" i="9"/>
  <c r="G9" i="16"/>
  <c r="L9" i="16"/>
  <c r="M176" i="1" s="1"/>
  <c r="J11" i="9"/>
  <c r="J14" i="9" s="1"/>
  <c r="J16" i="9" s="1"/>
  <c r="J21" i="9" s="1"/>
  <c r="J8" i="17" s="1"/>
  <c r="H9" i="16"/>
  <c r="K9" i="16"/>
  <c r="F9" i="16"/>
  <c r="J9" i="16"/>
  <c r="I9" i="16"/>
  <c r="F32" i="16"/>
  <c r="F42" i="19"/>
  <c r="F41" i="19" s="1"/>
  <c r="F50" i="19" s="1"/>
  <c r="L32" i="16"/>
  <c r="L42" i="19"/>
  <c r="L41" i="19" s="1"/>
  <c r="L50" i="19" s="1"/>
  <c r="K32" i="16"/>
  <c r="K42" i="19"/>
  <c r="K41" i="19" s="1"/>
  <c r="K50" i="19" s="1"/>
  <c r="E32" i="16"/>
  <c r="E42" i="19"/>
  <c r="E41" i="19" s="1"/>
  <c r="E50" i="19" s="1"/>
  <c r="N32" i="16"/>
  <c r="N42" i="19"/>
  <c r="N41" i="19" s="1"/>
  <c r="I32" i="16"/>
  <c r="I42" i="19"/>
  <c r="I41" i="19" s="1"/>
  <c r="I50" i="19" s="1"/>
  <c r="H32" i="16"/>
  <c r="H42" i="19"/>
  <c r="H41" i="19" s="1"/>
  <c r="H50" i="19" s="1"/>
  <c r="M32" i="16"/>
  <c r="M42" i="19"/>
  <c r="M41" i="19" s="1"/>
  <c r="G32" i="16"/>
  <c r="G42" i="19"/>
  <c r="G41" i="19" s="1"/>
  <c r="G50" i="19" s="1"/>
  <c r="J32" i="16"/>
  <c r="J42" i="19"/>
  <c r="J41" i="19" s="1"/>
  <c r="J50" i="19" s="1"/>
  <c r="N25" i="9"/>
  <c r="F25" i="9"/>
  <c r="E25" i="9"/>
  <c r="M13" i="9"/>
  <c r="M19" i="9" s="1"/>
  <c r="M22" i="9" s="1"/>
  <c r="L25" i="9"/>
  <c r="I11" i="9"/>
  <c r="I14" i="9" s="1"/>
  <c r="I16" i="9" s="1"/>
  <c r="I21" i="9" s="1"/>
  <c r="I8" i="17" s="1"/>
  <c r="F22" i="12"/>
  <c r="F30" i="12" s="1"/>
  <c r="F25" i="16"/>
  <c r="K22" i="12"/>
  <c r="K30" i="12" s="1"/>
  <c r="K25" i="16"/>
  <c r="J22" i="12"/>
  <c r="J30" i="12" s="1"/>
  <c r="J25" i="16"/>
  <c r="G25" i="9"/>
  <c r="K11" i="9"/>
  <c r="K13" i="9" s="1"/>
  <c r="K19" i="9" s="1"/>
  <c r="K7" i="17" s="1"/>
  <c r="L22" i="12"/>
  <c r="L30" i="12" s="1"/>
  <c r="L25" i="16"/>
  <c r="E22" i="12"/>
  <c r="E30" i="12" s="1"/>
  <c r="E25" i="16"/>
  <c r="H22" i="12"/>
  <c r="H30" i="12" s="1"/>
  <c r="H25" i="16"/>
  <c r="I22" i="12"/>
  <c r="I30" i="12" s="1"/>
  <c r="I25" i="16"/>
  <c r="G22" i="12"/>
  <c r="G30" i="12" s="1"/>
  <c r="G25" i="16"/>
  <c r="B10" i="7"/>
  <c r="N13" i="9"/>
  <c r="N19" i="9" s="1"/>
  <c r="H14" i="9"/>
  <c r="H16" i="9" s="1"/>
  <c r="H21" i="9" s="1"/>
  <c r="H8" i="17" s="1"/>
  <c r="H13" i="9"/>
  <c r="H19" i="9" s="1"/>
  <c r="H7" i="17" s="1"/>
  <c r="F13" i="9"/>
  <c r="F19" i="9" s="1"/>
  <c r="F7" i="17" s="1"/>
  <c r="F14" i="9"/>
  <c r="F16" i="9" s="1"/>
  <c r="F21" i="9" s="1"/>
  <c r="F8" i="17" s="1"/>
  <c r="E14" i="9"/>
  <c r="E16" i="9" s="1"/>
  <c r="E21" i="9" s="1"/>
  <c r="E8" i="17" s="1"/>
  <c r="E13" i="9"/>
  <c r="E19" i="9" s="1"/>
  <c r="E7" i="17" s="1"/>
  <c r="G14" i="9"/>
  <c r="G16" i="9" s="1"/>
  <c r="G21" i="9" s="1"/>
  <c r="L13" i="9"/>
  <c r="L19" i="9" s="1"/>
  <c r="L7" i="17" s="1"/>
  <c r="L14" i="9"/>
  <c r="L16" i="9" s="1"/>
  <c r="L21" i="9" s="1"/>
  <c r="L8" i="17" s="1"/>
  <c r="C176" i="1" l="1"/>
  <c r="D183" i="1" s="1"/>
  <c r="B7" i="18"/>
  <c r="B10" i="18" s="1"/>
  <c r="B15" i="18" s="1"/>
  <c r="D28" i="18"/>
  <c r="D5" i="39"/>
  <c r="D19" i="18"/>
  <c r="C5" i="39"/>
  <c r="C19" i="18"/>
  <c r="C28" i="18"/>
  <c r="C29" i="18" s="1"/>
  <c r="N21" i="27"/>
  <c r="N10" i="39"/>
  <c r="H33" i="39"/>
  <c r="H19" i="39"/>
  <c r="M23" i="35"/>
  <c r="N24" i="35"/>
  <c r="O23" i="35"/>
  <c r="L24" i="35"/>
  <c r="M24" i="35"/>
  <c r="L23" i="35"/>
  <c r="N23" i="35"/>
  <c r="O24" i="35"/>
  <c r="S52" i="34"/>
  <c r="H52" i="34"/>
  <c r="M50" i="19"/>
  <c r="B52" i="34"/>
  <c r="R52" i="34"/>
  <c r="O52" i="34"/>
  <c r="J52" i="34"/>
  <c r="E52" i="34"/>
  <c r="M52" i="34"/>
  <c r="W52" i="34"/>
  <c r="I52" i="34"/>
  <c r="Y52" i="34"/>
  <c r="X52" i="34"/>
  <c r="C52" i="34"/>
  <c r="G52" i="34"/>
  <c r="N52" i="34"/>
  <c r="T52" i="34"/>
  <c r="V52" i="34"/>
  <c r="Q52" i="34"/>
  <c r="D52" i="34"/>
  <c r="L52" i="34"/>
  <c r="M29" i="27"/>
  <c r="AD29" i="36"/>
  <c r="N8" i="35"/>
  <c r="M8" i="35"/>
  <c r="O8" i="35"/>
  <c r="L8" i="35"/>
  <c r="O177" i="1"/>
  <c r="N16" i="20" s="1"/>
  <c r="E8" i="26"/>
  <c r="F8" i="35"/>
  <c r="Y22" i="34"/>
  <c r="X22" i="34"/>
  <c r="W22" i="34"/>
  <c r="V22" i="34"/>
  <c r="E9" i="26"/>
  <c r="F9" i="35"/>
  <c r="F9" i="26"/>
  <c r="K9" i="35"/>
  <c r="K8" i="26"/>
  <c r="AB8" i="35"/>
  <c r="F8" i="26"/>
  <c r="F7" i="26" s="1"/>
  <c r="K7" i="36" s="1"/>
  <c r="K8" i="35"/>
  <c r="E32" i="20"/>
  <c r="F32" i="20" s="1"/>
  <c r="H8" i="26"/>
  <c r="U8" i="35"/>
  <c r="L9" i="26"/>
  <c r="AC9" i="35"/>
  <c r="H9" i="26"/>
  <c r="U9" i="35"/>
  <c r="J9" i="26"/>
  <c r="AA9" i="35"/>
  <c r="L8" i="26"/>
  <c r="AC8" i="35"/>
  <c r="I9" i="26"/>
  <c r="Z9" i="35"/>
  <c r="Q22" i="34"/>
  <c r="R22" i="34"/>
  <c r="S22" i="34"/>
  <c r="T22" i="34"/>
  <c r="O22" i="34"/>
  <c r="M22" i="34"/>
  <c r="N22" i="34"/>
  <c r="L22" i="34"/>
  <c r="H22" i="34"/>
  <c r="I22" i="34"/>
  <c r="J22" i="34"/>
  <c r="G22" i="34"/>
  <c r="E22" i="34"/>
  <c r="C22" i="34"/>
  <c r="B22" i="34"/>
  <c r="D22" i="34"/>
  <c r="G18" i="19"/>
  <c r="P18" i="34"/>
  <c r="H18" i="19"/>
  <c r="U18" i="34"/>
  <c r="J18" i="19"/>
  <c r="AA18" i="34"/>
  <c r="F18" i="19"/>
  <c r="K18" i="34"/>
  <c r="I18" i="19"/>
  <c r="Z18" i="34"/>
  <c r="E18" i="19"/>
  <c r="F18" i="34"/>
  <c r="K18" i="19"/>
  <c r="AB18" i="34"/>
  <c r="L18" i="19"/>
  <c r="AC18" i="34"/>
  <c r="I31" i="25"/>
  <c r="I21" i="39" s="1"/>
  <c r="F19" i="20"/>
  <c r="M24" i="16"/>
  <c r="M9" i="18" s="1"/>
  <c r="M9" i="39" s="1"/>
  <c r="E31" i="16"/>
  <c r="E39" i="16" s="1"/>
  <c r="E44" i="14" s="1"/>
  <c r="F183" i="1"/>
  <c r="E38" i="20" s="1"/>
  <c r="L26" i="16"/>
  <c r="I26" i="16"/>
  <c r="J176" i="1"/>
  <c r="H26" i="16"/>
  <c r="I176" i="1"/>
  <c r="G26" i="16"/>
  <c r="H176" i="1"/>
  <c r="F26" i="16"/>
  <c r="G176" i="1"/>
  <c r="J26" i="16"/>
  <c r="K176" i="1"/>
  <c r="K26" i="16"/>
  <c r="L176" i="1"/>
  <c r="J31" i="20"/>
  <c r="L39" i="8"/>
  <c r="O168" i="1"/>
  <c r="N20" i="12" s="1"/>
  <c r="N24" i="16" s="1"/>
  <c r="N9" i="18" s="1"/>
  <c r="N9" i="39" s="1"/>
  <c r="N10" i="20"/>
  <c r="J13" i="9"/>
  <c r="J19" i="9" s="1"/>
  <c r="J7" i="17" s="1"/>
  <c r="AA8" i="35" s="1"/>
  <c r="N48" i="19"/>
  <c r="N50" i="19" s="1"/>
  <c r="E6" i="17"/>
  <c r="M7" i="15"/>
  <c r="M6" i="15" s="1"/>
  <c r="M12" i="15"/>
  <c r="M29" i="17" s="1"/>
  <c r="AD45" i="35" s="1"/>
  <c r="M26" i="9"/>
  <c r="M7" i="17"/>
  <c r="AD8" i="35" s="1"/>
  <c r="AD7" i="35" s="1"/>
  <c r="M34" i="9"/>
  <c r="M15" i="17" s="1"/>
  <c r="M9" i="17" s="1"/>
  <c r="N193" i="1" s="1"/>
  <c r="N196" i="1" s="1"/>
  <c r="M27" i="9"/>
  <c r="M19" i="17" s="1"/>
  <c r="AD18" i="35" s="1"/>
  <c r="I13" i="9"/>
  <c r="I19" i="9" s="1"/>
  <c r="I7" i="17" s="1"/>
  <c r="Z8" i="35" s="1"/>
  <c r="N22" i="9"/>
  <c r="N7" i="17"/>
  <c r="AE8" i="35" s="1"/>
  <c r="AE7" i="35" s="1"/>
  <c r="G22" i="9"/>
  <c r="G8" i="17"/>
  <c r="P9" i="35" s="1"/>
  <c r="F6" i="17"/>
  <c r="G192" i="1" s="1"/>
  <c r="K14" i="9"/>
  <c r="K16" i="9" s="1"/>
  <c r="K21" i="9" s="1"/>
  <c r="K8" i="17" s="1"/>
  <c r="AB9" i="35" s="1"/>
  <c r="M28" i="9"/>
  <c r="M21" i="17" s="1"/>
  <c r="AD20" i="35" s="1"/>
  <c r="H6" i="17"/>
  <c r="L6" i="17"/>
  <c r="C27" i="7"/>
  <c r="C32" i="7" s="1"/>
  <c r="C7" i="11"/>
  <c r="C10" i="11" s="1"/>
  <c r="C15" i="11" s="1"/>
  <c r="D27" i="7"/>
  <c r="D32" i="7" s="1"/>
  <c r="D7" i="11"/>
  <c r="D10" i="11" s="1"/>
  <c r="D15" i="11" s="1"/>
  <c r="B27" i="7"/>
  <c r="B32" i="7" s="1"/>
  <c r="B7" i="11"/>
  <c r="B10" i="11" s="1"/>
  <c r="B15" i="11" s="1"/>
  <c r="L22" i="9"/>
  <c r="E22" i="9"/>
  <c r="F22" i="9"/>
  <c r="H22" i="9"/>
  <c r="B54" i="39" l="1"/>
  <c r="B63" i="39" s="1"/>
  <c r="D29" i="18"/>
  <c r="B180" i="1"/>
  <c r="B181" i="1"/>
  <c r="B179" i="1"/>
  <c r="B178" i="1"/>
  <c r="L178" i="1" s="1"/>
  <c r="K17" i="20" s="1"/>
  <c r="B28" i="18"/>
  <c r="B29" i="18" s="1"/>
  <c r="B5" i="39"/>
  <c r="I33" i="39"/>
  <c r="I19" i="39"/>
  <c r="P24" i="35"/>
  <c r="W23" i="35"/>
  <c r="X24" i="35"/>
  <c r="V24" i="35"/>
  <c r="W24" i="35"/>
  <c r="V23" i="35"/>
  <c r="X23" i="35"/>
  <c r="Y24" i="35"/>
  <c r="Y23" i="35"/>
  <c r="H23" i="35"/>
  <c r="I24" i="35"/>
  <c r="J24" i="35"/>
  <c r="G24" i="35"/>
  <c r="H24" i="35"/>
  <c r="G23" i="35"/>
  <c r="I23" i="35"/>
  <c r="J23" i="35"/>
  <c r="C23" i="35"/>
  <c r="E23" i="35"/>
  <c r="B24" i="35"/>
  <c r="B23" i="35"/>
  <c r="C24" i="35"/>
  <c r="D24" i="35"/>
  <c r="D23" i="35"/>
  <c r="E24" i="35"/>
  <c r="R23" i="35"/>
  <c r="S24" i="35"/>
  <c r="T23" i="35"/>
  <c r="R24" i="35"/>
  <c r="Q23" i="35"/>
  <c r="S23" i="35"/>
  <c r="T24" i="35"/>
  <c r="Q24" i="35"/>
  <c r="P23" i="35"/>
  <c r="E29" i="20"/>
  <c r="H7" i="26"/>
  <c r="U7" i="36" s="1"/>
  <c r="AE29" i="36"/>
  <c r="E7" i="26"/>
  <c r="P7" i="35"/>
  <c r="O9" i="35"/>
  <c r="O7" i="35" s="1"/>
  <c r="M9" i="35"/>
  <c r="M7" i="35" s="1"/>
  <c r="L9" i="35"/>
  <c r="L7" i="35" s="1"/>
  <c r="N9" i="35"/>
  <c r="N7" i="35" s="1"/>
  <c r="Z7" i="35"/>
  <c r="X8" i="35"/>
  <c r="V8" i="35"/>
  <c r="W8" i="35"/>
  <c r="Y8" i="35"/>
  <c r="Q9" i="35"/>
  <c r="S9" i="35"/>
  <c r="T9" i="35"/>
  <c r="R9" i="35"/>
  <c r="T8" i="35"/>
  <c r="R8" i="35"/>
  <c r="Q8" i="35"/>
  <c r="S8" i="35"/>
  <c r="Y9" i="35"/>
  <c r="W9" i="35"/>
  <c r="V9" i="35"/>
  <c r="X9" i="35"/>
  <c r="U7" i="35"/>
  <c r="L7" i="26"/>
  <c r="AC7" i="36" s="1"/>
  <c r="C9" i="35"/>
  <c r="D9" i="35"/>
  <c r="E9" i="35"/>
  <c r="B9" i="35"/>
  <c r="B8" i="35"/>
  <c r="C8" i="35"/>
  <c r="E8" i="35"/>
  <c r="D8" i="35"/>
  <c r="F7" i="35"/>
  <c r="AA7" i="35"/>
  <c r="Y18" i="34"/>
  <c r="X18" i="34"/>
  <c r="W18" i="34"/>
  <c r="V18" i="34"/>
  <c r="J8" i="35"/>
  <c r="G8" i="35"/>
  <c r="I8" i="35"/>
  <c r="H8" i="35"/>
  <c r="K7" i="35"/>
  <c r="H9" i="35"/>
  <c r="I9" i="35"/>
  <c r="G9" i="35"/>
  <c r="J9" i="35"/>
  <c r="AC7" i="35"/>
  <c r="AB7" i="35"/>
  <c r="Q18" i="34"/>
  <c r="S18" i="34"/>
  <c r="R18" i="34"/>
  <c r="T18" i="34"/>
  <c r="O18" i="34"/>
  <c r="M18" i="34"/>
  <c r="N18" i="34"/>
  <c r="L18" i="34"/>
  <c r="I18" i="34"/>
  <c r="H18" i="34"/>
  <c r="J18" i="34"/>
  <c r="G18" i="34"/>
  <c r="B18" i="34"/>
  <c r="C18" i="34"/>
  <c r="E18" i="34"/>
  <c r="D18" i="34"/>
  <c r="K178" i="1"/>
  <c r="J17" i="20" s="1"/>
  <c r="K180" i="1"/>
  <c r="J15" i="20" s="1"/>
  <c r="H179" i="1"/>
  <c r="G13" i="20" s="1"/>
  <c r="G13" i="25" s="1"/>
  <c r="H178" i="1"/>
  <c r="G17" i="20" s="1"/>
  <c r="H180" i="1"/>
  <c r="G15" i="20" s="1"/>
  <c r="J180" i="1"/>
  <c r="I15" i="20" s="1"/>
  <c r="J179" i="1"/>
  <c r="I13" i="20" s="1"/>
  <c r="I13" i="25" s="1"/>
  <c r="L180" i="1"/>
  <c r="K15" i="20" s="1"/>
  <c r="G178" i="1"/>
  <c r="F17" i="20" s="1"/>
  <c r="G180" i="1"/>
  <c r="F15" i="20" s="1"/>
  <c r="I180" i="1"/>
  <c r="H15" i="20" s="1"/>
  <c r="I179" i="1"/>
  <c r="H13" i="20" s="1"/>
  <c r="H13" i="25" s="1"/>
  <c r="J31" i="25"/>
  <c r="J21" i="39" s="1"/>
  <c r="G19" i="20"/>
  <c r="G32" i="20"/>
  <c r="F29" i="20"/>
  <c r="N9" i="20"/>
  <c r="N10" i="25"/>
  <c r="N9" i="25" s="1"/>
  <c r="I6" i="17"/>
  <c r="I6" i="18" s="1"/>
  <c r="I8" i="26"/>
  <c r="I7" i="26" s="1"/>
  <c r="Z7" i="36" s="1"/>
  <c r="M14" i="18"/>
  <c r="M20" i="26"/>
  <c r="M12" i="18"/>
  <c r="M18" i="26"/>
  <c r="J6" i="17"/>
  <c r="J6" i="18" s="1"/>
  <c r="J8" i="26"/>
  <c r="J7" i="26" s="1"/>
  <c r="AA7" i="36" s="1"/>
  <c r="F7" i="27"/>
  <c r="M48" i="23"/>
  <c r="M36" i="23"/>
  <c r="N29" i="27"/>
  <c r="G6" i="17"/>
  <c r="H192" i="1" s="1"/>
  <c r="H200" i="1" s="1"/>
  <c r="G46" i="23" s="1"/>
  <c r="G9" i="26"/>
  <c r="G7" i="26" s="1"/>
  <c r="P7" i="36" s="1"/>
  <c r="M18" i="18"/>
  <c r="M43" i="26"/>
  <c r="K6" i="17"/>
  <c r="L192" i="1" s="1"/>
  <c r="L200" i="1" s="1"/>
  <c r="K9" i="26"/>
  <c r="K7" i="26" s="1"/>
  <c r="AB7" i="36" s="1"/>
  <c r="N6" i="17"/>
  <c r="O192" i="1" s="1"/>
  <c r="O194" i="1" s="1"/>
  <c r="N8" i="26"/>
  <c r="N7" i="26" s="1"/>
  <c r="AE7" i="36" s="1"/>
  <c r="M6" i="17"/>
  <c r="N192" i="1" s="1"/>
  <c r="M8" i="26"/>
  <c r="M7" i="26" s="1"/>
  <c r="AD7" i="36" s="1"/>
  <c r="M9" i="16"/>
  <c r="N176" i="1" s="1"/>
  <c r="G200" i="1"/>
  <c r="F46" i="23" s="1"/>
  <c r="G194" i="1"/>
  <c r="E48" i="16"/>
  <c r="E6" i="18"/>
  <c r="F192" i="1"/>
  <c r="H6" i="18"/>
  <c r="I192" i="1"/>
  <c r="L6" i="18"/>
  <c r="M192" i="1"/>
  <c r="K31" i="16"/>
  <c r="K48" i="16" s="1"/>
  <c r="F31" i="16"/>
  <c r="F39" i="16" s="1"/>
  <c r="G31" i="16"/>
  <c r="G48" i="16" s="1"/>
  <c r="I31" i="16"/>
  <c r="I39" i="16" s="1"/>
  <c r="I44" i="14" s="1"/>
  <c r="J31" i="16"/>
  <c r="J39" i="16" s="1"/>
  <c r="J44" i="14" s="1"/>
  <c r="J21" i="14" s="1"/>
  <c r="H31" i="16"/>
  <c r="H48" i="16" s="1"/>
  <c r="L31" i="16"/>
  <c r="G7" i="15"/>
  <c r="G6" i="15" s="1"/>
  <c r="N7" i="15"/>
  <c r="N6" i="15" s="1"/>
  <c r="L181" i="1"/>
  <c r="K36" i="20" s="1"/>
  <c r="L183" i="1"/>
  <c r="G181" i="1"/>
  <c r="F36" i="20" s="1"/>
  <c r="G183" i="1"/>
  <c r="F38" i="20" s="1"/>
  <c r="H181" i="1"/>
  <c r="G36" i="20" s="1"/>
  <c r="H183" i="1"/>
  <c r="J181" i="1"/>
  <c r="I36" i="20" s="1"/>
  <c r="J183" i="1"/>
  <c r="M183" i="1"/>
  <c r="N22" i="12"/>
  <c r="N30" i="12" s="1"/>
  <c r="K181" i="1"/>
  <c r="J36" i="20" s="1"/>
  <c r="K183" i="1"/>
  <c r="I181" i="1"/>
  <c r="H36" i="20" s="1"/>
  <c r="I183" i="1"/>
  <c r="N9" i="16"/>
  <c r="O176" i="1" s="1"/>
  <c r="K31" i="20"/>
  <c r="M39" i="8"/>
  <c r="J22" i="9"/>
  <c r="D40" i="7"/>
  <c r="D49" i="7"/>
  <c r="C40" i="7"/>
  <c r="C49" i="7"/>
  <c r="M24" i="17"/>
  <c r="AD41" i="35" s="1"/>
  <c r="AD40" i="35" s="1"/>
  <c r="AD48" i="35" s="1"/>
  <c r="G27" i="9"/>
  <c r="G19" i="17" s="1"/>
  <c r="P18" i="35" s="1"/>
  <c r="G12" i="15"/>
  <c r="G29" i="17" s="1"/>
  <c r="P45" i="35" s="1"/>
  <c r="I22" i="9"/>
  <c r="N28" i="9"/>
  <c r="N21" i="17" s="1"/>
  <c r="AE20" i="35" s="1"/>
  <c r="N34" i="9"/>
  <c r="N15" i="17" s="1"/>
  <c r="N9" i="17" s="1"/>
  <c r="O193" i="1" s="1"/>
  <c r="O196" i="1" s="1"/>
  <c r="N12" i="15"/>
  <c r="N29" i="17" s="1"/>
  <c r="AE45" i="35" s="1"/>
  <c r="G28" i="9"/>
  <c r="G21" i="17" s="1"/>
  <c r="P20" i="35" s="1"/>
  <c r="G26" i="9"/>
  <c r="M29" i="9"/>
  <c r="M30" i="9" s="1"/>
  <c r="M20" i="17" s="1"/>
  <c r="AD19" i="35" s="1"/>
  <c r="G34" i="9"/>
  <c r="G15" i="17" s="1"/>
  <c r="G7" i="18" s="1"/>
  <c r="B49" i="7"/>
  <c r="F6" i="18"/>
  <c r="N27" i="9"/>
  <c r="N19" i="17" s="1"/>
  <c r="AE18" i="35" s="1"/>
  <c r="K22" i="9"/>
  <c r="N26" i="9"/>
  <c r="H7" i="15"/>
  <c r="H12" i="15"/>
  <c r="H29" i="17" s="1"/>
  <c r="U45" i="35" s="1"/>
  <c r="E7" i="15"/>
  <c r="E12" i="15"/>
  <c r="E29" i="17" s="1"/>
  <c r="F45" i="35" s="1"/>
  <c r="L7" i="15"/>
  <c r="L12" i="15"/>
  <c r="L29" i="17" s="1"/>
  <c r="AC45" i="35" s="1"/>
  <c r="F12" i="15"/>
  <c r="F29" i="17" s="1"/>
  <c r="K45" i="35" s="1"/>
  <c r="F7" i="15"/>
  <c r="H34" i="9"/>
  <c r="H15" i="17" s="1"/>
  <c r="E34" i="9"/>
  <c r="E15" i="17" s="1"/>
  <c r="L34" i="9"/>
  <c r="L15" i="17" s="1"/>
  <c r="F34" i="9"/>
  <c r="F15" i="17" s="1"/>
  <c r="H26" i="9"/>
  <c r="H28" i="9"/>
  <c r="H21" i="17" s="1"/>
  <c r="U20" i="35" s="1"/>
  <c r="H27" i="9"/>
  <c r="H19" i="17" s="1"/>
  <c r="U18" i="35" s="1"/>
  <c r="E26" i="9"/>
  <c r="E28" i="9"/>
  <c r="E21" i="17" s="1"/>
  <c r="F20" i="35" s="1"/>
  <c r="E27" i="9"/>
  <c r="E19" i="17" s="1"/>
  <c r="F18" i="35" s="1"/>
  <c r="L26" i="9"/>
  <c r="L28" i="9"/>
  <c r="L21" i="17" s="1"/>
  <c r="AC20" i="35" s="1"/>
  <c r="L27" i="9"/>
  <c r="L19" i="17" s="1"/>
  <c r="AC18" i="35" s="1"/>
  <c r="F26" i="9"/>
  <c r="F27" i="9"/>
  <c r="F19" i="17" s="1"/>
  <c r="K18" i="35" s="1"/>
  <c r="F28" i="9"/>
  <c r="F21" i="17" s="1"/>
  <c r="K20" i="35" s="1"/>
  <c r="M179" i="1" l="1"/>
  <c r="L13" i="20" s="1"/>
  <c r="L13" i="25" s="1"/>
  <c r="F179" i="1"/>
  <c r="E13" i="20" s="1"/>
  <c r="E13" i="25" s="1"/>
  <c r="F181" i="1"/>
  <c r="E36" i="20" s="1"/>
  <c r="E49" i="20" s="1"/>
  <c r="M181" i="1"/>
  <c r="L36" i="20" s="1"/>
  <c r="L49" i="20" s="1"/>
  <c r="M178" i="1"/>
  <c r="L17" i="20" s="1"/>
  <c r="F178" i="1"/>
  <c r="E17" i="20" s="1"/>
  <c r="J178" i="1"/>
  <c r="I17" i="20" s="1"/>
  <c r="I178" i="1"/>
  <c r="H17" i="20" s="1"/>
  <c r="G179" i="1"/>
  <c r="F13" i="20" s="1"/>
  <c r="F13" i="25" s="1"/>
  <c r="L179" i="1"/>
  <c r="K13" i="20" s="1"/>
  <c r="K13" i="25" s="1"/>
  <c r="K179" i="1"/>
  <c r="J13" i="20" s="1"/>
  <c r="J13" i="25" s="1"/>
  <c r="M180" i="1"/>
  <c r="L15" i="20" s="1"/>
  <c r="F180" i="1"/>
  <c r="E15" i="20" s="1"/>
  <c r="K49" i="16"/>
  <c r="G49" i="16"/>
  <c r="H49" i="16"/>
  <c r="E49" i="16"/>
  <c r="J33" i="39"/>
  <c r="J19" i="39"/>
  <c r="I7" i="35"/>
  <c r="I7" i="36" s="1"/>
  <c r="K24" i="35"/>
  <c r="H7" i="27"/>
  <c r="F24" i="35"/>
  <c r="Z24" i="35"/>
  <c r="U24" i="35"/>
  <c r="U23" i="35"/>
  <c r="O7" i="36"/>
  <c r="L7" i="36"/>
  <c r="K23" i="35"/>
  <c r="F23" i="35"/>
  <c r="Z23" i="35"/>
  <c r="L7" i="27"/>
  <c r="R7" i="35"/>
  <c r="E7" i="27"/>
  <c r="F7" i="36"/>
  <c r="S7" i="35"/>
  <c r="C7" i="35"/>
  <c r="Q7" i="35"/>
  <c r="T7" i="35"/>
  <c r="V7" i="35"/>
  <c r="O20" i="35"/>
  <c r="M20" i="35"/>
  <c r="N20" i="35"/>
  <c r="L20" i="35"/>
  <c r="X7" i="35"/>
  <c r="S18" i="35"/>
  <c r="R18" i="35"/>
  <c r="T18" i="35"/>
  <c r="Q18" i="35"/>
  <c r="G45" i="35"/>
  <c r="J45" i="35"/>
  <c r="H45" i="35"/>
  <c r="I45" i="35"/>
  <c r="M45" i="35"/>
  <c r="N45" i="35"/>
  <c r="O45" i="35"/>
  <c r="L45" i="35"/>
  <c r="N7" i="36"/>
  <c r="Y7" i="35"/>
  <c r="S20" i="35"/>
  <c r="R20" i="35"/>
  <c r="T20" i="35"/>
  <c r="Q20" i="35"/>
  <c r="S45" i="35"/>
  <c r="Q45" i="35"/>
  <c r="R45" i="35"/>
  <c r="T45" i="35"/>
  <c r="M18" i="35"/>
  <c r="O18" i="35"/>
  <c r="N18" i="35"/>
  <c r="L18" i="35"/>
  <c r="M7" i="36"/>
  <c r="R7" i="36"/>
  <c r="W7" i="35"/>
  <c r="G7" i="35"/>
  <c r="D7" i="35"/>
  <c r="B7" i="35"/>
  <c r="H20" i="35"/>
  <c r="J20" i="35"/>
  <c r="I20" i="35"/>
  <c r="G20" i="35"/>
  <c r="B45" i="35"/>
  <c r="C45" i="35"/>
  <c r="E45" i="35"/>
  <c r="D45" i="35"/>
  <c r="B18" i="35"/>
  <c r="C18" i="35"/>
  <c r="E18" i="35"/>
  <c r="D18" i="35"/>
  <c r="C20" i="35"/>
  <c r="D20" i="35"/>
  <c r="B20" i="35"/>
  <c r="E20" i="35"/>
  <c r="J7" i="35"/>
  <c r="E7" i="35"/>
  <c r="I18" i="35"/>
  <c r="G18" i="35"/>
  <c r="J18" i="35"/>
  <c r="H18" i="35"/>
  <c r="H7" i="35"/>
  <c r="H15" i="25"/>
  <c r="H46" i="20"/>
  <c r="K15" i="25"/>
  <c r="I48" i="20"/>
  <c r="I47" i="20"/>
  <c r="F15" i="25"/>
  <c r="F46" i="20"/>
  <c r="K48" i="20"/>
  <c r="K47" i="20"/>
  <c r="I15" i="25"/>
  <c r="I46" i="20"/>
  <c r="J15" i="25"/>
  <c r="J46" i="20"/>
  <c r="N180" i="1"/>
  <c r="M15" i="20" s="1"/>
  <c r="N178" i="1"/>
  <c r="M17" i="20" s="1"/>
  <c r="N179" i="1"/>
  <c r="M13" i="20" s="1"/>
  <c r="M13" i="25" s="1"/>
  <c r="H47" i="20"/>
  <c r="H48" i="20"/>
  <c r="G15" i="25"/>
  <c r="G46" i="20"/>
  <c r="O178" i="1"/>
  <c r="N17" i="20" s="1"/>
  <c r="O179" i="1"/>
  <c r="N13" i="20" s="1"/>
  <c r="N13" i="25" s="1"/>
  <c r="O180" i="1"/>
  <c r="N15" i="20" s="1"/>
  <c r="F47" i="20"/>
  <c r="F48" i="20"/>
  <c r="G48" i="20"/>
  <c r="G47" i="20"/>
  <c r="J47" i="20"/>
  <c r="J48" i="20"/>
  <c r="G6" i="18"/>
  <c r="G10" i="18" s="1"/>
  <c r="M16" i="17"/>
  <c r="M22" i="17" s="1"/>
  <c r="M39" i="17" s="1"/>
  <c r="M40" i="17" s="1"/>
  <c r="M6" i="18"/>
  <c r="L194" i="1"/>
  <c r="K47" i="23" s="1"/>
  <c r="J192" i="1"/>
  <c r="J194" i="1" s="1"/>
  <c r="H197" i="1"/>
  <c r="H194" i="1"/>
  <c r="G16" i="23" s="1"/>
  <c r="G38" i="20"/>
  <c r="M26" i="16"/>
  <c r="M31" i="16" s="1"/>
  <c r="M39" i="16" s="1"/>
  <c r="M44" i="14" s="1"/>
  <c r="J49" i="20"/>
  <c r="I49" i="20"/>
  <c r="F49" i="20"/>
  <c r="O200" i="1"/>
  <c r="N46" i="23" s="1"/>
  <c r="H19" i="20"/>
  <c r="N6" i="18"/>
  <c r="K31" i="25"/>
  <c r="K21" i="39" s="1"/>
  <c r="H49" i="20"/>
  <c r="G49" i="20"/>
  <c r="K49" i="20"/>
  <c r="H32" i="20"/>
  <c r="G29" i="20"/>
  <c r="G39" i="16"/>
  <c r="G44" i="14" s="1"/>
  <c r="G21" i="14" s="1"/>
  <c r="K46" i="23"/>
  <c r="L195" i="1"/>
  <c r="K17" i="23" s="1"/>
  <c r="K17" i="25" s="1"/>
  <c r="L14" i="18"/>
  <c r="L20" i="26"/>
  <c r="N12" i="18"/>
  <c r="N18" i="26"/>
  <c r="N18" i="18"/>
  <c r="N43" i="26"/>
  <c r="F12" i="18"/>
  <c r="F18" i="26"/>
  <c r="H12" i="18"/>
  <c r="H18" i="26"/>
  <c r="F18" i="18"/>
  <c r="F43" i="26"/>
  <c r="N48" i="23"/>
  <c r="N36" i="23"/>
  <c r="G195" i="1"/>
  <c r="F17" i="23" s="1"/>
  <c r="F17" i="25" s="1"/>
  <c r="N7" i="27"/>
  <c r="E12" i="18"/>
  <c r="E18" i="26"/>
  <c r="H14" i="18"/>
  <c r="H20" i="26"/>
  <c r="L18" i="18"/>
  <c r="L43" i="26"/>
  <c r="H18" i="18"/>
  <c r="H43" i="26"/>
  <c r="K6" i="18"/>
  <c r="N14" i="18"/>
  <c r="N20" i="26"/>
  <c r="K192" i="1"/>
  <c r="K200" i="1" s="1"/>
  <c r="J46" i="23" s="1"/>
  <c r="M7" i="27"/>
  <c r="G7" i="27"/>
  <c r="F14" i="18"/>
  <c r="F20" i="26"/>
  <c r="E18" i="18"/>
  <c r="E43" i="26"/>
  <c r="G18" i="18"/>
  <c r="G43" i="26"/>
  <c r="M11" i="18"/>
  <c r="M19" i="26"/>
  <c r="G12" i="18"/>
  <c r="G18" i="26"/>
  <c r="N47" i="23"/>
  <c r="N16" i="23"/>
  <c r="L12" i="18"/>
  <c r="L18" i="26"/>
  <c r="E14" i="18"/>
  <c r="E20" i="26"/>
  <c r="G14" i="18"/>
  <c r="G20" i="26"/>
  <c r="M23" i="17"/>
  <c r="M16" i="18" s="1"/>
  <c r="M39" i="26"/>
  <c r="M38" i="26" s="1"/>
  <c r="AD25" i="36" s="1"/>
  <c r="AD30" i="36" s="1"/>
  <c r="F47" i="23"/>
  <c r="F16" i="23"/>
  <c r="K7" i="27"/>
  <c r="J7" i="27"/>
  <c r="I7" i="27"/>
  <c r="H195" i="1"/>
  <c r="G17" i="23" s="1"/>
  <c r="G17" i="25" s="1"/>
  <c r="M7" i="18"/>
  <c r="F48" i="16"/>
  <c r="O197" i="1"/>
  <c r="N194" i="1"/>
  <c r="N200" i="1"/>
  <c r="M46" i="23" s="1"/>
  <c r="M194" i="1"/>
  <c r="M200" i="1"/>
  <c r="L46" i="23" s="1"/>
  <c r="F194" i="1"/>
  <c r="E16" i="23" s="1"/>
  <c r="F200" i="1"/>
  <c r="G24" i="17"/>
  <c r="P41" i="35" s="1"/>
  <c r="I194" i="1"/>
  <c r="I200" i="1"/>
  <c r="H46" i="23" s="1"/>
  <c r="G197" i="1"/>
  <c r="H39" i="16"/>
  <c r="H44" i="14" s="1"/>
  <c r="H21" i="14" s="1"/>
  <c r="K39" i="16"/>
  <c r="K44" i="14" s="1"/>
  <c r="K21" i="14" s="1"/>
  <c r="K40" i="16" s="1"/>
  <c r="AB17" i="34" s="1"/>
  <c r="I197" i="1"/>
  <c r="N197" i="1"/>
  <c r="N16" i="17"/>
  <c r="M197" i="1"/>
  <c r="F197" i="1"/>
  <c r="I48" i="16"/>
  <c r="L48" i="16"/>
  <c r="L39" i="16"/>
  <c r="L44" i="14" s="1"/>
  <c r="L21" i="14" s="1"/>
  <c r="N24" i="17"/>
  <c r="AE41" i="35" s="1"/>
  <c r="AE40" i="35" s="1"/>
  <c r="AE48" i="35" s="1"/>
  <c r="J48" i="16"/>
  <c r="F33" i="20"/>
  <c r="J12" i="15"/>
  <c r="J29" i="17" s="1"/>
  <c r="AA45" i="35" s="1"/>
  <c r="K12" i="15"/>
  <c r="K29" i="17" s="1"/>
  <c r="AB45" i="35" s="1"/>
  <c r="I26" i="9"/>
  <c r="N181" i="1"/>
  <c r="M36" i="20" s="1"/>
  <c r="N183" i="1"/>
  <c r="O181" i="1"/>
  <c r="N36" i="20" s="1"/>
  <c r="O183" i="1"/>
  <c r="N26" i="16"/>
  <c r="J26" i="9"/>
  <c r="J34" i="9"/>
  <c r="J15" i="17" s="1"/>
  <c r="J9" i="17" s="1"/>
  <c r="K193" i="1" s="1"/>
  <c r="K196" i="1" s="1"/>
  <c r="J27" i="9"/>
  <c r="J19" i="17" s="1"/>
  <c r="AA18" i="35" s="1"/>
  <c r="J7" i="15"/>
  <c r="J6" i="15" s="1"/>
  <c r="J28" i="9"/>
  <c r="J21" i="17" s="1"/>
  <c r="AA20" i="35" s="1"/>
  <c r="L31" i="20"/>
  <c r="N39" i="8"/>
  <c r="D44" i="14"/>
  <c r="D41" i="7"/>
  <c r="D42" i="7" s="1"/>
  <c r="C44" i="14"/>
  <c r="C41" i="7"/>
  <c r="C42" i="7" s="1"/>
  <c r="N43" i="9"/>
  <c r="J40" i="16"/>
  <c r="AA17" i="34" s="1"/>
  <c r="I12" i="15"/>
  <c r="I29" i="17" s="1"/>
  <c r="Z45" i="35" s="1"/>
  <c r="I28" i="9"/>
  <c r="I21" i="17" s="1"/>
  <c r="Z20" i="35" s="1"/>
  <c r="I34" i="9"/>
  <c r="I15" i="17" s="1"/>
  <c r="N46" i="9"/>
  <c r="N45" i="9" s="1"/>
  <c r="G29" i="9"/>
  <c r="G30" i="9" s="1"/>
  <c r="G20" i="17" s="1"/>
  <c r="P19" i="35" s="1"/>
  <c r="I27" i="9"/>
  <c r="I19" i="17" s="1"/>
  <c r="Z18" i="35" s="1"/>
  <c r="N29" i="9"/>
  <c r="N30" i="9" s="1"/>
  <c r="N20" i="17" s="1"/>
  <c r="AE19" i="35" s="1"/>
  <c r="I7" i="15"/>
  <c r="G9" i="17"/>
  <c r="H193" i="1" s="1"/>
  <c r="H196" i="1" s="1"/>
  <c r="K26" i="9"/>
  <c r="N44" i="9"/>
  <c r="N7" i="18"/>
  <c r="E21" i="14"/>
  <c r="E7" i="18"/>
  <c r="E10" i="18" s="1"/>
  <c r="E9" i="17"/>
  <c r="F193" i="1" s="1"/>
  <c r="F196" i="1" s="1"/>
  <c r="E36" i="23" s="1"/>
  <c r="K27" i="9"/>
  <c r="K19" i="17" s="1"/>
  <c r="AB18" i="35" s="1"/>
  <c r="K34" i="9"/>
  <c r="K15" i="17" s="1"/>
  <c r="H9" i="17"/>
  <c r="I193" i="1" s="1"/>
  <c r="I196" i="1" s="1"/>
  <c r="H7" i="18"/>
  <c r="H10" i="18" s="1"/>
  <c r="K7" i="15"/>
  <c r="K6" i="15" s="1"/>
  <c r="F9" i="17"/>
  <c r="G193" i="1" s="1"/>
  <c r="G196" i="1" s="1"/>
  <c r="F7" i="18"/>
  <c r="F10" i="18" s="1"/>
  <c r="K28" i="9"/>
  <c r="K21" i="17" s="1"/>
  <c r="AB20" i="35" s="1"/>
  <c r="L9" i="17"/>
  <c r="M193" i="1" s="1"/>
  <c r="M196" i="1" s="1"/>
  <c r="L7" i="18"/>
  <c r="L10" i="18" s="1"/>
  <c r="I21" i="14"/>
  <c r="E6" i="15"/>
  <c r="E24" i="17"/>
  <c r="F41" i="35" s="1"/>
  <c r="C19" i="11"/>
  <c r="C28" i="11"/>
  <c r="F6" i="15"/>
  <c r="F24" i="17"/>
  <c r="K41" i="35" s="1"/>
  <c r="B28" i="11"/>
  <c r="L6" i="15"/>
  <c r="L24" i="17"/>
  <c r="AC41" i="35" s="1"/>
  <c r="AC40" i="35" s="1"/>
  <c r="AC48" i="35" s="1"/>
  <c r="H6" i="15"/>
  <c r="H24" i="17"/>
  <c r="U41" i="35" s="1"/>
  <c r="D19" i="11"/>
  <c r="D28" i="11"/>
  <c r="L29" i="9"/>
  <c r="L30" i="9" s="1"/>
  <c r="L20" i="17" s="1"/>
  <c r="E29" i="9"/>
  <c r="E30" i="9" s="1"/>
  <c r="F29" i="9"/>
  <c r="F30" i="9" s="1"/>
  <c r="F20" i="17" s="1"/>
  <c r="H29" i="9"/>
  <c r="H30" i="9" s="1"/>
  <c r="H20" i="17" s="1"/>
  <c r="L46" i="20" l="1"/>
  <c r="L15" i="25"/>
  <c r="E48" i="20"/>
  <c r="E47" i="20"/>
  <c r="K46" i="20"/>
  <c r="K50" i="20" s="1"/>
  <c r="E46" i="20"/>
  <c r="E50" i="20" s="1"/>
  <c r="E51" i="20" s="1"/>
  <c r="F25" i="34" s="1"/>
  <c r="B25" i="34" s="1"/>
  <c r="E15" i="25"/>
  <c r="L47" i="20"/>
  <c r="L48" i="20"/>
  <c r="J49" i="16"/>
  <c r="J50" i="16"/>
  <c r="I49" i="16"/>
  <c r="L49" i="16"/>
  <c r="F49" i="16"/>
  <c r="K50" i="16"/>
  <c r="K33" i="39"/>
  <c r="K19" i="39"/>
  <c r="G7" i="36"/>
  <c r="H7" i="36"/>
  <c r="D7" i="36"/>
  <c r="S7" i="36"/>
  <c r="E7" i="36"/>
  <c r="J7" i="36"/>
  <c r="Q7" i="36"/>
  <c r="Y7" i="36"/>
  <c r="T7" i="36"/>
  <c r="B7" i="36"/>
  <c r="C7" i="36"/>
  <c r="U40" i="35"/>
  <c r="U48" i="35" s="1"/>
  <c r="S41" i="35"/>
  <c r="S40" i="35" s="1"/>
  <c r="S48" i="35" s="1"/>
  <c r="T41" i="35"/>
  <c r="T40" i="35" s="1"/>
  <c r="T48" i="35" s="1"/>
  <c r="Q41" i="35"/>
  <c r="Q40" i="35" s="1"/>
  <c r="Q48" i="35" s="1"/>
  <c r="R41" i="35"/>
  <c r="R40" i="35" s="1"/>
  <c r="R48" i="35" s="1"/>
  <c r="W18" i="35"/>
  <c r="V18" i="35"/>
  <c r="Y18" i="35"/>
  <c r="X18" i="35"/>
  <c r="P40" i="35"/>
  <c r="P48" i="35" s="1"/>
  <c r="M41" i="35"/>
  <c r="M40" i="35" s="1"/>
  <c r="M48" i="35" s="1"/>
  <c r="N41" i="35"/>
  <c r="N40" i="35" s="1"/>
  <c r="N48" i="35" s="1"/>
  <c r="L41" i="35"/>
  <c r="L40" i="35" s="1"/>
  <c r="L48" i="35" s="1"/>
  <c r="O41" i="35"/>
  <c r="O40" i="35" s="1"/>
  <c r="O48" i="35" s="1"/>
  <c r="W7" i="36"/>
  <c r="Y20" i="35"/>
  <c r="W20" i="35"/>
  <c r="V20" i="35"/>
  <c r="X20" i="35"/>
  <c r="V7" i="36"/>
  <c r="J41" i="35"/>
  <c r="J40" i="35" s="1"/>
  <c r="J48" i="35" s="1"/>
  <c r="I41" i="35"/>
  <c r="I40" i="35" s="1"/>
  <c r="I48" i="35" s="1"/>
  <c r="H41" i="35"/>
  <c r="H40" i="35" s="1"/>
  <c r="H48" i="35" s="1"/>
  <c r="N19" i="35"/>
  <c r="L19" i="35"/>
  <c r="M19" i="35"/>
  <c r="O19" i="35"/>
  <c r="Y45" i="35"/>
  <c r="V45" i="35"/>
  <c r="W45" i="35"/>
  <c r="X45" i="35"/>
  <c r="X7" i="36"/>
  <c r="H19" i="26"/>
  <c r="U19" i="35"/>
  <c r="L19" i="26"/>
  <c r="AC19" i="35"/>
  <c r="G41" i="35"/>
  <c r="G40" i="35" s="1"/>
  <c r="G48" i="35" s="1"/>
  <c r="K40" i="35"/>
  <c r="K48" i="35" s="1"/>
  <c r="C41" i="35"/>
  <c r="C40" i="35" s="1"/>
  <c r="C48" i="35" s="1"/>
  <c r="D41" i="35"/>
  <c r="D40" i="35" s="1"/>
  <c r="D48" i="35" s="1"/>
  <c r="B41" i="35"/>
  <c r="B40" i="35" s="1"/>
  <c r="B48" i="35" s="1"/>
  <c r="E41" i="35"/>
  <c r="E40" i="35" s="1"/>
  <c r="E48" i="35" s="1"/>
  <c r="F40" i="35"/>
  <c r="F48" i="35" s="1"/>
  <c r="F19" i="26"/>
  <c r="K19" i="35"/>
  <c r="I50" i="20"/>
  <c r="D25" i="34"/>
  <c r="G50" i="20"/>
  <c r="J50" i="20"/>
  <c r="N15" i="25"/>
  <c r="N46" i="20"/>
  <c r="H50" i="20"/>
  <c r="H51" i="20" s="1"/>
  <c r="M47" i="20"/>
  <c r="M48" i="20"/>
  <c r="F50" i="20"/>
  <c r="N48" i="20"/>
  <c r="N47" i="20"/>
  <c r="M15" i="25"/>
  <c r="M46" i="20"/>
  <c r="G47" i="23"/>
  <c r="K16" i="23"/>
  <c r="K16" i="25" s="1"/>
  <c r="J200" i="1"/>
  <c r="I46" i="23" s="1"/>
  <c r="N10" i="18"/>
  <c r="M10" i="18"/>
  <c r="M15" i="18" s="1"/>
  <c r="N49" i="23"/>
  <c r="J197" i="1"/>
  <c r="O195" i="1"/>
  <c r="N17" i="23" s="1"/>
  <c r="N17" i="25" s="1"/>
  <c r="L31" i="25"/>
  <c r="L21" i="39" s="1"/>
  <c r="L197" i="1"/>
  <c r="I32" i="20"/>
  <c r="H29" i="20"/>
  <c r="I19" i="20"/>
  <c r="K197" i="1"/>
  <c r="E16" i="25"/>
  <c r="K194" i="1"/>
  <c r="J16" i="23" s="1"/>
  <c r="N49" i="20"/>
  <c r="N36" i="25"/>
  <c r="N16" i="25"/>
  <c r="E36" i="25"/>
  <c r="M49" i="20"/>
  <c r="M36" i="25"/>
  <c r="E38" i="23"/>
  <c r="E32" i="23"/>
  <c r="E19" i="23"/>
  <c r="F16" i="25"/>
  <c r="G16" i="25"/>
  <c r="H38" i="20"/>
  <c r="L23" i="17"/>
  <c r="L16" i="18" s="1"/>
  <c r="L39" i="26"/>
  <c r="L38" i="26" s="1"/>
  <c r="AC25" i="36" s="1"/>
  <c r="AC30" i="36" s="1"/>
  <c r="N11" i="18"/>
  <c r="N19" i="26"/>
  <c r="I47" i="23"/>
  <c r="I16" i="23"/>
  <c r="N195" i="1"/>
  <c r="M17" i="23" s="1"/>
  <c r="M17" i="25" s="1"/>
  <c r="K14" i="18"/>
  <c r="K20" i="26"/>
  <c r="I12" i="18"/>
  <c r="I18" i="26"/>
  <c r="J12" i="18"/>
  <c r="J18" i="26"/>
  <c r="K18" i="18"/>
  <c r="K43" i="26"/>
  <c r="H23" i="17"/>
  <c r="H16" i="18" s="1"/>
  <c r="H39" i="26"/>
  <c r="H38" i="26" s="1"/>
  <c r="U25" i="36" s="1"/>
  <c r="U30" i="36" s="1"/>
  <c r="H48" i="23"/>
  <c r="H36" i="23"/>
  <c r="G48" i="23"/>
  <c r="G36" i="23"/>
  <c r="G11" i="18"/>
  <c r="G15" i="18" s="1"/>
  <c r="G5" i="39" s="1"/>
  <c r="G19" i="26"/>
  <c r="I18" i="18"/>
  <c r="I43" i="26"/>
  <c r="J48" i="23"/>
  <c r="J36" i="23"/>
  <c r="G23" i="17"/>
  <c r="G16" i="18" s="1"/>
  <c r="G39" i="26"/>
  <c r="G38" i="26" s="1"/>
  <c r="P25" i="36" s="1"/>
  <c r="P30" i="36" s="1"/>
  <c r="F195" i="1"/>
  <c r="E17" i="23" s="1"/>
  <c r="L48" i="23"/>
  <c r="L36" i="23"/>
  <c r="K12" i="18"/>
  <c r="K18" i="26"/>
  <c r="I14" i="18"/>
  <c r="I20" i="26"/>
  <c r="H47" i="23"/>
  <c r="H16" i="23"/>
  <c r="M47" i="23"/>
  <c r="M49" i="23" s="1"/>
  <c r="M16" i="23"/>
  <c r="I195" i="1"/>
  <c r="H17" i="23" s="1"/>
  <c r="H17" i="25" s="1"/>
  <c r="F23" i="17"/>
  <c r="F16" i="18" s="1"/>
  <c r="F39" i="26"/>
  <c r="F38" i="26" s="1"/>
  <c r="K25" i="36" s="1"/>
  <c r="K30" i="36" s="1"/>
  <c r="E23" i="17"/>
  <c r="E16" i="18" s="1"/>
  <c r="E39" i="26"/>
  <c r="E38" i="26" s="1"/>
  <c r="F25" i="36" s="1"/>
  <c r="F30" i="36" s="1"/>
  <c r="F48" i="23"/>
  <c r="F49" i="23" s="1"/>
  <c r="F36" i="23"/>
  <c r="J14" i="18"/>
  <c r="J20" i="26"/>
  <c r="J18" i="18"/>
  <c r="J43" i="26"/>
  <c r="N23" i="17"/>
  <c r="N16" i="18" s="1"/>
  <c r="N39" i="26"/>
  <c r="N38" i="26" s="1"/>
  <c r="AE25" i="36" s="1"/>
  <c r="AE30" i="36" s="1"/>
  <c r="L47" i="23"/>
  <c r="L16" i="23"/>
  <c r="M46" i="26"/>
  <c r="M25" i="27"/>
  <c r="M30" i="27" s="1"/>
  <c r="K195" i="1"/>
  <c r="J17" i="23" s="1"/>
  <c r="J17" i="25" s="1"/>
  <c r="M195" i="1"/>
  <c r="L17" i="23" s="1"/>
  <c r="L17" i="25" s="1"/>
  <c r="E48" i="23"/>
  <c r="E47" i="23"/>
  <c r="E16" i="17"/>
  <c r="F16" i="17"/>
  <c r="F22" i="17" s="1"/>
  <c r="F39" i="17" s="1"/>
  <c r="F40" i="17" s="1"/>
  <c r="H16" i="17"/>
  <c r="H22" i="17" s="1"/>
  <c r="H39" i="17" s="1"/>
  <c r="H40" i="17" s="1"/>
  <c r="G16" i="17"/>
  <c r="G22" i="17" s="1"/>
  <c r="G39" i="17" s="1"/>
  <c r="G40" i="17" s="1"/>
  <c r="L16" i="17"/>
  <c r="L22" i="17" s="1"/>
  <c r="L39" i="17" s="1"/>
  <c r="L40" i="17" s="1"/>
  <c r="J16" i="17"/>
  <c r="N31" i="16"/>
  <c r="N48" i="16" s="1"/>
  <c r="M48" i="16"/>
  <c r="N198" i="1"/>
  <c r="J41" i="16"/>
  <c r="J45" i="14" s="1"/>
  <c r="J42" i="14" s="1"/>
  <c r="J17" i="19"/>
  <c r="K41" i="16"/>
  <c r="K45" i="14" s="1"/>
  <c r="K42" i="14" s="1"/>
  <c r="K17" i="19"/>
  <c r="G33" i="20"/>
  <c r="J29" i="9"/>
  <c r="J30" i="9" s="1"/>
  <c r="J20" i="17" s="1"/>
  <c r="J7" i="18"/>
  <c r="J10" i="18" s="1"/>
  <c r="J24" i="17"/>
  <c r="AA41" i="35" s="1"/>
  <c r="AA40" i="35" s="1"/>
  <c r="AA48" i="35" s="1"/>
  <c r="O39" i="8"/>
  <c r="N31" i="20" s="1"/>
  <c r="M31" i="20"/>
  <c r="N22" i="17"/>
  <c r="N39" i="17" s="1"/>
  <c r="N40" i="17" s="1"/>
  <c r="C45" i="7"/>
  <c r="C24" i="11" s="1"/>
  <c r="C44" i="7"/>
  <c r="C43" i="16" s="1"/>
  <c r="N42" i="9"/>
  <c r="N47" i="9" s="1"/>
  <c r="C20" i="18"/>
  <c r="C30" i="18" s="1"/>
  <c r="C40" i="16"/>
  <c r="C50" i="16" s="1"/>
  <c r="C21" i="14"/>
  <c r="C20" i="11"/>
  <c r="C21" i="11" s="1"/>
  <c r="D21" i="14"/>
  <c r="D40" i="16"/>
  <c r="D50" i="16" s="1"/>
  <c r="D20" i="18"/>
  <c r="D30" i="18" s="1"/>
  <c r="D20" i="11"/>
  <c r="D21" i="11" s="1"/>
  <c r="D45" i="14"/>
  <c r="D46" i="7"/>
  <c r="D47" i="7" s="1"/>
  <c r="D27" i="21" s="1"/>
  <c r="D27" i="24" s="1"/>
  <c r="D28" i="25" s="1"/>
  <c r="C45" i="14"/>
  <c r="C46" i="7"/>
  <c r="C25" i="11" s="1"/>
  <c r="D45" i="7"/>
  <c r="D24" i="11" s="1"/>
  <c r="D44" i="7"/>
  <c r="D23" i="18" s="1"/>
  <c r="I29" i="9"/>
  <c r="I30" i="9" s="1"/>
  <c r="I20" i="17" s="1"/>
  <c r="Z19" i="35" s="1"/>
  <c r="E40" i="16"/>
  <c r="H40" i="16"/>
  <c r="I40" i="16"/>
  <c r="Z17" i="34" s="1"/>
  <c r="L40" i="16"/>
  <c r="AC17" i="34" s="1"/>
  <c r="G40" i="16"/>
  <c r="I7" i="18"/>
  <c r="I10" i="18" s="1"/>
  <c r="I9" i="17"/>
  <c r="J193" i="1" s="1"/>
  <c r="J196" i="1" s="1"/>
  <c r="I6" i="15"/>
  <c r="I24" i="17"/>
  <c r="Z41" i="35" s="1"/>
  <c r="K24" i="17"/>
  <c r="AB41" i="35" s="1"/>
  <c r="AB40" i="35" s="1"/>
  <c r="AB48" i="35" s="1"/>
  <c r="K29" i="9"/>
  <c r="K30" i="9" s="1"/>
  <c r="K20" i="17" s="1"/>
  <c r="AB19" i="35" s="1"/>
  <c r="M30" i="17"/>
  <c r="M20" i="15" s="1"/>
  <c r="M16" i="15" s="1"/>
  <c r="M31" i="17" s="1"/>
  <c r="M41" i="17" s="1"/>
  <c r="F11" i="18"/>
  <c r="F15" i="18" s="1"/>
  <c r="F5" i="39" s="1"/>
  <c r="L11" i="18"/>
  <c r="L15" i="18" s="1"/>
  <c r="L5" i="39" s="1"/>
  <c r="M21" i="14"/>
  <c r="K9" i="17"/>
  <c r="L193" i="1" s="1"/>
  <c r="L196" i="1" s="1"/>
  <c r="K7" i="18"/>
  <c r="K10" i="18" s="1"/>
  <c r="H11" i="18"/>
  <c r="H15" i="18" s="1"/>
  <c r="H5" i="39" s="1"/>
  <c r="E20" i="17"/>
  <c r="C25" i="34" l="1"/>
  <c r="E25" i="19"/>
  <c r="E25" i="34"/>
  <c r="L50" i="20"/>
  <c r="L51" i="20" s="1"/>
  <c r="U17" i="34"/>
  <c r="H50" i="16"/>
  <c r="M50" i="16"/>
  <c r="M49" i="16"/>
  <c r="P17" i="34"/>
  <c r="N17" i="34" s="1"/>
  <c r="G50" i="16"/>
  <c r="F17" i="34"/>
  <c r="E17" i="34" s="1"/>
  <c r="E50" i="16"/>
  <c r="N49" i="16"/>
  <c r="I50" i="16"/>
  <c r="L50" i="16"/>
  <c r="D21" i="18"/>
  <c r="D7" i="39"/>
  <c r="D8" i="39" s="1"/>
  <c r="C21" i="18"/>
  <c r="C7" i="39"/>
  <c r="C8" i="39" s="1"/>
  <c r="C13" i="39" s="1"/>
  <c r="L33" i="39"/>
  <c r="L19" i="39"/>
  <c r="M19" i="18"/>
  <c r="M5" i="39"/>
  <c r="X19" i="35"/>
  <c r="V19" i="35"/>
  <c r="Y19" i="35"/>
  <c r="W19" i="35"/>
  <c r="Z40" i="35"/>
  <c r="Z48" i="35" s="1"/>
  <c r="Y41" i="35"/>
  <c r="Y40" i="35" s="1"/>
  <c r="Y48" i="35" s="1"/>
  <c r="V41" i="35"/>
  <c r="V40" i="35" s="1"/>
  <c r="V48" i="35" s="1"/>
  <c r="W41" i="35"/>
  <c r="W40" i="35" s="1"/>
  <c r="W48" i="35" s="1"/>
  <c r="X41" i="35"/>
  <c r="X40" i="35" s="1"/>
  <c r="X48" i="35" s="1"/>
  <c r="B25" i="36"/>
  <c r="B30" i="36" s="1"/>
  <c r="G25" i="36"/>
  <c r="G30" i="36" s="1"/>
  <c r="I25" i="36"/>
  <c r="I30" i="36" s="1"/>
  <c r="N25" i="36"/>
  <c r="N30" i="36" s="1"/>
  <c r="Q25" i="36"/>
  <c r="Q30" i="36" s="1"/>
  <c r="D25" i="36"/>
  <c r="D30" i="36" s="1"/>
  <c r="J25" i="36"/>
  <c r="J30" i="36" s="1"/>
  <c r="M25" i="36"/>
  <c r="M30" i="36" s="1"/>
  <c r="T25" i="36"/>
  <c r="T30" i="36" s="1"/>
  <c r="C25" i="36"/>
  <c r="C30" i="36" s="1"/>
  <c r="O25" i="36"/>
  <c r="O30" i="36" s="1"/>
  <c r="S25" i="36"/>
  <c r="S30" i="36" s="1"/>
  <c r="E25" i="36"/>
  <c r="E30" i="36" s="1"/>
  <c r="T19" i="35"/>
  <c r="Q19" i="35"/>
  <c r="R19" i="35"/>
  <c r="S19" i="35"/>
  <c r="L25" i="36"/>
  <c r="L30" i="36" s="1"/>
  <c r="R25" i="36"/>
  <c r="R30" i="36" s="1"/>
  <c r="K51" i="20"/>
  <c r="AB25" i="34" s="1"/>
  <c r="E19" i="26"/>
  <c r="F19" i="35"/>
  <c r="X17" i="34"/>
  <c r="W17" i="34"/>
  <c r="Y17" i="34"/>
  <c r="V17" i="34"/>
  <c r="J19" i="35"/>
  <c r="H19" i="35"/>
  <c r="I19" i="35"/>
  <c r="G19" i="35"/>
  <c r="M32" i="17"/>
  <c r="M21" i="15" s="1"/>
  <c r="M18" i="15" s="1"/>
  <c r="M36" i="17" s="1"/>
  <c r="M14" i="26"/>
  <c r="AD14" i="35" s="1"/>
  <c r="J19" i="26"/>
  <c r="AA19" i="35"/>
  <c r="T17" i="34"/>
  <c r="S17" i="34"/>
  <c r="Q17" i="34"/>
  <c r="R17" i="34"/>
  <c r="L17" i="34"/>
  <c r="M17" i="34"/>
  <c r="I51" i="20"/>
  <c r="Z25" i="34" s="1"/>
  <c r="J51" i="20"/>
  <c r="AA25" i="34" s="1"/>
  <c r="B17" i="34"/>
  <c r="G51" i="20"/>
  <c r="G25" i="19" s="1"/>
  <c r="H25" i="19"/>
  <c r="U25" i="34"/>
  <c r="M50" i="20"/>
  <c r="M51" i="20" s="1"/>
  <c r="N50" i="20"/>
  <c r="F51" i="20"/>
  <c r="G49" i="23"/>
  <c r="J47" i="23"/>
  <c r="J49" i="23" s="1"/>
  <c r="J195" i="1"/>
  <c r="I17" i="23" s="1"/>
  <c r="I17" i="25" s="1"/>
  <c r="N15" i="18"/>
  <c r="M31" i="25"/>
  <c r="M21" i="39" s="1"/>
  <c r="L49" i="23"/>
  <c r="M16" i="25"/>
  <c r="L36" i="25"/>
  <c r="J32" i="20"/>
  <c r="I29" i="20"/>
  <c r="N31" i="25"/>
  <c r="N21" i="39" s="1"/>
  <c r="J19" i="20"/>
  <c r="J16" i="25"/>
  <c r="H16" i="25"/>
  <c r="E46" i="23"/>
  <c r="E49" i="23" s="1"/>
  <c r="E50" i="23" s="1"/>
  <c r="E17" i="25"/>
  <c r="I16" i="25"/>
  <c r="F32" i="23"/>
  <c r="E29" i="23"/>
  <c r="E32" i="25"/>
  <c r="E29" i="25" s="1"/>
  <c r="E12" i="23"/>
  <c r="E21" i="23" s="1"/>
  <c r="J36" i="25"/>
  <c r="H36" i="25"/>
  <c r="F19" i="23"/>
  <c r="E19" i="25"/>
  <c r="L16" i="25"/>
  <c r="F36" i="25"/>
  <c r="G36" i="25"/>
  <c r="I38" i="20"/>
  <c r="F38" i="23"/>
  <c r="E38" i="25"/>
  <c r="E33" i="25" s="1"/>
  <c r="E33" i="23"/>
  <c r="M28" i="18"/>
  <c r="G19" i="18"/>
  <c r="H49" i="23"/>
  <c r="N46" i="26"/>
  <c r="N25" i="27"/>
  <c r="N30" i="27" s="1"/>
  <c r="F46" i="26"/>
  <c r="F25" i="27"/>
  <c r="F30" i="27" s="1"/>
  <c r="G46" i="26"/>
  <c r="G25" i="27"/>
  <c r="G30" i="27" s="1"/>
  <c r="K11" i="18"/>
  <c r="K15" i="18" s="1"/>
  <c r="K5" i="39" s="1"/>
  <c r="K19" i="26"/>
  <c r="I48" i="23"/>
  <c r="I49" i="23" s="1"/>
  <c r="I36" i="23"/>
  <c r="H46" i="26"/>
  <c r="H25" i="27"/>
  <c r="H30" i="27" s="1"/>
  <c r="K48" i="23"/>
  <c r="K49" i="23" s="1"/>
  <c r="K36" i="23"/>
  <c r="K23" i="17"/>
  <c r="K16" i="18" s="1"/>
  <c r="K39" i="26"/>
  <c r="K38" i="26" s="1"/>
  <c r="AB25" i="36" s="1"/>
  <c r="AB30" i="36" s="1"/>
  <c r="I11" i="18"/>
  <c r="I15" i="18" s="1"/>
  <c r="I5" i="39" s="1"/>
  <c r="I19" i="26"/>
  <c r="E46" i="26"/>
  <c r="E25" i="27"/>
  <c r="E30" i="27" s="1"/>
  <c r="I23" i="17"/>
  <c r="I16" i="18" s="1"/>
  <c r="I39" i="26"/>
  <c r="I38" i="26" s="1"/>
  <c r="Z25" i="36" s="1"/>
  <c r="Z30" i="36" s="1"/>
  <c r="J23" i="17"/>
  <c r="J16" i="18" s="1"/>
  <c r="J39" i="26"/>
  <c r="J38" i="26" s="1"/>
  <c r="AA25" i="36" s="1"/>
  <c r="AA30" i="36" s="1"/>
  <c r="L46" i="26"/>
  <c r="L25" i="27"/>
  <c r="L30" i="27" s="1"/>
  <c r="N50" i="23"/>
  <c r="N39" i="16"/>
  <c r="N44" i="14" s="1"/>
  <c r="N21" i="14" s="1"/>
  <c r="N40" i="16" s="1"/>
  <c r="AE17" i="34" s="1"/>
  <c r="H198" i="1"/>
  <c r="K16" i="17"/>
  <c r="K22" i="17" s="1"/>
  <c r="I16" i="17"/>
  <c r="I22" i="17" s="1"/>
  <c r="I39" i="17" s="1"/>
  <c r="I40" i="17" s="1"/>
  <c r="K198" i="1"/>
  <c r="M198" i="1"/>
  <c r="I198" i="1"/>
  <c r="F198" i="1"/>
  <c r="G198" i="1"/>
  <c r="J22" i="17"/>
  <c r="J39" i="17" s="1"/>
  <c r="J40" i="17" s="1"/>
  <c r="K44" i="16"/>
  <c r="K43" i="16"/>
  <c r="O198" i="1"/>
  <c r="J43" i="16"/>
  <c r="H41" i="16"/>
  <c r="H45" i="14" s="1"/>
  <c r="H42" i="14" s="1"/>
  <c r="H17" i="19"/>
  <c r="G41" i="16"/>
  <c r="G45" i="14" s="1"/>
  <c r="G42" i="14" s="1"/>
  <c r="G17" i="19"/>
  <c r="E41" i="16"/>
  <c r="E45" i="14" s="1"/>
  <c r="E42" i="14" s="1"/>
  <c r="E17" i="19"/>
  <c r="D41" i="16"/>
  <c r="D17" i="19"/>
  <c r="D16" i="28"/>
  <c r="C41" i="16"/>
  <c r="C17" i="19"/>
  <c r="C16" i="28"/>
  <c r="L41" i="16"/>
  <c r="L45" i="14" s="1"/>
  <c r="L42" i="14" s="1"/>
  <c r="L17" i="19"/>
  <c r="J44" i="16"/>
  <c r="I41" i="16"/>
  <c r="I45" i="14" s="1"/>
  <c r="I42" i="14" s="1"/>
  <c r="I17" i="19"/>
  <c r="H33" i="20"/>
  <c r="J11" i="18"/>
  <c r="J15" i="18" s="1"/>
  <c r="J5" i="39" s="1"/>
  <c r="C23" i="11"/>
  <c r="D23" i="11"/>
  <c r="C44" i="16"/>
  <c r="N30" i="17"/>
  <c r="N20" i="15" s="1"/>
  <c r="N16" i="15" s="1"/>
  <c r="N31" i="17" s="1"/>
  <c r="N41" i="17" s="1"/>
  <c r="C23" i="18"/>
  <c r="D44" i="16"/>
  <c r="D24" i="18"/>
  <c r="C24" i="18"/>
  <c r="C47" i="7"/>
  <c r="C27" i="21" s="1"/>
  <c r="C27" i="24" s="1"/>
  <c r="C28" i="25" s="1"/>
  <c r="C26" i="11"/>
  <c r="C42" i="14"/>
  <c r="C25" i="18"/>
  <c r="C45" i="16"/>
  <c r="C29" i="39" s="1"/>
  <c r="D42" i="14"/>
  <c r="D45" i="16"/>
  <c r="D29" i="39" s="1"/>
  <c r="D25" i="18"/>
  <c r="D26" i="18" s="1"/>
  <c r="D25" i="11"/>
  <c r="D26" i="11" s="1"/>
  <c r="D43" i="16"/>
  <c r="G30" i="17"/>
  <c r="G20" i="15" s="1"/>
  <c r="G16" i="15" s="1"/>
  <c r="G31" i="17" s="1"/>
  <c r="G41" i="17" s="1"/>
  <c r="M40" i="16"/>
  <c r="AD17" i="34" s="1"/>
  <c r="J45" i="16"/>
  <c r="K45" i="16"/>
  <c r="H30" i="17"/>
  <c r="H20" i="15" s="1"/>
  <c r="H16" i="15" s="1"/>
  <c r="H31" i="17" s="1"/>
  <c r="H41" i="17" s="1"/>
  <c r="L30" i="17"/>
  <c r="L20" i="15" s="1"/>
  <c r="L16" i="15" s="1"/>
  <c r="L31" i="17" s="1"/>
  <c r="L41" i="17" s="1"/>
  <c r="G28" i="18"/>
  <c r="H19" i="18"/>
  <c r="H28" i="18"/>
  <c r="L28" i="18"/>
  <c r="L19" i="18"/>
  <c r="F19" i="18"/>
  <c r="F28" i="18"/>
  <c r="F30" i="17"/>
  <c r="F20" i="15" s="1"/>
  <c r="F16" i="15" s="1"/>
  <c r="F31" i="17" s="1"/>
  <c r="F14" i="26" s="1"/>
  <c r="K14" i="35" s="1"/>
  <c r="E22" i="17"/>
  <c r="E39" i="17" s="1"/>
  <c r="E40" i="17" s="1"/>
  <c r="E11" i="18"/>
  <c r="E15" i="18" s="1"/>
  <c r="E5" i="39" s="1"/>
  <c r="L25" i="19" l="1"/>
  <c r="AC25" i="34"/>
  <c r="D17" i="34"/>
  <c r="N50" i="16"/>
  <c r="C17" i="34"/>
  <c r="I13" i="33"/>
  <c r="H29" i="18"/>
  <c r="M29" i="18"/>
  <c r="F41" i="17"/>
  <c r="H13" i="33"/>
  <c r="G29" i="18"/>
  <c r="O17" i="34"/>
  <c r="G13" i="33"/>
  <c r="F29" i="18"/>
  <c r="L29" i="18"/>
  <c r="C26" i="18"/>
  <c r="N33" i="39"/>
  <c r="N19" i="39"/>
  <c r="AD21" i="35"/>
  <c r="AD10" i="35" s="1"/>
  <c r="M30" i="39"/>
  <c r="D26" i="39"/>
  <c r="D13" i="39"/>
  <c r="AB24" i="34"/>
  <c r="AB10" i="34" s="1"/>
  <c r="AB28" i="34" s="1"/>
  <c r="K29" i="39"/>
  <c r="M33" i="39"/>
  <c r="M19" i="39"/>
  <c r="AA24" i="34"/>
  <c r="AA10" i="34" s="1"/>
  <c r="AA28" i="34" s="1"/>
  <c r="J29" i="39"/>
  <c r="C26" i="39"/>
  <c r="N19" i="18"/>
  <c r="N5" i="39"/>
  <c r="M35" i="17"/>
  <c r="I25" i="19"/>
  <c r="K25" i="19"/>
  <c r="W25" i="36"/>
  <c r="W30" i="36" s="1"/>
  <c r="V25" i="36"/>
  <c r="V30" i="36" s="1"/>
  <c r="Y25" i="36"/>
  <c r="Y30" i="36" s="1"/>
  <c r="X25" i="36"/>
  <c r="X30" i="36" s="1"/>
  <c r="X25" i="34"/>
  <c r="W25" i="34"/>
  <c r="Y25" i="34"/>
  <c r="V25" i="34"/>
  <c r="M34" i="17"/>
  <c r="N32" i="17"/>
  <c r="N35" i="17" s="1"/>
  <c r="N14" i="26"/>
  <c r="AE14" i="35" s="1"/>
  <c r="I14" i="35"/>
  <c r="G14" i="35"/>
  <c r="J14" i="35"/>
  <c r="H14" i="35"/>
  <c r="L20" i="18"/>
  <c r="L30" i="18" s="1"/>
  <c r="L14" i="26"/>
  <c r="AC14" i="35" s="1"/>
  <c r="G32" i="17"/>
  <c r="G34" i="17" s="1"/>
  <c r="G14" i="26"/>
  <c r="P14" i="35" s="1"/>
  <c r="N22" i="26"/>
  <c r="AE22" i="35"/>
  <c r="H32" i="17"/>
  <c r="H35" i="17" s="1"/>
  <c r="H14" i="26"/>
  <c r="U14" i="35" s="1"/>
  <c r="E22" i="26"/>
  <c r="F22" i="35"/>
  <c r="C19" i="35"/>
  <c r="D19" i="35"/>
  <c r="E19" i="35"/>
  <c r="B19" i="35"/>
  <c r="T25" i="34"/>
  <c r="Q25" i="34"/>
  <c r="R25" i="34"/>
  <c r="S25" i="34"/>
  <c r="J25" i="19"/>
  <c r="P25" i="34"/>
  <c r="N51" i="20"/>
  <c r="AE25" i="34" s="1"/>
  <c r="F25" i="19"/>
  <c r="K25" i="34"/>
  <c r="M25" i="19"/>
  <c r="AD25" i="34"/>
  <c r="J50" i="23"/>
  <c r="L50" i="23"/>
  <c r="N28" i="18"/>
  <c r="J30" i="17"/>
  <c r="J20" i="15" s="1"/>
  <c r="J16" i="15" s="1"/>
  <c r="J31" i="17" s="1"/>
  <c r="J41" i="17" s="1"/>
  <c r="G38" i="23"/>
  <c r="F38" i="25"/>
  <c r="F33" i="25" s="1"/>
  <c r="J38" i="20"/>
  <c r="K19" i="20"/>
  <c r="F33" i="23"/>
  <c r="I36" i="25"/>
  <c r="G19" i="23"/>
  <c r="F19" i="25"/>
  <c r="F12" i="23"/>
  <c r="F21" i="23" s="1"/>
  <c r="G32" i="23"/>
  <c r="F29" i="23"/>
  <c r="F32" i="25"/>
  <c r="F29" i="25" s="1"/>
  <c r="K36" i="25"/>
  <c r="K32" i="20"/>
  <c r="J29" i="20"/>
  <c r="I19" i="18"/>
  <c r="K19" i="18"/>
  <c r="M37" i="17"/>
  <c r="M28" i="23" s="1"/>
  <c r="M21" i="26"/>
  <c r="M10" i="26" s="1"/>
  <c r="K30" i="17"/>
  <c r="K20" i="15" s="1"/>
  <c r="K16" i="15" s="1"/>
  <c r="K31" i="17" s="1"/>
  <c r="J46" i="26"/>
  <c r="J25" i="27"/>
  <c r="J30" i="27" s="1"/>
  <c r="K46" i="26"/>
  <c r="K25" i="27"/>
  <c r="K30" i="27" s="1"/>
  <c r="I46" i="26"/>
  <c r="I25" i="27"/>
  <c r="I30" i="27" s="1"/>
  <c r="F50" i="23"/>
  <c r="I50" i="23"/>
  <c r="G50" i="23"/>
  <c r="M50" i="23"/>
  <c r="K50" i="23"/>
  <c r="H50" i="23"/>
  <c r="L44" i="16"/>
  <c r="G43" i="16"/>
  <c r="L198" i="1"/>
  <c r="J198" i="1"/>
  <c r="I43" i="16"/>
  <c r="L43" i="16"/>
  <c r="E43" i="16"/>
  <c r="I44" i="16"/>
  <c r="H44" i="16"/>
  <c r="E44" i="16"/>
  <c r="N41" i="16"/>
  <c r="N45" i="14" s="1"/>
  <c r="N42" i="14" s="1"/>
  <c r="N17" i="19"/>
  <c r="M20" i="18"/>
  <c r="M30" i="18" s="1"/>
  <c r="M17" i="19"/>
  <c r="H43" i="16"/>
  <c r="K46" i="16"/>
  <c r="K28" i="20" s="1"/>
  <c r="K24" i="19"/>
  <c r="K10" i="19" s="1"/>
  <c r="D46" i="16"/>
  <c r="D28" i="20" s="1"/>
  <c r="D23" i="28"/>
  <c r="D9" i="28" s="1"/>
  <c r="D24" i="19"/>
  <c r="D10" i="19" s="1"/>
  <c r="J46" i="16"/>
  <c r="J28" i="20" s="1"/>
  <c r="J24" i="19"/>
  <c r="J10" i="19" s="1"/>
  <c r="C46" i="16"/>
  <c r="C28" i="20" s="1"/>
  <c r="C24" i="19"/>
  <c r="C10" i="19" s="1"/>
  <c r="C23" i="28"/>
  <c r="C9" i="28" s="1"/>
  <c r="I33" i="20"/>
  <c r="G44" i="16"/>
  <c r="J19" i="18"/>
  <c r="J28" i="18"/>
  <c r="G20" i="18"/>
  <c r="G30" i="18" s="1"/>
  <c r="I30" i="17"/>
  <c r="I20" i="15" s="1"/>
  <c r="I16" i="15" s="1"/>
  <c r="I31" i="17" s="1"/>
  <c r="I41" i="17" s="1"/>
  <c r="L32" i="17"/>
  <c r="L34" i="17" s="1"/>
  <c r="M41" i="16"/>
  <c r="M45" i="14" s="1"/>
  <c r="M42" i="14" s="1"/>
  <c r="N20" i="18"/>
  <c r="I28" i="18"/>
  <c r="L45" i="16"/>
  <c r="E45" i="16"/>
  <c r="I45" i="16"/>
  <c r="K28" i="18"/>
  <c r="H45" i="16"/>
  <c r="G45" i="16"/>
  <c r="K39" i="17"/>
  <c r="K40" i="17" s="1"/>
  <c r="K41" i="17" s="1"/>
  <c r="E30" i="17"/>
  <c r="E20" i="15" s="1"/>
  <c r="E16" i="15" s="1"/>
  <c r="E31" i="17" s="1"/>
  <c r="E41" i="17" s="1"/>
  <c r="H20" i="18"/>
  <c r="H30" i="18" s="1"/>
  <c r="E28" i="18"/>
  <c r="E19" i="18"/>
  <c r="F32" i="17"/>
  <c r="F13" i="33" l="1"/>
  <c r="E29" i="18"/>
  <c r="J29" i="18"/>
  <c r="K29" i="18"/>
  <c r="J13" i="33"/>
  <c r="I29" i="18"/>
  <c r="N30" i="18"/>
  <c r="N29" i="18"/>
  <c r="U24" i="34"/>
  <c r="Q24" i="34" s="1"/>
  <c r="Q10" i="34" s="1"/>
  <c r="Q28" i="34" s="1"/>
  <c r="H29" i="39"/>
  <c r="AC24" i="34"/>
  <c r="AC10" i="34" s="1"/>
  <c r="AC28" i="34" s="1"/>
  <c r="L29" i="39"/>
  <c r="L21" i="18"/>
  <c r="L7" i="39"/>
  <c r="L8" i="39" s="1"/>
  <c r="H21" i="18"/>
  <c r="H7" i="39"/>
  <c r="H8" i="39" s="1"/>
  <c r="Z24" i="34"/>
  <c r="V24" i="34" s="1"/>
  <c r="V10" i="34" s="1"/>
  <c r="V28" i="34" s="1"/>
  <c r="I29" i="39"/>
  <c r="N21" i="18"/>
  <c r="N7" i="39"/>
  <c r="N8" i="39" s="1"/>
  <c r="G21" i="18"/>
  <c r="G7" i="39"/>
  <c r="G8" i="39" s="1"/>
  <c r="P24" i="34"/>
  <c r="M24" i="34" s="1"/>
  <c r="M10" i="34" s="1"/>
  <c r="G29" i="39"/>
  <c r="F24" i="34"/>
  <c r="C24" i="34" s="1"/>
  <c r="C10" i="34" s="1"/>
  <c r="C28" i="34" s="1"/>
  <c r="E29" i="39"/>
  <c r="M21" i="18"/>
  <c r="M7" i="39"/>
  <c r="M8" i="39" s="1"/>
  <c r="N21" i="15"/>
  <c r="N18" i="15" s="1"/>
  <c r="N36" i="17" s="1"/>
  <c r="H24" i="18"/>
  <c r="L21" i="15"/>
  <c r="L18" i="15" s="1"/>
  <c r="L36" i="17" s="1"/>
  <c r="H34" i="17"/>
  <c r="H23" i="18" s="1"/>
  <c r="H21" i="15"/>
  <c r="H18" i="15" s="1"/>
  <c r="H36" i="17" s="1"/>
  <c r="G21" i="15"/>
  <c r="G18" i="15" s="1"/>
  <c r="G36" i="17" s="1"/>
  <c r="G35" i="17"/>
  <c r="G24" i="18" s="1"/>
  <c r="G23" i="18"/>
  <c r="E9" i="27"/>
  <c r="E11" i="39" s="1"/>
  <c r="F9" i="36"/>
  <c r="S14" i="35"/>
  <c r="R14" i="35"/>
  <c r="T14" i="35"/>
  <c r="Q14" i="35"/>
  <c r="M14" i="35"/>
  <c r="O14" i="35"/>
  <c r="L14" i="35"/>
  <c r="N14" i="35"/>
  <c r="H22" i="26"/>
  <c r="U22" i="35"/>
  <c r="K20" i="18"/>
  <c r="K30" i="18" s="1"/>
  <c r="K14" i="26"/>
  <c r="AB14" i="35" s="1"/>
  <c r="J20" i="18"/>
  <c r="J30" i="18" s="1"/>
  <c r="J14" i="26"/>
  <c r="AA14" i="35" s="1"/>
  <c r="K22" i="26"/>
  <c r="K9" i="27" s="1"/>
  <c r="K11" i="39" s="1"/>
  <c r="AB22" i="35"/>
  <c r="F22" i="26"/>
  <c r="F9" i="27" s="1"/>
  <c r="F11" i="39" s="1"/>
  <c r="K22" i="35"/>
  <c r="W24" i="34"/>
  <c r="W10" i="34" s="1"/>
  <c r="W28" i="34" s="1"/>
  <c r="Y24" i="34"/>
  <c r="Y10" i="34" s="1"/>
  <c r="Y28" i="34" s="1"/>
  <c r="M22" i="26"/>
  <c r="M23" i="26" s="1"/>
  <c r="M48" i="26" s="1"/>
  <c r="AD22" i="35"/>
  <c r="AD25" i="35" s="1"/>
  <c r="L22" i="26"/>
  <c r="AC22" i="35"/>
  <c r="C22" i="35"/>
  <c r="C9" i="36" s="1"/>
  <c r="D22" i="35"/>
  <c r="D9" i="36" s="1"/>
  <c r="E22" i="35"/>
  <c r="E9" i="36" s="1"/>
  <c r="B22" i="35"/>
  <c r="B9" i="36" s="1"/>
  <c r="I22" i="26"/>
  <c r="I9" i="27" s="1"/>
  <c r="I11" i="39" s="1"/>
  <c r="Z22" i="35"/>
  <c r="E20" i="18"/>
  <c r="E30" i="18" s="1"/>
  <c r="E14" i="26"/>
  <c r="F14" i="35" s="1"/>
  <c r="I20" i="18"/>
  <c r="I30" i="18" s="1"/>
  <c r="I14" i="26"/>
  <c r="Z14" i="35" s="1"/>
  <c r="N34" i="17"/>
  <c r="G22" i="26"/>
  <c r="P22" i="35"/>
  <c r="J22" i="26"/>
  <c r="J9" i="27" s="1"/>
  <c r="J11" i="39" s="1"/>
  <c r="AA22" i="35"/>
  <c r="U10" i="34"/>
  <c r="U28" i="34" s="1"/>
  <c r="S24" i="34"/>
  <c r="S10" i="34" s="1"/>
  <c r="S28" i="34" s="1"/>
  <c r="R24" i="34"/>
  <c r="R10" i="34" s="1"/>
  <c r="R28" i="34" s="1"/>
  <c r="T24" i="34"/>
  <c r="T10" i="34" s="1"/>
  <c r="T28" i="34" s="1"/>
  <c r="M25" i="34"/>
  <c r="L25" i="34"/>
  <c r="N25" i="34"/>
  <c r="O25" i="34"/>
  <c r="J25" i="34"/>
  <c r="I25" i="34"/>
  <c r="G25" i="34"/>
  <c r="H25" i="34"/>
  <c r="N25" i="19"/>
  <c r="F10" i="34"/>
  <c r="F28" i="34" s="1"/>
  <c r="E24" i="34"/>
  <c r="E10" i="34" s="1"/>
  <c r="E28" i="34" s="1"/>
  <c r="B24" i="34"/>
  <c r="B10" i="34" s="1"/>
  <c r="B28" i="34" s="1"/>
  <c r="J32" i="17"/>
  <c r="J35" i="17" s="1"/>
  <c r="J24" i="18" s="1"/>
  <c r="H19" i="23"/>
  <c r="G19" i="25"/>
  <c r="G12" i="23"/>
  <c r="G21" i="23" s="1"/>
  <c r="L19" i="20"/>
  <c r="L32" i="20"/>
  <c r="K29" i="20"/>
  <c r="H32" i="23"/>
  <c r="G29" i="23"/>
  <c r="G32" i="25"/>
  <c r="G29" i="25" s="1"/>
  <c r="H38" i="23"/>
  <c r="G38" i="25"/>
  <c r="G33" i="25" s="1"/>
  <c r="G33" i="23"/>
  <c r="K38" i="20"/>
  <c r="J26" i="19"/>
  <c r="J52" i="19" s="1"/>
  <c r="K26" i="19"/>
  <c r="K52" i="19" s="1"/>
  <c r="C26" i="19"/>
  <c r="C52" i="19" s="1"/>
  <c r="D26" i="19"/>
  <c r="D52" i="19" s="1"/>
  <c r="N21" i="26"/>
  <c r="N10" i="26" s="1"/>
  <c r="N23" i="26" s="1"/>
  <c r="N48" i="26" s="1"/>
  <c r="L23" i="18"/>
  <c r="N43" i="16"/>
  <c r="N44" i="16"/>
  <c r="N24" i="18" s="1"/>
  <c r="I32" i="17"/>
  <c r="I21" i="15" s="1"/>
  <c r="I18" i="15" s="1"/>
  <c r="I36" i="17" s="1"/>
  <c r="I30" i="39" s="1"/>
  <c r="C7" i="30"/>
  <c r="C25" i="28"/>
  <c r="C51" i="28" s="1"/>
  <c r="D7" i="30"/>
  <c r="D25" i="28"/>
  <c r="D51" i="28" s="1"/>
  <c r="G46" i="16"/>
  <c r="G28" i="20" s="1"/>
  <c r="G24" i="19"/>
  <c r="G10" i="19" s="1"/>
  <c r="I46" i="16"/>
  <c r="I28" i="20" s="1"/>
  <c r="I24" i="19"/>
  <c r="I10" i="19" s="1"/>
  <c r="H46" i="16"/>
  <c r="H28" i="20" s="1"/>
  <c r="H24" i="19"/>
  <c r="H10" i="19" s="1"/>
  <c r="E46" i="16"/>
  <c r="E28" i="20" s="1"/>
  <c r="E24" i="19"/>
  <c r="E10" i="19" s="1"/>
  <c r="L46" i="16"/>
  <c r="L28" i="20" s="1"/>
  <c r="L24" i="19"/>
  <c r="L10" i="19" s="1"/>
  <c r="J33" i="20"/>
  <c r="M43" i="16"/>
  <c r="M23" i="18" s="1"/>
  <c r="K32" i="17"/>
  <c r="K34" i="17" s="1"/>
  <c r="K23" i="18" s="1"/>
  <c r="L35" i="17"/>
  <c r="L24" i="18" s="1"/>
  <c r="M44" i="16"/>
  <c r="M24" i="18" s="1"/>
  <c r="N45" i="16"/>
  <c r="M45" i="16"/>
  <c r="E32" i="17"/>
  <c r="E21" i="15" s="1"/>
  <c r="E18" i="15" s="1"/>
  <c r="E36" i="17" s="1"/>
  <c r="E30" i="39" s="1"/>
  <c r="F21" i="15"/>
  <c r="F34" i="17"/>
  <c r="F35" i="17"/>
  <c r="P10" i="34" l="1"/>
  <c r="P28" i="34" s="1"/>
  <c r="O24" i="34"/>
  <c r="O10" i="34" s="1"/>
  <c r="O28" i="34" s="1"/>
  <c r="L24" i="34"/>
  <c r="L10" i="34" s="1"/>
  <c r="L28" i="34" s="1"/>
  <c r="I21" i="18"/>
  <c r="I7" i="39"/>
  <c r="I8" i="39" s="1"/>
  <c r="I13" i="39" s="1"/>
  <c r="P21" i="35"/>
  <c r="M21" i="35" s="1"/>
  <c r="M10" i="35" s="1"/>
  <c r="G30" i="39"/>
  <c r="D24" i="34"/>
  <c r="D10" i="34" s="1"/>
  <c r="D28" i="34" s="1"/>
  <c r="N24" i="34"/>
  <c r="N10" i="34" s="1"/>
  <c r="N28" i="34" s="1"/>
  <c r="X24" i="34"/>
  <c r="X10" i="34" s="1"/>
  <c r="X28" i="34" s="1"/>
  <c r="Z10" i="34"/>
  <c r="Z28" i="34" s="1"/>
  <c r="K21" i="18"/>
  <c r="K7" i="39"/>
  <c r="K8" i="39" s="1"/>
  <c r="K13" i="39" s="1"/>
  <c r="U21" i="35"/>
  <c r="T21" i="35" s="1"/>
  <c r="T10" i="35" s="1"/>
  <c r="H30" i="39"/>
  <c r="H26" i="39" s="1"/>
  <c r="AE21" i="35"/>
  <c r="AE10" i="35" s="1"/>
  <c r="AE25" i="35" s="1"/>
  <c r="N30" i="39"/>
  <c r="E26" i="39"/>
  <c r="I26" i="39"/>
  <c r="O8" i="39"/>
  <c r="B44" i="39" s="1"/>
  <c r="AD24" i="34"/>
  <c r="AD10" i="34" s="1"/>
  <c r="AD28" i="34" s="1"/>
  <c r="M29" i="39"/>
  <c r="E21" i="18"/>
  <c r="E7" i="39"/>
  <c r="E8" i="39" s="1"/>
  <c r="E13" i="39" s="1"/>
  <c r="AE24" i="34"/>
  <c r="AE10" i="34" s="1"/>
  <c r="AE28" i="34" s="1"/>
  <c r="N29" i="39"/>
  <c r="J21" i="18"/>
  <c r="J7" i="39"/>
  <c r="J8" i="39" s="1"/>
  <c r="J13" i="39" s="1"/>
  <c r="L37" i="17"/>
  <c r="L28" i="23" s="1"/>
  <c r="L28" i="25" s="1"/>
  <c r="L30" i="39"/>
  <c r="N37" i="17"/>
  <c r="N28" i="23" s="1"/>
  <c r="L25" i="18"/>
  <c r="L26" i="18" s="1"/>
  <c r="AC21" i="35"/>
  <c r="AC10" i="35" s="1"/>
  <c r="AC25" i="35" s="1"/>
  <c r="H37" i="17"/>
  <c r="H28" i="23" s="1"/>
  <c r="H28" i="25" s="1"/>
  <c r="M28" i="34"/>
  <c r="L21" i="26"/>
  <c r="L10" i="26" s="1"/>
  <c r="L23" i="26" s="1"/>
  <c r="L48" i="26" s="1"/>
  <c r="H25" i="18"/>
  <c r="H26" i="18" s="1"/>
  <c r="I14" i="33" s="1"/>
  <c r="H21" i="26"/>
  <c r="H10" i="26" s="1"/>
  <c r="U8" i="36" s="1"/>
  <c r="G21" i="26"/>
  <c r="G10" i="26" s="1"/>
  <c r="G23" i="26" s="1"/>
  <c r="G48" i="26" s="1"/>
  <c r="G25" i="18"/>
  <c r="G26" i="18" s="1"/>
  <c r="H14" i="33" s="1"/>
  <c r="L21" i="35"/>
  <c r="L10" i="35" s="1"/>
  <c r="K9" i="36"/>
  <c r="N23" i="18"/>
  <c r="G37" i="17"/>
  <c r="G28" i="23" s="1"/>
  <c r="G28" i="25" s="1"/>
  <c r="AA9" i="36"/>
  <c r="G9" i="27"/>
  <c r="G11" i="39" s="1"/>
  <c r="G13" i="39" s="1"/>
  <c r="P9" i="36"/>
  <c r="H9" i="27"/>
  <c r="H11" i="39" s="1"/>
  <c r="H13" i="39" s="1"/>
  <c r="U9" i="36"/>
  <c r="AB9" i="36"/>
  <c r="AD9" i="36"/>
  <c r="N9" i="27"/>
  <c r="N11" i="39" s="1"/>
  <c r="N13" i="39" s="1"/>
  <c r="AE9" i="36"/>
  <c r="L9" i="27"/>
  <c r="L11" i="39" s="1"/>
  <c r="L13" i="39" s="1"/>
  <c r="AC9" i="36"/>
  <c r="Z9" i="36"/>
  <c r="W14" i="35"/>
  <c r="V14" i="35"/>
  <c r="Y14" i="35"/>
  <c r="X14" i="35"/>
  <c r="M22" i="35"/>
  <c r="M9" i="36" s="1"/>
  <c r="O22" i="35"/>
  <c r="O9" i="36" s="1"/>
  <c r="L22" i="35"/>
  <c r="N22" i="35"/>
  <c r="N9" i="36" s="1"/>
  <c r="W22" i="35"/>
  <c r="W9" i="36" s="1"/>
  <c r="V22" i="35"/>
  <c r="V9" i="36" s="1"/>
  <c r="Y22" i="35"/>
  <c r="Y9" i="36" s="1"/>
  <c r="X22" i="35"/>
  <c r="X9" i="36" s="1"/>
  <c r="Q21" i="35"/>
  <c r="Q10" i="35" s="1"/>
  <c r="S22" i="35"/>
  <c r="S9" i="36" s="1"/>
  <c r="R22" i="35"/>
  <c r="R9" i="36" s="1"/>
  <c r="T22" i="35"/>
  <c r="T9" i="36" s="1"/>
  <c r="Q22" i="35"/>
  <c r="Q9" i="36" s="1"/>
  <c r="M9" i="27"/>
  <c r="M11" i="39" s="1"/>
  <c r="M13" i="39" s="1"/>
  <c r="I22" i="35"/>
  <c r="I9" i="36" s="1"/>
  <c r="G22" i="35"/>
  <c r="G9" i="36" s="1"/>
  <c r="J22" i="35"/>
  <c r="J9" i="36" s="1"/>
  <c r="H22" i="35"/>
  <c r="H9" i="36" s="1"/>
  <c r="E14" i="35"/>
  <c r="B14" i="35"/>
  <c r="D14" i="35"/>
  <c r="C14" i="35"/>
  <c r="I21" i="26"/>
  <c r="I10" i="26" s="1"/>
  <c r="I23" i="26" s="1"/>
  <c r="I48" i="26" s="1"/>
  <c r="Z21" i="35"/>
  <c r="Z10" i="35" s="1"/>
  <c r="Z25" i="35" s="1"/>
  <c r="E21" i="26"/>
  <c r="E10" i="26" s="1"/>
  <c r="E23" i="26" s="1"/>
  <c r="E48" i="26" s="1"/>
  <c r="F21" i="35"/>
  <c r="J21" i="15"/>
  <c r="J18" i="15" s="1"/>
  <c r="J36" i="17" s="1"/>
  <c r="J30" i="39" s="1"/>
  <c r="J34" i="17"/>
  <c r="J23" i="18" s="1"/>
  <c r="I32" i="23"/>
  <c r="H29" i="23"/>
  <c r="H32" i="25"/>
  <c r="H29" i="25" s="1"/>
  <c r="I38" i="23"/>
  <c r="H38" i="25"/>
  <c r="H33" i="25" s="1"/>
  <c r="H33" i="23"/>
  <c r="M32" i="20"/>
  <c r="L29" i="20"/>
  <c r="M19" i="20"/>
  <c r="I19" i="23"/>
  <c r="H19" i="25"/>
  <c r="H12" i="23"/>
  <c r="H21" i="23" s="1"/>
  <c r="L38" i="20"/>
  <c r="I26" i="19"/>
  <c r="D8" i="27"/>
  <c r="D10" i="27" s="1"/>
  <c r="D32" i="27" s="1"/>
  <c r="D9" i="30"/>
  <c r="D31" i="30" s="1"/>
  <c r="L26" i="19"/>
  <c r="L52" i="19" s="1"/>
  <c r="H26" i="19"/>
  <c r="G26" i="19"/>
  <c r="C8" i="27"/>
  <c r="C10" i="27" s="1"/>
  <c r="C32" i="27" s="1"/>
  <c r="C9" i="30"/>
  <c r="C31" i="30" s="1"/>
  <c r="E26" i="19"/>
  <c r="K35" i="17"/>
  <c r="K24" i="18" s="1"/>
  <c r="I35" i="17"/>
  <c r="I24" i="18" s="1"/>
  <c r="I34" i="17"/>
  <c r="I23" i="18" s="1"/>
  <c r="K33" i="20"/>
  <c r="M25" i="18"/>
  <c r="M26" i="18" s="1"/>
  <c r="M24" i="19"/>
  <c r="M10" i="19" s="1"/>
  <c r="AD8" i="36" s="1"/>
  <c r="N46" i="16"/>
  <c r="N28" i="20" s="1"/>
  <c r="N28" i="25" s="1"/>
  <c r="N24" i="19"/>
  <c r="N10" i="19" s="1"/>
  <c r="AE8" i="36" s="1"/>
  <c r="K21" i="15"/>
  <c r="K18" i="15" s="1"/>
  <c r="K36" i="17" s="1"/>
  <c r="K30" i="39" s="1"/>
  <c r="N25" i="18"/>
  <c r="N26" i="18" s="1"/>
  <c r="M46" i="16"/>
  <c r="M28" i="20" s="1"/>
  <c r="M28" i="25" s="1"/>
  <c r="E35" i="17"/>
  <c r="E24" i="18" s="1"/>
  <c r="I37" i="17"/>
  <c r="I28" i="23" s="1"/>
  <c r="I28" i="25" s="1"/>
  <c r="I25" i="18"/>
  <c r="E34" i="17"/>
  <c r="E23" i="18" s="1"/>
  <c r="E25" i="18"/>
  <c r="E37" i="17"/>
  <c r="E28" i="23" s="1"/>
  <c r="E24" i="39" s="1"/>
  <c r="E35" i="39" s="1"/>
  <c r="F18" i="15"/>
  <c r="F36" i="17" s="1"/>
  <c r="F30" i="39" s="1"/>
  <c r="P10" i="35" l="1"/>
  <c r="P25" i="35" s="1"/>
  <c r="O21" i="35"/>
  <c r="O10" i="35" s="1"/>
  <c r="O25" i="35" s="1"/>
  <c r="N21" i="35"/>
  <c r="N10" i="35" s="1"/>
  <c r="R21" i="35"/>
  <c r="R10" i="35" s="1"/>
  <c r="I26" i="18"/>
  <c r="J14" i="33" s="1"/>
  <c r="E26" i="18"/>
  <c r="F14" i="33" s="1"/>
  <c r="O13" i="39"/>
  <c r="K26" i="39"/>
  <c r="S21" i="35"/>
  <c r="S10" i="35" s="1"/>
  <c r="S25" i="35" s="1"/>
  <c r="U10" i="35"/>
  <c r="U25" i="35" s="1"/>
  <c r="J26" i="39"/>
  <c r="M26" i="39"/>
  <c r="L26" i="39"/>
  <c r="G26" i="39"/>
  <c r="N26" i="39"/>
  <c r="H8" i="27"/>
  <c r="H10" i="27" s="1"/>
  <c r="H32" i="27" s="1"/>
  <c r="H23" i="26"/>
  <c r="H48" i="26" s="1"/>
  <c r="M25" i="35"/>
  <c r="T25" i="35"/>
  <c r="L8" i="27"/>
  <c r="L10" i="27" s="1"/>
  <c r="L32" i="27" s="1"/>
  <c r="Q25" i="35"/>
  <c r="O8" i="36"/>
  <c r="O10" i="36" s="1"/>
  <c r="AC8" i="36"/>
  <c r="AC10" i="36" s="1"/>
  <c r="N8" i="36"/>
  <c r="N10" i="36" s="1"/>
  <c r="N25" i="35"/>
  <c r="R25" i="35"/>
  <c r="L8" i="36"/>
  <c r="L25" i="35"/>
  <c r="P8" i="36"/>
  <c r="P10" i="36" s="1"/>
  <c r="G8" i="27"/>
  <c r="G10" i="27" s="1"/>
  <c r="G32" i="27" s="1"/>
  <c r="U10" i="36"/>
  <c r="AD10" i="36"/>
  <c r="F8" i="36"/>
  <c r="F10" i="36" s="1"/>
  <c r="AE10" i="36"/>
  <c r="Z8" i="36"/>
  <c r="Z10" i="36" s="1"/>
  <c r="T8" i="36"/>
  <c r="T10" i="36" s="1"/>
  <c r="R8" i="36"/>
  <c r="R10" i="36" s="1"/>
  <c r="Q8" i="36"/>
  <c r="Q10" i="36" s="1"/>
  <c r="L9" i="36"/>
  <c r="X21" i="35"/>
  <c r="X10" i="35" s="1"/>
  <c r="X25" i="35" s="1"/>
  <c r="W21" i="35"/>
  <c r="W10" i="35" s="1"/>
  <c r="W25" i="35" s="1"/>
  <c r="Y21" i="35"/>
  <c r="Y10" i="35" s="1"/>
  <c r="Y25" i="35" s="1"/>
  <c r="V21" i="35"/>
  <c r="V10" i="35" s="1"/>
  <c r="V25" i="35" s="1"/>
  <c r="M8" i="36"/>
  <c r="M10" i="36" s="1"/>
  <c r="F21" i="26"/>
  <c r="F10" i="26" s="1"/>
  <c r="K21" i="35"/>
  <c r="C21" i="35"/>
  <c r="D21" i="35"/>
  <c r="D10" i="35" s="1"/>
  <c r="D25" i="35" s="1"/>
  <c r="B21" i="35"/>
  <c r="B10" i="35" s="1"/>
  <c r="B25" i="35" s="1"/>
  <c r="E21" i="35"/>
  <c r="E10" i="35" s="1"/>
  <c r="E25" i="35" s="1"/>
  <c r="C10" i="35"/>
  <c r="C25" i="35" s="1"/>
  <c r="K21" i="26"/>
  <c r="K10" i="26" s="1"/>
  <c r="AB21" i="35"/>
  <c r="AB10" i="35" s="1"/>
  <c r="AB25" i="35" s="1"/>
  <c r="J37" i="17"/>
  <c r="J28" i="23" s="1"/>
  <c r="J28" i="25" s="1"/>
  <c r="AA21" i="35"/>
  <c r="AA10" i="35" s="1"/>
  <c r="AA25" i="35" s="1"/>
  <c r="E8" i="27"/>
  <c r="E10" i="27" s="1"/>
  <c r="E32" i="27" s="1"/>
  <c r="I8" i="27"/>
  <c r="I10" i="27" s="1"/>
  <c r="I32" i="27" s="1"/>
  <c r="F10" i="35"/>
  <c r="F25" i="35" s="1"/>
  <c r="J25" i="18"/>
  <c r="J26" i="18" s="1"/>
  <c r="J21" i="26"/>
  <c r="J10" i="26" s="1"/>
  <c r="F27" i="23"/>
  <c r="E23" i="23"/>
  <c r="E40" i="23" s="1"/>
  <c r="E41" i="23" s="1"/>
  <c r="E28" i="25"/>
  <c r="N19" i="20"/>
  <c r="J38" i="23"/>
  <c r="I33" i="23"/>
  <c r="I38" i="25"/>
  <c r="I33" i="25" s="1"/>
  <c r="J19" i="23"/>
  <c r="I19" i="25"/>
  <c r="I12" i="23"/>
  <c r="I21" i="23" s="1"/>
  <c r="N32" i="20"/>
  <c r="M29" i="20"/>
  <c r="M38" i="20"/>
  <c r="J32" i="23"/>
  <c r="I29" i="23"/>
  <c r="I32" i="25"/>
  <c r="I29" i="25" s="1"/>
  <c r="N8" i="27"/>
  <c r="N10" i="27" s="1"/>
  <c r="N32" i="27" s="1"/>
  <c r="N26" i="19"/>
  <c r="N52" i="19" s="1"/>
  <c r="M8" i="27"/>
  <c r="M10" i="27" s="1"/>
  <c r="M32" i="27" s="1"/>
  <c r="M26" i="19"/>
  <c r="M52" i="19" s="1"/>
  <c r="L33" i="20"/>
  <c r="K37" i="17"/>
  <c r="K28" i="23" s="1"/>
  <c r="K28" i="25" s="1"/>
  <c r="K25" i="18"/>
  <c r="K26" i="18" s="1"/>
  <c r="F37" i="17"/>
  <c r="F28" i="23" s="1"/>
  <c r="B35" i="16"/>
  <c r="B32" i="16" s="1"/>
  <c r="B39" i="16" s="1"/>
  <c r="B9" i="14"/>
  <c r="B6" i="14" s="1"/>
  <c r="B33" i="7"/>
  <c r="B16" i="11" s="1"/>
  <c r="B19" i="11" s="1"/>
  <c r="F24" i="39" l="1"/>
  <c r="F35" i="39" s="1"/>
  <c r="S8" i="36"/>
  <c r="S10" i="36" s="1"/>
  <c r="B45" i="39"/>
  <c r="L10" i="36"/>
  <c r="B43" i="19"/>
  <c r="B41" i="19" s="1"/>
  <c r="B42" i="28"/>
  <c r="B40" i="28" s="1"/>
  <c r="F23" i="26"/>
  <c r="F48" i="26" s="1"/>
  <c r="J8" i="27"/>
  <c r="J10" i="27" s="1"/>
  <c r="J32" i="27" s="1"/>
  <c r="AA8" i="36"/>
  <c r="AA10" i="36" s="1"/>
  <c r="K8" i="27"/>
  <c r="K10" i="27" s="1"/>
  <c r="K32" i="27" s="1"/>
  <c r="AB8" i="36"/>
  <c r="AB10" i="36" s="1"/>
  <c r="Y8" i="36"/>
  <c r="Y10" i="36" s="1"/>
  <c r="W8" i="36"/>
  <c r="W10" i="36" s="1"/>
  <c r="B8" i="36"/>
  <c r="B10" i="36" s="1"/>
  <c r="V8" i="36"/>
  <c r="V10" i="36" s="1"/>
  <c r="E8" i="36"/>
  <c r="E10" i="36" s="1"/>
  <c r="D8" i="36"/>
  <c r="D10" i="36" s="1"/>
  <c r="C8" i="36"/>
  <c r="C10" i="36" s="1"/>
  <c r="X8" i="36"/>
  <c r="X10" i="36" s="1"/>
  <c r="K23" i="26"/>
  <c r="K48" i="26" s="1"/>
  <c r="H21" i="35"/>
  <c r="H10" i="35" s="1"/>
  <c r="H25" i="35" s="1"/>
  <c r="I21" i="35"/>
  <c r="I10" i="35" s="1"/>
  <c r="I25" i="35" s="1"/>
  <c r="G21" i="35"/>
  <c r="G10" i="35" s="1"/>
  <c r="G25" i="35" s="1"/>
  <c r="J21" i="35"/>
  <c r="J10" i="35" s="1"/>
  <c r="J25" i="35" s="1"/>
  <c r="K10" i="35"/>
  <c r="K25" i="35" s="1"/>
  <c r="J23" i="26"/>
  <c r="J48" i="26" s="1"/>
  <c r="K32" i="23"/>
  <c r="J29" i="23"/>
  <c r="J32" i="25"/>
  <c r="J29" i="25" s="1"/>
  <c r="N29" i="20"/>
  <c r="K19" i="23"/>
  <c r="J12" i="23"/>
  <c r="J21" i="23" s="1"/>
  <c r="J19" i="25"/>
  <c r="K38" i="23"/>
  <c r="J33" i="23"/>
  <c r="J38" i="25"/>
  <c r="J33" i="25" s="1"/>
  <c r="N38" i="20"/>
  <c r="N33" i="20" s="1"/>
  <c r="G27" i="23"/>
  <c r="G24" i="39" s="1"/>
  <c r="G35" i="39" s="1"/>
  <c r="F23" i="23"/>
  <c r="F40" i="23" s="1"/>
  <c r="F41" i="23" s="1"/>
  <c r="M33" i="20"/>
  <c r="B16" i="18"/>
  <c r="B19" i="18" s="1"/>
  <c r="B40" i="7"/>
  <c r="B44" i="14" s="1"/>
  <c r="B49" i="28" l="1"/>
  <c r="B24" i="30"/>
  <c r="H27" i="23"/>
  <c r="H24" i="39" s="1"/>
  <c r="H35" i="39" s="1"/>
  <c r="G23" i="23"/>
  <c r="G40" i="23" s="1"/>
  <c r="G41" i="23" s="1"/>
  <c r="L38" i="23"/>
  <c r="K33" i="23"/>
  <c r="K38" i="25"/>
  <c r="K33" i="25" s="1"/>
  <c r="L32" i="23"/>
  <c r="K29" i="23"/>
  <c r="K32" i="25"/>
  <c r="K29" i="25" s="1"/>
  <c r="L19" i="23"/>
  <c r="K12" i="23"/>
  <c r="K21" i="23" s="1"/>
  <c r="K19" i="25"/>
  <c r="B41" i="7"/>
  <c r="B21" i="14" s="1"/>
  <c r="B29" i="30" l="1"/>
  <c r="B25" i="27"/>
  <c r="B30" i="27" s="1"/>
  <c r="M32" i="23"/>
  <c r="L29" i="23"/>
  <c r="L32" i="25"/>
  <c r="L29" i="25" s="1"/>
  <c r="I27" i="23"/>
  <c r="I24" i="39" s="1"/>
  <c r="I35" i="39" s="1"/>
  <c r="H23" i="23"/>
  <c r="H40" i="23" s="1"/>
  <c r="H41" i="23" s="1"/>
  <c r="M19" i="23"/>
  <c r="L12" i="23"/>
  <c r="L21" i="23" s="1"/>
  <c r="L19" i="25"/>
  <c r="M38" i="23"/>
  <c r="L33" i="23"/>
  <c r="L38" i="25"/>
  <c r="L33" i="25" s="1"/>
  <c r="B42" i="7"/>
  <c r="B44" i="7" s="1"/>
  <c r="B20" i="18"/>
  <c r="B30" i="18" s="1"/>
  <c r="B20" i="11"/>
  <c r="B21" i="11" s="1"/>
  <c r="B40" i="16"/>
  <c r="B50" i="16" s="1"/>
  <c r="B21" i="18" l="1"/>
  <c r="B7" i="39"/>
  <c r="B8" i="39" s="1"/>
  <c r="B13" i="39" s="1"/>
  <c r="N19" i="23"/>
  <c r="M12" i="23"/>
  <c r="M21" i="23" s="1"/>
  <c r="M19" i="25"/>
  <c r="N38" i="23"/>
  <c r="M33" i="23"/>
  <c r="M38" i="25"/>
  <c r="M33" i="25" s="1"/>
  <c r="J27" i="23"/>
  <c r="J24" i="39" s="1"/>
  <c r="J35" i="39" s="1"/>
  <c r="I23" i="23"/>
  <c r="I40" i="23" s="1"/>
  <c r="I41" i="23" s="1"/>
  <c r="N32" i="23"/>
  <c r="M29" i="23"/>
  <c r="M32" i="25"/>
  <c r="M29" i="25" s="1"/>
  <c r="B45" i="14"/>
  <c r="B45" i="7"/>
  <c r="B44" i="16" s="1"/>
  <c r="B41" i="16"/>
  <c r="B17" i="19"/>
  <c r="B16" i="28"/>
  <c r="B46" i="7"/>
  <c r="B47" i="7" s="1"/>
  <c r="B27" i="21" s="1"/>
  <c r="B43" i="16"/>
  <c r="B23" i="11"/>
  <c r="B23" i="18"/>
  <c r="N29" i="23" l="1"/>
  <c r="N32" i="25"/>
  <c r="N29" i="25" s="1"/>
  <c r="N12" i="23"/>
  <c r="N21" i="23" s="1"/>
  <c r="N19" i="25"/>
  <c r="C26" i="21"/>
  <c r="C26" i="24" s="1"/>
  <c r="B27" i="24"/>
  <c r="K27" i="23"/>
  <c r="K24" i="39" s="1"/>
  <c r="K35" i="39" s="1"/>
  <c r="J23" i="23"/>
  <c r="J40" i="23" s="1"/>
  <c r="J41" i="23" s="1"/>
  <c r="N33" i="23"/>
  <c r="N38" i="25"/>
  <c r="N33" i="25" s="1"/>
  <c r="B22" i="21"/>
  <c r="B38" i="21" s="1"/>
  <c r="B25" i="18"/>
  <c r="B26" i="18" s="1"/>
  <c r="B42" i="14"/>
  <c r="B24" i="18"/>
  <c r="B45" i="16"/>
  <c r="B24" i="11"/>
  <c r="B25" i="11"/>
  <c r="B26" i="11" s="1"/>
  <c r="B24" i="19" l="1"/>
  <c r="B10" i="19" s="1"/>
  <c r="B26" i="19" s="1"/>
  <c r="B29" i="39"/>
  <c r="C22" i="21"/>
  <c r="C38" i="21" s="1"/>
  <c r="B28" i="25"/>
  <c r="B23" i="25" s="1"/>
  <c r="B40" i="25" s="1"/>
  <c r="B22" i="24"/>
  <c r="B38" i="24" s="1"/>
  <c r="C27" i="25"/>
  <c r="C23" i="25" s="1"/>
  <c r="C40" i="25" s="1"/>
  <c r="C22" i="24"/>
  <c r="C38" i="24" s="1"/>
  <c r="D26" i="21"/>
  <c r="L27" i="23"/>
  <c r="L24" i="39" s="1"/>
  <c r="L35" i="39" s="1"/>
  <c r="K23" i="23"/>
  <c r="K40" i="23" s="1"/>
  <c r="K41" i="23" s="1"/>
  <c r="B23" i="28"/>
  <c r="B9" i="28" s="1"/>
  <c r="B25" i="28" s="1"/>
  <c r="B51" i="28" s="1"/>
  <c r="B54" i="28" s="1"/>
  <c r="C53" i="28" s="1"/>
  <c r="C54" i="28" s="1"/>
  <c r="D53" i="28" s="1"/>
  <c r="D54" i="28" s="1"/>
  <c r="B46" i="16"/>
  <c r="B28" i="20" s="1"/>
  <c r="B12" i="23"/>
  <c r="B21" i="23" s="1"/>
  <c r="B41" i="23" s="1"/>
  <c r="B26" i="39" l="1"/>
  <c r="C27" i="20"/>
  <c r="C23" i="20" s="1"/>
  <c r="C40" i="20" s="1"/>
  <c r="B23" i="39"/>
  <c r="M27" i="23"/>
  <c r="M24" i="39" s="1"/>
  <c r="M35" i="39" s="1"/>
  <c r="L23" i="23"/>
  <c r="L40" i="23" s="1"/>
  <c r="L41" i="23" s="1"/>
  <c r="D22" i="21"/>
  <c r="D38" i="21" s="1"/>
  <c r="D26" i="24"/>
  <c r="B7" i="30"/>
  <c r="B8" i="27" s="1"/>
  <c r="B10" i="27" s="1"/>
  <c r="B32" i="27" s="1"/>
  <c r="B23" i="20"/>
  <c r="B40" i="20" s="1"/>
  <c r="D27" i="20" l="1"/>
  <c r="C23" i="39"/>
  <c r="B22" i="39"/>
  <c r="B25" i="39" s="1"/>
  <c r="B41" i="39" s="1"/>
  <c r="B34" i="39"/>
  <c r="B9" i="30"/>
  <c r="B31" i="30" s="1"/>
  <c r="D27" i="25"/>
  <c r="D23" i="25" s="1"/>
  <c r="D40" i="25" s="1"/>
  <c r="D22" i="24"/>
  <c r="D38" i="24" s="1"/>
  <c r="N27" i="23"/>
  <c r="M23" i="23"/>
  <c r="M40" i="23" s="1"/>
  <c r="M41" i="23" s="1"/>
  <c r="B40" i="39" l="1"/>
  <c r="B39" i="39"/>
  <c r="B38" i="39"/>
  <c r="N23" i="23"/>
  <c r="N40" i="23" s="1"/>
  <c r="N41" i="23" s="1"/>
  <c r="N24" i="39"/>
  <c r="N35" i="39" s="1"/>
  <c r="C22" i="39"/>
  <c r="C34" i="39"/>
  <c r="E27" i="20"/>
  <c r="D23" i="39"/>
  <c r="D23" i="20"/>
  <c r="D40" i="20" s="1"/>
  <c r="B47" i="29"/>
  <c r="B50" i="29" s="1"/>
  <c r="C49" i="29" s="1"/>
  <c r="C18" i="22" s="1"/>
  <c r="D47" i="29"/>
  <c r="C47" i="29"/>
  <c r="B42" i="39" l="1"/>
  <c r="D22" i="39"/>
  <c r="D25" i="39" s="1"/>
  <c r="D41" i="39" s="1"/>
  <c r="D34" i="39"/>
  <c r="C25" i="39"/>
  <c r="C40" i="39"/>
  <c r="E23" i="39"/>
  <c r="F27" i="20"/>
  <c r="E23" i="20"/>
  <c r="E27" i="25"/>
  <c r="E23" i="25" s="1"/>
  <c r="E40" i="25" s="1"/>
  <c r="C12" i="22"/>
  <c r="C20" i="22" s="1"/>
  <c r="C39" i="22" s="1"/>
  <c r="C18" i="23"/>
  <c r="C12" i="23" s="1"/>
  <c r="C21" i="23" s="1"/>
  <c r="C41" i="23" s="1"/>
  <c r="C50" i="29"/>
  <c r="D49" i="29" s="1"/>
  <c r="C39" i="39" l="1"/>
  <c r="C38" i="39"/>
  <c r="C41" i="39"/>
  <c r="F27" i="25"/>
  <c r="E22" i="39"/>
  <c r="E25" i="39" s="1"/>
  <c r="E34" i="39"/>
  <c r="D40" i="39"/>
  <c r="D38" i="39"/>
  <c r="D39" i="39"/>
  <c r="B46" i="39"/>
  <c r="D50" i="29"/>
  <c r="D18" i="22"/>
  <c r="C42" i="39" l="1"/>
  <c r="D42" i="39"/>
  <c r="D12" i="22"/>
  <c r="D20" i="22" s="1"/>
  <c r="D39" i="22" s="1"/>
  <c r="D18" i="23"/>
  <c r="D12" i="23" s="1"/>
  <c r="D21" i="23" s="1"/>
  <c r="D41" i="23" s="1"/>
  <c r="B50" i="19"/>
  <c r="B52" i="19" s="1"/>
  <c r="B48" i="39" l="1"/>
  <c r="N15" i="39"/>
  <c r="B51" i="39" s="1"/>
  <c r="J15" i="39"/>
  <c r="J16" i="39" s="1"/>
  <c r="M15" i="39"/>
  <c r="M16" i="39" s="1"/>
  <c r="G15" i="39"/>
  <c r="G16" i="39" s="1"/>
  <c r="E15" i="39"/>
  <c r="E16" i="39" s="1"/>
  <c r="F15" i="39"/>
  <c r="H15" i="39"/>
  <c r="H16" i="39" s="1"/>
  <c r="I15" i="39"/>
  <c r="I16" i="39" s="1"/>
  <c r="K15" i="39"/>
  <c r="K16" i="39" s="1"/>
  <c r="L15" i="39"/>
  <c r="L16" i="39" s="1"/>
  <c r="B55" i="19"/>
  <c r="O16" i="39" l="1"/>
  <c r="N16" i="39"/>
  <c r="B49" i="39"/>
  <c r="B50" i="39" s="1"/>
  <c r="B18" i="21"/>
  <c r="C54" i="19"/>
  <c r="B18" i="24" l="1"/>
  <c r="B18" i="20"/>
  <c r="B12" i="20" s="1"/>
  <c r="B21" i="20" s="1"/>
  <c r="B41" i="20" s="1"/>
  <c r="B33" i="30"/>
  <c r="B34" i="30" s="1"/>
  <c r="C33" i="30" s="1"/>
  <c r="C34" i="30" s="1"/>
  <c r="D33" i="30" s="1"/>
  <c r="D34" i="30" s="1"/>
  <c r="B34" i="27"/>
  <c r="B35" i="27" s="1"/>
  <c r="C34" i="27" s="1"/>
  <c r="C35" i="27" s="1"/>
  <c r="D34" i="27" s="1"/>
  <c r="D35" i="27" s="1"/>
  <c r="E34" i="27" s="1"/>
  <c r="B50" i="26"/>
  <c r="B51" i="26" s="1"/>
  <c r="B12" i="21"/>
  <c r="B20" i="21" s="1"/>
  <c r="B39" i="21" s="1"/>
  <c r="C55" i="19"/>
  <c r="E35" i="27" l="1"/>
  <c r="F16" i="33" s="1"/>
  <c r="F34" i="36"/>
  <c r="F32" i="36" s="1"/>
  <c r="B12" i="24"/>
  <c r="B20" i="24" s="1"/>
  <c r="B39" i="24" s="1"/>
  <c r="B18" i="25"/>
  <c r="B12" i="25" s="1"/>
  <c r="B21" i="25" s="1"/>
  <c r="B41" i="25" s="1"/>
  <c r="C50" i="26"/>
  <c r="C51" i="26" s="1"/>
  <c r="C18" i="21"/>
  <c r="D54" i="19"/>
  <c r="F34" i="27" l="1"/>
  <c r="B34" i="36"/>
  <c r="F35" i="36"/>
  <c r="D55" i="19"/>
  <c r="C18" i="20"/>
  <c r="C12" i="20" s="1"/>
  <c r="C21" i="20" s="1"/>
  <c r="C41" i="20" s="1"/>
  <c r="C12" i="21"/>
  <c r="C20" i="21" s="1"/>
  <c r="C39" i="21" s="1"/>
  <c r="C18" i="24"/>
  <c r="D50" i="26"/>
  <c r="D51" i="26" s="1"/>
  <c r="F52" i="35" s="1"/>
  <c r="B32" i="36" l="1"/>
  <c r="B35" i="36" s="1"/>
  <c r="C34" i="36" s="1"/>
  <c r="C32" i="36" s="1"/>
  <c r="C35" i="36" s="1"/>
  <c r="D34" i="36" s="1"/>
  <c r="K34" i="36"/>
  <c r="G34" i="36"/>
  <c r="B52" i="35"/>
  <c r="C12" i="24"/>
  <c r="C20" i="24" s="1"/>
  <c r="C39" i="24" s="1"/>
  <c r="C18" i="25"/>
  <c r="C12" i="25" s="1"/>
  <c r="C21" i="25" s="1"/>
  <c r="C41" i="25" s="1"/>
  <c r="E50" i="26"/>
  <c r="E51" i="26" s="1"/>
  <c r="D18" i="21"/>
  <c r="E54" i="19"/>
  <c r="F56" i="34" l="1"/>
  <c r="B56" i="34"/>
  <c r="F50" i="26"/>
  <c r="F51" i="26" s="1"/>
  <c r="D18" i="24"/>
  <c r="D12" i="21"/>
  <c r="D20" i="21" s="1"/>
  <c r="D39" i="21" s="1"/>
  <c r="D18" i="20"/>
  <c r="D12" i="20" s="1"/>
  <c r="D21" i="20" s="1"/>
  <c r="D41" i="20" s="1"/>
  <c r="D32" i="36" l="1"/>
  <c r="D35" i="36" s="1"/>
  <c r="E34" i="36" s="1"/>
  <c r="D12" i="24"/>
  <c r="D20" i="24" s="1"/>
  <c r="D39" i="24" s="1"/>
  <c r="D18" i="25"/>
  <c r="D12" i="25" s="1"/>
  <c r="D21" i="25" s="1"/>
  <c r="D41" i="25" s="1"/>
  <c r="G50" i="26"/>
  <c r="G51" i="26" s="1"/>
  <c r="E32" i="36" l="1"/>
  <c r="E35" i="36" s="1"/>
  <c r="H50" i="26"/>
  <c r="H51" i="26" s="1"/>
  <c r="I50" i="26" s="1"/>
  <c r="I51" i="26" s="1"/>
  <c r="J50" i="26" s="1"/>
  <c r="J51" i="26" s="1"/>
  <c r="K50" i="26" s="1"/>
  <c r="K51" i="26" s="1"/>
  <c r="L50" i="26" s="1"/>
  <c r="L51" i="26" s="1"/>
  <c r="M50" i="26" s="1"/>
  <c r="M51" i="26" s="1"/>
  <c r="N50" i="26" s="1"/>
  <c r="N51" i="26" s="1"/>
  <c r="B54" i="34" l="1"/>
  <c r="B57" i="34" s="1"/>
  <c r="C56" i="34" s="1"/>
  <c r="B50" i="35"/>
  <c r="B53" i="35" s="1"/>
  <c r="C52" i="35" s="1"/>
  <c r="F50" i="35" l="1"/>
  <c r="F53" i="35" s="1"/>
  <c r="G52" i="35" s="1"/>
  <c r="K52" i="35" l="1"/>
  <c r="C50" i="35"/>
  <c r="C53" i="35" s="1"/>
  <c r="D52" i="35" s="1"/>
  <c r="C54" i="34" l="1"/>
  <c r="C57" i="34" s="1"/>
  <c r="D56" i="34" s="1"/>
  <c r="G50" i="35" l="1"/>
  <c r="G53" i="35" s="1"/>
  <c r="H52" i="35" s="1"/>
  <c r="D50" i="35" l="1"/>
  <c r="D53" i="35" s="1"/>
  <c r="E52" i="35" s="1"/>
  <c r="K50" i="35"/>
  <c r="K53" i="35" s="1"/>
  <c r="D54" i="34" l="1"/>
  <c r="D57" i="34" s="1"/>
  <c r="E56" i="34" s="1"/>
  <c r="E50" i="35"/>
  <c r="E53" i="35" s="1"/>
  <c r="H50" i="35"/>
  <c r="H53" i="35" s="1"/>
  <c r="I52" i="35" s="1"/>
  <c r="L52" i="35"/>
  <c r="P52" i="35"/>
  <c r="E33" i="20"/>
  <c r="E40" i="20" s="1"/>
  <c r="P50" i="35" l="1"/>
  <c r="P53" i="35" s="1"/>
  <c r="I50" i="35"/>
  <c r="I53" i="35" s="1"/>
  <c r="J52" i="35" s="1"/>
  <c r="L50" i="35"/>
  <c r="L53" i="35" s="1"/>
  <c r="M52" i="35" s="1"/>
  <c r="Q52" i="35" l="1"/>
  <c r="U52" i="35"/>
  <c r="E54" i="34" l="1"/>
  <c r="E57" i="34" s="1"/>
  <c r="J50" i="35"/>
  <c r="J53" i="35" s="1"/>
  <c r="M50" i="35"/>
  <c r="M53" i="35" s="1"/>
  <c r="N52" i="35" s="1"/>
  <c r="E52" i="19" l="1"/>
  <c r="E55" i="19" s="1"/>
  <c r="E18" i="20" s="1"/>
  <c r="U50" i="35"/>
  <c r="U53" i="35" s="1"/>
  <c r="Q50" i="35"/>
  <c r="Q53" i="35" s="1"/>
  <c r="R52" i="35" s="1"/>
  <c r="F54" i="34" l="1"/>
  <c r="F57" i="34" s="1"/>
  <c r="G56" i="34" s="1"/>
  <c r="F54" i="19"/>
  <c r="E12" i="20"/>
  <c r="E21" i="20" s="1"/>
  <c r="E41" i="20" s="1"/>
  <c r="E18" i="25"/>
  <c r="E12" i="25" s="1"/>
  <c r="E21" i="25" s="1"/>
  <c r="E41" i="25" s="1"/>
  <c r="N50" i="35"/>
  <c r="N53" i="35" s="1"/>
  <c r="O52" i="35" s="1"/>
  <c r="Z52" i="35"/>
  <c r="V52" i="35"/>
  <c r="K56" i="34" l="1"/>
  <c r="R50" i="35"/>
  <c r="R53" i="35" s="1"/>
  <c r="S52" i="35" s="1"/>
  <c r="O50" i="35" l="1"/>
  <c r="O53" i="35" s="1"/>
  <c r="Z50" i="35"/>
  <c r="Z53" i="35" s="1"/>
  <c r="AA52" i="35" s="1"/>
  <c r="V50" i="35"/>
  <c r="V53" i="35" s="1"/>
  <c r="W52" i="35" s="1"/>
  <c r="S50" i="35" l="1"/>
  <c r="S53" i="35" s="1"/>
  <c r="T52" i="35" s="1"/>
  <c r="AA50" i="35" l="1"/>
  <c r="AA53" i="35" s="1"/>
  <c r="AB52" i="35" s="1"/>
  <c r="W50" i="35"/>
  <c r="W53" i="35" s="1"/>
  <c r="X52" i="35" s="1"/>
  <c r="T50" i="35" l="1"/>
  <c r="T53" i="35" s="1"/>
  <c r="AB50" i="35" l="1"/>
  <c r="AB53" i="35" s="1"/>
  <c r="AC52" i="35" s="1"/>
  <c r="X50" i="35"/>
  <c r="X53" i="35" s="1"/>
  <c r="Y52" i="35" s="1"/>
  <c r="AC50" i="35" l="1"/>
  <c r="AC53" i="35" s="1"/>
  <c r="AD52" i="35" s="1"/>
  <c r="Y50" i="35"/>
  <c r="Y53" i="35" s="1"/>
  <c r="AD50" i="35" l="1"/>
  <c r="AD53" i="35" s="1"/>
  <c r="AE52" i="35" s="1"/>
  <c r="AE50" i="35" l="1"/>
  <c r="AE53" i="35" s="1"/>
  <c r="AA54" i="34" l="1"/>
  <c r="AB54" i="34" l="1"/>
  <c r="AC54" i="34" l="1"/>
  <c r="AD54" i="34" l="1"/>
  <c r="AE54" i="34" l="1"/>
  <c r="H25" i="36" l="1"/>
  <c r="H30" i="36" s="1"/>
  <c r="F44" i="14"/>
  <c r="F21" i="14" s="1"/>
  <c r="F40" i="16" s="1"/>
  <c r="F50" i="16" s="1"/>
  <c r="F20" i="18" l="1"/>
  <c r="F30" i="18" s="1"/>
  <c r="F17" i="19"/>
  <c r="K17" i="34"/>
  <c r="H17" i="34" s="1"/>
  <c r="F41" i="16"/>
  <c r="F21" i="18" l="1"/>
  <c r="F7" i="39"/>
  <c r="F8" i="39" s="1"/>
  <c r="F13" i="39" s="1"/>
  <c r="F16" i="39" s="1"/>
  <c r="J17" i="34"/>
  <c r="G17" i="34"/>
  <c r="I17" i="34"/>
  <c r="F43" i="16"/>
  <c r="F23" i="18" s="1"/>
  <c r="F45" i="14"/>
  <c r="F42" i="14" s="1"/>
  <c r="F45" i="16" s="1"/>
  <c r="F29" i="39" s="1"/>
  <c r="F44" i="16"/>
  <c r="F24" i="18" s="1"/>
  <c r="B60" i="39" l="1"/>
  <c r="B61" i="39" s="1"/>
  <c r="B62" i="39" s="1"/>
  <c r="B71" i="39" s="1"/>
  <c r="B47" i="39"/>
  <c r="B52" i="39" s="1"/>
  <c r="B53" i="39" s="1"/>
  <c r="B70" i="39" s="1"/>
  <c r="B69" i="39" s="1"/>
  <c r="F26" i="39"/>
  <c r="F25" i="18"/>
  <c r="F26" i="18" s="1"/>
  <c r="G14" i="33" s="1"/>
  <c r="F24" i="19"/>
  <c r="F10" i="19" s="1"/>
  <c r="K24" i="34"/>
  <c r="F46" i="16"/>
  <c r="F28" i="20" s="1"/>
  <c r="F23" i="39" s="1"/>
  <c r="F22" i="39" s="1"/>
  <c r="F25" i="39" s="1"/>
  <c r="B64" i="39" l="1"/>
  <c r="B65" i="39"/>
  <c r="B67" i="39"/>
  <c r="B66" i="39"/>
  <c r="B58" i="39"/>
  <c r="B57" i="39"/>
  <c r="B56" i="39"/>
  <c r="F15" i="33"/>
  <c r="B55" i="39"/>
  <c r="F34" i="39"/>
  <c r="I24" i="34"/>
  <c r="I10" i="34" s="1"/>
  <c r="I28" i="34" s="1"/>
  <c r="H24" i="34"/>
  <c r="H10" i="34" s="1"/>
  <c r="H28" i="34" s="1"/>
  <c r="J24" i="34"/>
  <c r="J10" i="34" s="1"/>
  <c r="J28" i="34" s="1"/>
  <c r="G24" i="34"/>
  <c r="G10" i="34" s="1"/>
  <c r="G28" i="34" s="1"/>
  <c r="K10" i="34"/>
  <c r="K28" i="34" s="1"/>
  <c r="F26" i="19"/>
  <c r="F8" i="27"/>
  <c r="F10" i="27" s="1"/>
  <c r="F32" i="27" s="1"/>
  <c r="F35" i="27" s="1"/>
  <c r="K8" i="36"/>
  <c r="K10" i="36" s="1"/>
  <c r="K32" i="36" s="1"/>
  <c r="K35" i="36" s="1"/>
  <c r="F23" i="20"/>
  <c r="F40" i="20" s="1"/>
  <c r="F28" i="25"/>
  <c r="F23" i="25" s="1"/>
  <c r="F40" i="25" s="1"/>
  <c r="G27" i="20"/>
  <c r="G23" i="39" s="1"/>
  <c r="G22" i="39" l="1"/>
  <c r="G25" i="39" s="1"/>
  <c r="G34" i="39"/>
  <c r="G23" i="20"/>
  <c r="G40" i="20" s="1"/>
  <c r="G27" i="25"/>
  <c r="G23" i="25" s="1"/>
  <c r="G40" i="25" s="1"/>
  <c r="H27" i="20"/>
  <c r="H23" i="39" s="1"/>
  <c r="G16" i="33"/>
  <c r="G34" i="27"/>
  <c r="G35" i="27" s="1"/>
  <c r="J8" i="36"/>
  <c r="J10" i="36" s="1"/>
  <c r="H8" i="36"/>
  <c r="H10" i="36" s="1"/>
  <c r="I8" i="36"/>
  <c r="I10" i="36" s="1"/>
  <c r="P34" i="36"/>
  <c r="L34" i="36"/>
  <c r="G8" i="36"/>
  <c r="G10" i="36" s="1"/>
  <c r="G32" i="36" s="1"/>
  <c r="G35" i="36" s="1"/>
  <c r="H34" i="36" s="1"/>
  <c r="H22" i="39" l="1"/>
  <c r="H25" i="39" s="1"/>
  <c r="H34" i="39"/>
  <c r="H27" i="25"/>
  <c r="H23" i="25" s="1"/>
  <c r="H40" i="25" s="1"/>
  <c r="I27" i="20"/>
  <c r="I23" i="39" s="1"/>
  <c r="H23" i="20"/>
  <c r="H40" i="20" s="1"/>
  <c r="L32" i="36"/>
  <c r="L35" i="36" s="1"/>
  <c r="M34" i="36" s="1"/>
  <c r="H32" i="36"/>
  <c r="H35" i="36" s="1"/>
  <c r="I34" i="36" s="1"/>
  <c r="H16" i="33"/>
  <c r="H34" i="27"/>
  <c r="H35" i="27" s="1"/>
  <c r="P32" i="36"/>
  <c r="P35" i="36" s="1"/>
  <c r="I22" i="39" l="1"/>
  <c r="I25" i="39" s="1"/>
  <c r="I34" i="39"/>
  <c r="M32" i="36"/>
  <c r="M35" i="36" s="1"/>
  <c r="N34" i="36" s="1"/>
  <c r="I32" i="36"/>
  <c r="I35" i="36" s="1"/>
  <c r="J34" i="36" s="1"/>
  <c r="Q34" i="36"/>
  <c r="U34" i="36"/>
  <c r="I16" i="33"/>
  <c r="I34" i="27"/>
  <c r="I35" i="27" s="1"/>
  <c r="I23" i="20"/>
  <c r="I40" i="20" s="1"/>
  <c r="I27" i="25"/>
  <c r="I23" i="25" s="1"/>
  <c r="I40" i="25" s="1"/>
  <c r="J27" i="20"/>
  <c r="J23" i="39" s="1"/>
  <c r="J22" i="39" l="1"/>
  <c r="J25" i="39" s="1"/>
  <c r="J34" i="39"/>
  <c r="J32" i="36"/>
  <c r="J35" i="36" s="1"/>
  <c r="U32" i="36"/>
  <c r="U35" i="36" s="1"/>
  <c r="N32" i="36"/>
  <c r="N35" i="36" s="1"/>
  <c r="O34" i="36" s="1"/>
  <c r="Q32" i="36"/>
  <c r="Q35" i="36" s="1"/>
  <c r="R34" i="36" s="1"/>
  <c r="J23" i="20"/>
  <c r="J40" i="20" s="1"/>
  <c r="J27" i="25"/>
  <c r="J23" i="25" s="1"/>
  <c r="J40" i="25" s="1"/>
  <c r="K27" i="20"/>
  <c r="K23" i="39" s="1"/>
  <c r="J16" i="33"/>
  <c r="J34" i="27"/>
  <c r="J35" i="27" s="1"/>
  <c r="K34" i="27" s="1"/>
  <c r="K35" i="27" s="1"/>
  <c r="L34" i="27" s="1"/>
  <c r="L35" i="27" s="1"/>
  <c r="M34" i="27" s="1"/>
  <c r="M35" i="27" s="1"/>
  <c r="N34" i="27" s="1"/>
  <c r="N35" i="27" s="1"/>
  <c r="K22" i="39" l="1"/>
  <c r="K25" i="39" s="1"/>
  <c r="K34" i="39"/>
  <c r="Z34" i="36"/>
  <c r="V34" i="36"/>
  <c r="O32" i="36"/>
  <c r="O35" i="36" s="1"/>
  <c r="R32" i="36"/>
  <c r="R35" i="36" s="1"/>
  <c r="S34" i="36" s="1"/>
  <c r="K27" i="25"/>
  <c r="K23" i="25" s="1"/>
  <c r="K40" i="25" s="1"/>
  <c r="K23" i="20"/>
  <c r="K40" i="20" s="1"/>
  <c r="L27" i="20"/>
  <c r="L23" i="39" s="1"/>
  <c r="G54" i="34"/>
  <c r="G57" i="34" s="1"/>
  <c r="H56" i="34" s="1"/>
  <c r="L22" i="39" l="1"/>
  <c r="L25" i="39" s="1"/>
  <c r="L34" i="39"/>
  <c r="S32" i="36"/>
  <c r="S35" i="36" s="1"/>
  <c r="T34" i="36" s="1"/>
  <c r="L23" i="20"/>
  <c r="L40" i="20" s="1"/>
  <c r="L27" i="25"/>
  <c r="L23" i="25" s="1"/>
  <c r="L40" i="25" s="1"/>
  <c r="M27" i="20"/>
  <c r="M23" i="39" s="1"/>
  <c r="V32" i="36"/>
  <c r="V35" i="36" s="1"/>
  <c r="W34" i="36" s="1"/>
  <c r="Z32" i="36"/>
  <c r="Z35" i="36" s="1"/>
  <c r="AA34" i="36" s="1"/>
  <c r="M22" i="39" l="1"/>
  <c r="M25" i="39" s="1"/>
  <c r="M34" i="39"/>
  <c r="AA32" i="36"/>
  <c r="AA35" i="36" s="1"/>
  <c r="AB34" i="36" s="1"/>
  <c r="W32" i="36"/>
  <c r="W35" i="36" s="1"/>
  <c r="X34" i="36" s="1"/>
  <c r="M23" i="20"/>
  <c r="M40" i="20" s="1"/>
  <c r="M27" i="25"/>
  <c r="M23" i="25" s="1"/>
  <c r="M40" i="25" s="1"/>
  <c r="N27" i="20"/>
  <c r="N23" i="39" s="1"/>
  <c r="T32" i="36"/>
  <c r="T35" i="36" s="1"/>
  <c r="N22" i="39" l="1"/>
  <c r="N25" i="39" s="1"/>
  <c r="N34" i="39"/>
  <c r="X32" i="36"/>
  <c r="X35" i="36" s="1"/>
  <c r="Y34" i="36" s="1"/>
  <c r="AB32" i="36"/>
  <c r="AB35" i="36" s="1"/>
  <c r="AC34" i="36" s="1"/>
  <c r="N23" i="20"/>
  <c r="N40" i="20" s="1"/>
  <c r="N27" i="25"/>
  <c r="N23" i="25" s="1"/>
  <c r="N40" i="25" s="1"/>
  <c r="H54" i="34" l="1"/>
  <c r="H57" i="34" s="1"/>
  <c r="I56" i="34" s="1"/>
  <c r="AC32" i="36"/>
  <c r="AC35" i="36" s="1"/>
  <c r="AD34" i="36" s="1"/>
  <c r="Y32" i="36"/>
  <c r="Y35" i="36" s="1"/>
  <c r="AD32" i="36" l="1"/>
  <c r="AD35" i="36" s="1"/>
  <c r="AE34" i="36" s="1"/>
  <c r="AE32" i="36" l="1"/>
  <c r="AE35" i="36" s="1"/>
  <c r="I54" i="34" l="1"/>
  <c r="I57" i="34" s="1"/>
  <c r="J56" i="34" s="1"/>
  <c r="K54" i="34" l="1"/>
  <c r="K57" i="34" s="1"/>
  <c r="J54" i="34"/>
  <c r="J57" i="34" s="1"/>
  <c r="F52" i="19"/>
  <c r="F55" i="19" s="1"/>
  <c r="F18" i="20" l="1"/>
  <c r="G54" i="19"/>
  <c r="L56" i="34"/>
  <c r="P56" i="34"/>
  <c r="F12" i="20" l="1"/>
  <c r="F21" i="20" s="1"/>
  <c r="F41" i="20" s="1"/>
  <c r="F18" i="25"/>
  <c r="F12" i="25" s="1"/>
  <c r="F21" i="25" s="1"/>
  <c r="F41" i="25" s="1"/>
  <c r="L54" i="34" l="1"/>
  <c r="L57" i="34" s="1"/>
  <c r="M56" i="34" s="1"/>
  <c r="M54" i="34" l="1"/>
  <c r="M57" i="34" s="1"/>
  <c r="N56" i="34" s="1"/>
  <c r="N54" i="34" l="1"/>
  <c r="N57" i="34" s="1"/>
  <c r="O56" i="34" s="1"/>
  <c r="O54" i="34" l="1"/>
  <c r="O57" i="34" s="1"/>
  <c r="P54" i="34"/>
  <c r="P57" i="34" s="1"/>
  <c r="G52" i="19"/>
  <c r="G55" i="19" s="1"/>
  <c r="G18" i="20" l="1"/>
  <c r="H54" i="19"/>
  <c r="Q56" i="34"/>
  <c r="U56" i="34"/>
  <c r="G12" i="20" l="1"/>
  <c r="G21" i="20" s="1"/>
  <c r="G41" i="20" s="1"/>
  <c r="G18" i="25"/>
  <c r="G12" i="25" s="1"/>
  <c r="G21" i="25" s="1"/>
  <c r="G41" i="25" s="1"/>
  <c r="Q54" i="34" l="1"/>
  <c r="Q57" i="34" s="1"/>
  <c r="R56" i="34" s="1"/>
  <c r="R54" i="34" l="1"/>
  <c r="R57" i="34" s="1"/>
  <c r="S56" i="34" s="1"/>
  <c r="S54" i="34" l="1"/>
  <c r="S57" i="34" s="1"/>
  <c r="T56" i="34" s="1"/>
  <c r="U54" i="34" l="1"/>
  <c r="U57" i="34" s="1"/>
  <c r="T54" i="34"/>
  <c r="T57" i="34" s="1"/>
  <c r="H52" i="19"/>
  <c r="H55" i="19" s="1"/>
  <c r="Z56" i="34" l="1"/>
  <c r="V56" i="34"/>
  <c r="H18" i="20"/>
  <c r="I54" i="19"/>
  <c r="H12" i="20" l="1"/>
  <c r="H21" i="20" s="1"/>
  <c r="H41" i="20" s="1"/>
  <c r="H18" i="25"/>
  <c r="H12" i="25" s="1"/>
  <c r="H21" i="25" s="1"/>
  <c r="H41" i="25" s="1"/>
  <c r="V54" i="34" l="1"/>
  <c r="V57" i="34" s="1"/>
  <c r="W56" i="34" s="1"/>
  <c r="W54" i="34" l="1"/>
  <c r="W57" i="34" s="1"/>
  <c r="X56" i="34" s="1"/>
  <c r="X54" i="34" l="1"/>
  <c r="X57" i="34" s="1"/>
  <c r="Y56" i="34" s="1"/>
  <c r="Y54" i="34" l="1"/>
  <c r="Y57" i="34" s="1"/>
  <c r="Z54" i="34"/>
  <c r="Z57" i="34" s="1"/>
  <c r="AA56" i="34" s="1"/>
  <c r="AA57" i="34" l="1"/>
  <c r="AB56" i="34" s="1"/>
  <c r="I52" i="19"/>
  <c r="I55" i="19" s="1"/>
  <c r="I18" i="20" l="1"/>
  <c r="J54" i="19"/>
  <c r="J55" i="19" s="1"/>
  <c r="AB57" i="34"/>
  <c r="AC56" i="34" s="1"/>
  <c r="AC57" i="34" l="1"/>
  <c r="AD56" i="34" s="1"/>
  <c r="J18" i="20"/>
  <c r="K54" i="19"/>
  <c r="K55" i="19" s="1"/>
  <c r="I18" i="25"/>
  <c r="I12" i="25" s="1"/>
  <c r="I21" i="25" s="1"/>
  <c r="I41" i="25" s="1"/>
  <c r="I12" i="20"/>
  <c r="I21" i="20" s="1"/>
  <c r="I41" i="20" s="1"/>
  <c r="K18" i="20" l="1"/>
  <c r="L54" i="19"/>
  <c r="L55" i="19" s="1"/>
  <c r="J18" i="25"/>
  <c r="J12" i="25" s="1"/>
  <c r="J21" i="25" s="1"/>
  <c r="J41" i="25" s="1"/>
  <c r="J12" i="20"/>
  <c r="J21" i="20" s="1"/>
  <c r="J41" i="20" s="1"/>
  <c r="AD57" i="34"/>
  <c r="AE56" i="34" s="1"/>
  <c r="AE57" i="34" l="1"/>
  <c r="L18" i="20"/>
  <c r="M54" i="19"/>
  <c r="M55" i="19" s="1"/>
  <c r="K12" i="20"/>
  <c r="K21" i="20" s="1"/>
  <c r="K41" i="20" s="1"/>
  <c r="K18" i="25"/>
  <c r="K12" i="25" s="1"/>
  <c r="K21" i="25" s="1"/>
  <c r="K41" i="25" s="1"/>
  <c r="L18" i="25" l="1"/>
  <c r="L12" i="25" s="1"/>
  <c r="L21" i="25" s="1"/>
  <c r="L41" i="25" s="1"/>
  <c r="L12" i="20"/>
  <c r="L21" i="20" s="1"/>
  <c r="L41" i="20" s="1"/>
  <c r="N54" i="19"/>
  <c r="N55" i="19" s="1"/>
  <c r="N18" i="20" s="1"/>
  <c r="M18" i="20"/>
  <c r="N12" i="20" l="1"/>
  <c r="N21" i="20" s="1"/>
  <c r="N41" i="20" s="1"/>
  <c r="N18" i="25"/>
  <c r="N12" i="25" s="1"/>
  <c r="N21" i="25" s="1"/>
  <c r="N41" i="25" s="1"/>
  <c r="M18" i="25"/>
  <c r="M12" i="25" s="1"/>
  <c r="M21" i="25" s="1"/>
  <c r="M41" i="25" s="1"/>
  <c r="M12" i="20"/>
  <c r="M21" i="20" s="1"/>
  <c r="M41" i="20" s="1"/>
</calcChain>
</file>

<file path=xl/sharedStrings.xml><?xml version="1.0" encoding="utf-8"?>
<sst xmlns="http://schemas.openxmlformats.org/spreadsheetml/2006/main" count="1669" uniqueCount="797">
  <si>
    <t>Обрабатываемая площадь, га</t>
  </si>
  <si>
    <t>Собственность, га</t>
  </si>
  <si>
    <t>Аренда, га</t>
  </si>
  <si>
    <t>Покупка в собственность ежегодно, га</t>
  </si>
  <si>
    <t>Новая земля в аренде, га</t>
  </si>
  <si>
    <t>Макроэкономика</t>
  </si>
  <si>
    <t>Курс USD/RUR, среднегодовой</t>
  </si>
  <si>
    <t>Курс USD/RUR, на начало периода</t>
  </si>
  <si>
    <t>Инфляция российская, % в год</t>
  </si>
  <si>
    <t>Изменение уровня инфляции российской, % к предыдущему году</t>
  </si>
  <si>
    <t>Темп изменения курса USD/RUR, % в год</t>
  </si>
  <si>
    <t>Инфляция мировая, % в год</t>
  </si>
  <si>
    <t>Изменение уровня инфляции мировой, % к предыдущему году</t>
  </si>
  <si>
    <t>Актуальные данные</t>
  </si>
  <si>
    <t>Налог на прибыль, Россия, %</t>
  </si>
  <si>
    <t>Налог на прибыль, Кипр, %</t>
  </si>
  <si>
    <t>Налог на добавленную стоимость, Россия, %</t>
  </si>
  <si>
    <t>Налог на имущество, Россия, %</t>
  </si>
  <si>
    <t>Налог на землю, Россия, %</t>
  </si>
  <si>
    <t>Макроэкономические</t>
  </si>
  <si>
    <t>Внутренний рынок</t>
  </si>
  <si>
    <t>Внешний рынок</t>
  </si>
  <si>
    <t>Рост цен на компоненты себестоимости</t>
  </si>
  <si>
    <t>Постоянное увеличение цен на все компоненты</t>
  </si>
  <si>
    <t>Описание</t>
  </si>
  <si>
    <t>Виды рисков</t>
  </si>
  <si>
    <t>Реализация в модели</t>
  </si>
  <si>
    <t>Затраты на производство, оплату труда, транспорт и т.п. инфлируются с заданным уровнем. При этом сам уровень инфляции растет/снижается ежегодно с заданным темпом</t>
  </si>
  <si>
    <t>Инфляция издержек (Cost inflation), Россия</t>
  </si>
  <si>
    <t>Инфляция издержек (Cost inflation), мир/внешний рынок</t>
  </si>
  <si>
    <t>Рост цен на транспортировку</t>
  </si>
  <si>
    <t>Затраты на закупаемое сырье, материалы, технику, а также транспортные расходы и т.п. инфлируются с заданным уровнем. При этом сам уровень инфляции растет/снижается ежегодно с заданным темпом</t>
  </si>
  <si>
    <t>На внутреннем рынке рост цены реализации должен быть эквивалентен уровню инфляции в стране</t>
  </si>
  <si>
    <t>На внешнем рынке рост цены реализации должен быть эквивалентен уровню инфляции в мире</t>
  </si>
  <si>
    <t xml:space="preserve"> - увеличение</t>
  </si>
  <si>
    <t xml:space="preserve"> - снижение</t>
  </si>
  <si>
    <t>Изменение обменного курса доллара к рублю (USD/RUR):</t>
  </si>
  <si>
    <t>При росте курса - проигрыш при импорте сырья, материалов, техники. При снижении курса - проиграш при реализации на внешнем рынке.</t>
  </si>
  <si>
    <t>Рост цен на импортируемое сырье, материалы и технику</t>
  </si>
  <si>
    <t>отрицательно не влияет</t>
  </si>
  <si>
    <t>Негативное влияние</t>
  </si>
  <si>
    <t>Позитивное влияние</t>
  </si>
  <si>
    <t>Цены на импортируемые компоненты и себестоимость закупаемого для перепродажи товара - инфлируются/дефлируются пропорционально изменению курса.</t>
  </si>
  <si>
    <t>При учете операций в долларах: рост рентабельности экспортных операций</t>
  </si>
  <si>
    <t>При учете операций в долларах: рост рентабельности продаж на внутреннем рынке</t>
  </si>
  <si>
    <t>Налоговые</t>
  </si>
  <si>
    <t>Введение новых видов налогов в России и оффшорных зонах</t>
  </si>
  <si>
    <t>не рассматривается</t>
  </si>
  <si>
    <t>не рассматривается, но изменение ставок может быть применено</t>
  </si>
  <si>
    <t>Погодно-климатические</t>
  </si>
  <si>
    <t>Глобальное изменение климата</t>
  </si>
  <si>
    <t>Ежегодные колебания погодно-климатических условий</t>
  </si>
  <si>
    <t>В базовой модели рассматривается усредненная погодно-климатическая шкала. В сценариях рассматриваются колебания погодных условий.</t>
  </si>
  <si>
    <t>Негативные погодные условия существенно снижают урожайность в производстве</t>
  </si>
  <si>
    <t>Снижение объемов производства и продаж</t>
  </si>
  <si>
    <t>Увеличение себестоимости закупок на внутреннем рынке</t>
  </si>
  <si>
    <t>При негативном влиянии погодных условий цены реализации растут, так как объем произведенного товара на рынке уменьшается</t>
  </si>
  <si>
    <t>Учет операций ведется в долларах, так как основная часть реализации - в долларах</t>
  </si>
  <si>
    <t>Производственные</t>
  </si>
  <si>
    <t>Увеличение ставок арендной платы за землю</t>
  </si>
  <si>
    <t>Увеличение ставок налогообложения в России</t>
  </si>
  <si>
    <t>Увеличение ставок налогообложения в оффшорных зонах</t>
  </si>
  <si>
    <t>Напрямую влияет на чистую прибыль компании (Net Profit)</t>
  </si>
  <si>
    <t>Ставки арендной платы находятся под влиянием: уровня инфляции и роста цен на производимые товары</t>
  </si>
  <si>
    <t>Увеличение себестоимости производства</t>
  </si>
  <si>
    <t>В модели ставки арендной платы за землю растут пропорционально уровню инфляции. Влияние роста цен на продукцию не учитывается.</t>
  </si>
  <si>
    <t>Увеличение ставок аренды вызывает рост цен на продукцию на всем рынке</t>
  </si>
  <si>
    <t>Увеличение цены покупки земли в собственность</t>
  </si>
  <si>
    <t>Увеличение инвестиционной потребности проекта, снижение объема остающейся ликвидности</t>
  </si>
  <si>
    <t>В модели цены приобретения земли растут пропорционально уровню инфляции. Влияние роста цен на продукцию не учитывается.</t>
  </si>
  <si>
    <t>Необходимость изменения используемых технологий</t>
  </si>
  <si>
    <t>Увеличение роста затрат на восстановление почв и т.п.</t>
  </si>
  <si>
    <t>Снижение уровня получаемых государственных субсидий</t>
  </si>
  <si>
    <t>Размер субсидий, получаемых от государства в расчете на 1 га остается константным</t>
  </si>
  <si>
    <t>Задержка в возврате из бюджета уплаченного НДС при экспорте</t>
  </si>
  <si>
    <t>Влияет на cash flow компании, уменьшая ликвидные средства</t>
  </si>
  <si>
    <t>В модели применяется метод возмещения НДС из бюджета под банковскую гарантию</t>
  </si>
  <si>
    <t>Принимается равной 0</t>
  </si>
  <si>
    <t>При экпорте - увеличивает финансовые расходы на сумму обслуживания банковских гарантий</t>
  </si>
  <si>
    <t>Ценовые</t>
  </si>
  <si>
    <t>Снижение цен реализации продукции</t>
  </si>
  <si>
    <t>Снижает выручку от продаж</t>
  </si>
  <si>
    <t>на внутреннем рынке</t>
  </si>
  <si>
    <t>на внешнем рынке</t>
  </si>
  <si>
    <t>Кадастровая стоимость 1 га земли (средняя), RUR/га</t>
  </si>
  <si>
    <t>Социальные начисления на фонд оплаты труда, Россия, %</t>
  </si>
  <si>
    <t>Налоги и субсидии</t>
  </si>
  <si>
    <t>Поскольку стоимость данных работ на 100% субсидируется государством, данный риск не учитывается</t>
  </si>
  <si>
    <t>Стоимость аренды, RUR/га в год</t>
  </si>
  <si>
    <t>Покупка в собственность, RUR/га</t>
  </si>
  <si>
    <t>Стоимость аренды, USD/га в год</t>
  </si>
  <si>
    <t>Покупка в собственность, USD/га</t>
  </si>
  <si>
    <t>Земля</t>
  </si>
  <si>
    <t>Доля в севообороте</t>
  </si>
  <si>
    <t>Земля в обработке, га</t>
  </si>
  <si>
    <t>Площадь подсолнечника, га</t>
  </si>
  <si>
    <t>Площадь пшеницы, га</t>
  </si>
  <si>
    <t>Урожайность в зависимости от погодных условий</t>
  </si>
  <si>
    <t>Бедствие</t>
  </si>
  <si>
    <t>Средняя</t>
  </si>
  <si>
    <t>Высокая</t>
  </si>
  <si>
    <t>Урожайность:</t>
  </si>
  <si>
    <t>Пшеница, % от обрабатываемых земель</t>
  </si>
  <si>
    <t>Подсолнечник, % от обрабатываемых земель</t>
  </si>
  <si>
    <t>Пшеница, тонн/га</t>
  </si>
  <si>
    <t>Подсолнечник, тонн/га</t>
  </si>
  <si>
    <t>Валовый сбор:</t>
  </si>
  <si>
    <t>Пшеница, тонн</t>
  </si>
  <si>
    <t>Подсолнечник, тонн</t>
  </si>
  <si>
    <t>Потери при первичной обработке:</t>
  </si>
  <si>
    <t>Нормы потерь при первичной обработке:</t>
  </si>
  <si>
    <t>Урожайность по годам:</t>
  </si>
  <si>
    <t>Пшеница, % от валового сбора</t>
  </si>
  <si>
    <t>Подсолнечник, % от валового сбора</t>
  </si>
  <si>
    <t>Вес после доработки:</t>
  </si>
  <si>
    <t>Потребление на семена из собственного урожая:</t>
  </si>
  <si>
    <t>Окончательный вес урожая:</t>
  </si>
  <si>
    <t>Производственный дивизион</t>
  </si>
  <si>
    <t>Отчет о прибылях и убытках</t>
  </si>
  <si>
    <t>в USD</t>
  </si>
  <si>
    <t>Цены реализации</t>
  </si>
  <si>
    <t>На внутреннем рынке:</t>
  </si>
  <si>
    <t>На экспорт (FOB):</t>
  </si>
  <si>
    <t>Пшеница, USD за тонну</t>
  </si>
  <si>
    <t>Подсолнечник, USD за тонну</t>
  </si>
  <si>
    <t>Пшеница, RUR за тонну без НДС</t>
  </si>
  <si>
    <t>Подсолнечник, RUR за тонну без НДС</t>
  </si>
  <si>
    <t>Цены реализации в зависимости от погодных условий</t>
  </si>
  <si>
    <t>Базовая цена пшеницы, USD за тонну</t>
  </si>
  <si>
    <t>Базовая цена подсолнечника, USD за тонну</t>
  </si>
  <si>
    <t>В модели применена стратегия хеджирования путем покупки опционов PUT на весь производимый и закупаемый объем. При этом рост цены реализации основан на среднем арифметическом инфляции за весь период, а не на ее значениях в конкретный год.</t>
  </si>
  <si>
    <t>ВЫРУЧКА</t>
  </si>
  <si>
    <t>Пшеница, USD</t>
  </si>
  <si>
    <t>Подсолнечник, RUR</t>
  </si>
  <si>
    <t>Подсолнечник, USD</t>
  </si>
  <si>
    <t>ИТОГО:</t>
  </si>
  <si>
    <t>Удобрения</t>
  </si>
  <si>
    <t>ГСМ</t>
  </si>
  <si>
    <t>Средства защиты растений</t>
  </si>
  <si>
    <t>Прочие материалы</t>
  </si>
  <si>
    <t>Налог на имущество</t>
  </si>
  <si>
    <t>Налог на землю</t>
  </si>
  <si>
    <t>Себестоимость производства (Cost of sales), всего</t>
  </si>
  <si>
    <t>Сырье и материалы (Raw materials), в том числе:</t>
  </si>
  <si>
    <t>Арендная плата за землю (Rental expenses)</t>
  </si>
  <si>
    <t>Заработная плата (Payroll)</t>
  </si>
  <si>
    <t>Начисления на заработную плату (Payroll related social charges)</t>
  </si>
  <si>
    <t>Ремонт техники (Repair and maintenance costs)</t>
  </si>
  <si>
    <t>Услуги сторонних организаций (Services)</t>
  </si>
  <si>
    <t>Уплаченные налоги (Taxes and duties), в том числе:</t>
  </si>
  <si>
    <t>Прочие расходы, относимые на себестоимость (Other costs)</t>
  </si>
  <si>
    <t>Амортизация (Amortization and Depreciation)</t>
  </si>
  <si>
    <t>Учетные предположения</t>
  </si>
  <si>
    <t>Семена импортируемые</t>
  </si>
  <si>
    <t>Валовая прибыль (Gross profit)</t>
  </si>
  <si>
    <t>Административные расходы (Administrative expenses)</t>
  </si>
  <si>
    <t>Расходы по реализации товаров (Selling expenses)</t>
  </si>
  <si>
    <t>Государственные субсидии (Government grants)</t>
  </si>
  <si>
    <t>Прочие доходы/расходы (Other operating gains/losses)</t>
  </si>
  <si>
    <t>Операционная прибыль (Operating profit)</t>
  </si>
  <si>
    <t>Финансовые расходы (Finance costs)</t>
  </si>
  <si>
    <t>Прибыль до налогообложения (Profit before tax)</t>
  </si>
  <si>
    <t>Налог на прибыль (Income tax)</t>
  </si>
  <si>
    <t>Чистая прибыль (Net Profit/Profit for the year)</t>
  </si>
  <si>
    <t>Расходы по транспортировке:</t>
  </si>
  <si>
    <t>Расходы по погрузке в порту:</t>
  </si>
  <si>
    <t>Финансовые расходы по обслуживанию гарантий для немедленного возмещения НДС:</t>
  </si>
  <si>
    <t>Сумма НДС к возмещению ежеквартально, RUR = сумма банковской гарантии</t>
  </si>
  <si>
    <t>Процентная ставка по гарантии, % годовых в RUR</t>
  </si>
  <si>
    <t>Сумма процентов, подлежащих уплате по выданным гарантиям, RUR в год</t>
  </si>
  <si>
    <t>Сумма процентов, подлежащих уплате по выданным гарантиям, USD в год</t>
  </si>
  <si>
    <t>Проценты по гарантиям для получения НДС (Interest expense on guarantees)</t>
  </si>
  <si>
    <t>Проценты по лизингу техники уплаченные (Interest expense on finance lease)</t>
  </si>
  <si>
    <t>Проценты по банковским кредитам уплаченные (Interest expense on borrowings)</t>
  </si>
  <si>
    <t>Потребность в технике на 1 га, USD/га</t>
  </si>
  <si>
    <t>Срок лизинга, лет</t>
  </si>
  <si>
    <t>Процентная ставка по лизингу, % годовых в USD</t>
  </si>
  <si>
    <r>
      <rPr>
        <b/>
        <i/>
        <sz val="11"/>
        <color theme="1"/>
        <rFont val="Calibri"/>
        <family val="2"/>
        <charset val="204"/>
        <scheme val="minor"/>
      </rPr>
      <t>Схема лизинга:</t>
    </r>
    <r>
      <rPr>
        <sz val="11"/>
        <color theme="1"/>
        <rFont val="Calibri"/>
        <family val="2"/>
        <charset val="204"/>
        <scheme val="minor"/>
      </rPr>
      <t xml:space="preserve"> проценты + ускоренная амортизация до нулевой стоимости</t>
    </r>
  </si>
  <si>
    <t>Дополнительно приобретаемая техника в лизинг (при приобретении новых земель в аренду), USD всего</t>
  </si>
  <si>
    <t>Балансовая стоимость имущества, переданного в лизинг, USD</t>
  </si>
  <si>
    <t>Накопленная амортизация, USD</t>
  </si>
  <si>
    <t>Амортизация за год, USD</t>
  </si>
  <si>
    <t>Проценты по лизингу уплаченные за год, USD</t>
  </si>
  <si>
    <t xml:space="preserve">Лизинг техники: балансовая и остаточная стоимость, амортизация, уплаченные проценты </t>
  </si>
  <si>
    <t>Техника импортная, государственных субсидий нет</t>
  </si>
  <si>
    <t>Сумма амортизационных отчислений ежегодно (с учетом приобретаемой техники), USD</t>
  </si>
  <si>
    <t>Сумма налога на имущество (с учетом приобретаемой техники), ежегодно USD</t>
  </si>
  <si>
    <t>Сумма налога на имущество (без учета приобретаемой техники), ежегодно RUR</t>
  </si>
  <si>
    <t>Выплаченные дивиденды (Dividends paid)</t>
  </si>
  <si>
    <t>Предположения об акционерном капитале</t>
  </si>
  <si>
    <t>Чистая прибыль, относимая к (Profit for the year, attributable to:):</t>
  </si>
  <si>
    <t>Основным акционерам (Principal equity holders)</t>
  </si>
  <si>
    <t>Неконтролирующим акционерам (Minority/Non-controlling interests)</t>
  </si>
  <si>
    <t>Прибыль, остающаяся в распоряжении компании (Retained earnings)</t>
  </si>
  <si>
    <t>Торговый дивизион</t>
  </si>
  <si>
    <t>Цена закупки пшеницы у Производственного Дивизиона, USD за тонну</t>
  </si>
  <si>
    <t>Налог на прибыль для сельхозпроизводителей, Россия, %</t>
  </si>
  <si>
    <t>Административные расходы Производственного Дивизиона, RUR в год</t>
  </si>
  <si>
    <t>Административные расходы Производственного Дивизиона, USD в год</t>
  </si>
  <si>
    <t>Административные расходы:</t>
  </si>
  <si>
    <t>Выручка от продаж пшеницы</t>
  </si>
  <si>
    <t>Выручка от продаж подсолнечника</t>
  </si>
  <si>
    <t>Производственного Дивизиона</t>
  </si>
  <si>
    <t>(Income statement)</t>
  </si>
  <si>
    <t>Минимальная норма прибыли при продаже FOB-FOB, USD за тонну</t>
  </si>
  <si>
    <t>Минимальная дополнительная норма прибыли при продаже CIF/C&amp;F, USD за тонну</t>
  </si>
  <si>
    <t>Расходы по хеджированию рисков:</t>
  </si>
  <si>
    <t>Общие расходы по хеджированию, USD</t>
  </si>
  <si>
    <t>Уровень поддержки при операциях по хеджированию, USD за тонну</t>
  </si>
  <si>
    <t>Базис цены при операциях по хеджированию, USD за тонну</t>
  </si>
  <si>
    <t>Пшеница стоимость опциона PUT, USD за тонну</t>
  </si>
  <si>
    <t>Дополнительные доходы от хеджа при снижении цены ниже уровня поддержки, USD</t>
  </si>
  <si>
    <t>Расходы по хеджированию (Hedge expense)</t>
  </si>
  <si>
    <t>Объем хеджируемого товара, тонн</t>
  </si>
  <si>
    <t>Объем пшеницы, приобретаемый у Производственного Дивизиона, тонн</t>
  </si>
  <si>
    <t>Объем пшеницы, приобретаемый у неаффилированных поставщиков, тонн</t>
  </si>
  <si>
    <t>Цена закупки пшеницы (максимальная) у неаффилированных поставщиков, USD за тонну</t>
  </si>
  <si>
    <r>
      <rPr>
        <b/>
        <i/>
        <sz val="11"/>
        <color theme="1"/>
        <rFont val="Calibri"/>
        <family val="2"/>
        <charset val="204"/>
        <scheme val="minor"/>
      </rPr>
      <t>Хеджа нет</t>
    </r>
    <r>
      <rPr>
        <sz val="11"/>
        <color theme="1"/>
        <rFont val="Calibri"/>
        <family val="2"/>
        <charset val="204"/>
        <scheme val="minor"/>
      </rPr>
      <t>, потому что неуменьшаемый запас состоит из товара, поставленного Производственным дивизионом, который уже захеджирован</t>
    </r>
  </si>
  <si>
    <t>Объем закупок у неаффилированных поставщиков в зависимости от урожайности</t>
  </si>
  <si>
    <t>Рост объема товара, купленного у неаффилированных поставщиков, % в год</t>
  </si>
  <si>
    <r>
      <t>Производственный Дивизион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</si>
  <si>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 xml:space="preserve">Факторы риска, влияющие на финансовые результаты группы компаний </t>
    </r>
    <r>
      <rPr>
        <b/>
        <sz val="16"/>
        <color rgb="FFFF0000"/>
        <rFont val="Calibri"/>
        <family val="2"/>
        <charset val="204"/>
        <scheme val="minor"/>
      </rPr>
      <t>"Заря коммунизма"</t>
    </r>
  </si>
  <si>
    <t>Сумма, уплаченная Производственному Дивизиону, USD</t>
  </si>
  <si>
    <t>Объем закупок у Производственного Дивизиона, тонн</t>
  </si>
  <si>
    <t>Объем закупок у неаффилированных поставщиков, тонн</t>
  </si>
  <si>
    <t>Сумма, уплаченная неаффилированным поставщикам, USD</t>
  </si>
  <si>
    <t>Объем товара, проданный на условиях FOB-FOB, тонн</t>
  </si>
  <si>
    <t>Выручка от продаж на условиях FOB-FOB, USD</t>
  </si>
  <si>
    <t>Объем товара, проданный на условиях FOB-CIF, тонн</t>
  </si>
  <si>
    <t>Выручка от продаж на условиях FOB-CIF, USD</t>
  </si>
  <si>
    <t>Доля торговли на условиях FOB-FOB, % к общему объему реализации</t>
  </si>
  <si>
    <t>Доля торговли на условиях FOB-CIF, % к общему объему реализации</t>
  </si>
  <si>
    <t>Доля покрытия аккредитивами (L/C) торговли на условиях FOB-CIF, % к общему объему реализации</t>
  </si>
  <si>
    <t>Плата за обслуживание и негоциацию (negotiation) аккредитивов, % от суммы аккредитива</t>
  </si>
  <si>
    <t>Возврат валютной выручки Производственному Дивизиону осуществляется по получению выручки от конечных покупателей. Срок возврата, дней:</t>
  </si>
  <si>
    <t>Реализованные курсовые разницы при продаже валюты, % от общего объема продаж</t>
  </si>
  <si>
    <t>Прочие внереализационные доходы/расходы (Курсовые разницы при продаже валюты, Other non-operating costs/Currency exchange costs)</t>
  </si>
  <si>
    <t>Финансовые доходы (доходы от хеджа; Finance incomes/Hedge incomes)</t>
  </si>
  <si>
    <t>Срок реализации всего объема товара, равными долями:</t>
  </si>
  <si>
    <t>Пшеница, месяцев с момента уборки (июль)</t>
  </si>
  <si>
    <t>Подсолнечник, месяцев с момента уборки (сентябрь)</t>
  </si>
  <si>
    <t>Объем закупленного товара, тонн всего</t>
  </si>
  <si>
    <t>Сумма, уплаченная всем поставщикам, USD</t>
  </si>
  <si>
    <t>Усредненная себестоимость товара, USD за тонну</t>
  </si>
  <si>
    <t>Цена реализации FOB-FOB, USD за тонну</t>
  </si>
  <si>
    <t>Цена реализации FOB-CIF (без учета стоимости страхования и фрахта), USD за тонну</t>
  </si>
  <si>
    <t>Усредненная стоимость фрахта и страхования при разных состояниях рынка</t>
  </si>
  <si>
    <t>Усредненная стоимость фрахта и страхования, USD за тонну</t>
  </si>
  <si>
    <t>Усредненная инфлированная стоимость фрахта и страхования, USD за тонну</t>
  </si>
  <si>
    <t>Усредненная базовая стоимость фрахта и страхования, USD за тонну</t>
  </si>
  <si>
    <t>Среднее значение уровня российской инфляции за период 2012 -2022, % к предыдущему году</t>
  </si>
  <si>
    <t>Среднее значение уровня мировой инфляции за период 2012 -2022, % к предыдущему году</t>
  </si>
  <si>
    <t>Условия продаж:</t>
  </si>
  <si>
    <t>Выручка от продаж (Revenues), всего</t>
  </si>
  <si>
    <t>Стоимость страхования и фрахта, USD за тонну</t>
  </si>
  <si>
    <t>Цена реализации FOB-CIF (с учетом стоимости страхования и фрахта), USD за тонну</t>
  </si>
  <si>
    <t>Выручка от продаж всего, USD</t>
  </si>
  <si>
    <t>Расходы на страхование и фрахт, всего USD</t>
  </si>
  <si>
    <t>Потери (Демередж (Demurrage), Мертвый фрахт (Dead freight), Детеншн (Detention Charge) и т.п.), всего USD</t>
  </si>
  <si>
    <t>Минимальная норма прибыли при закупках у неаффилированных поставщиков в соотношении с закупками у Производственного Дивизиона, USD за тонну</t>
  </si>
  <si>
    <t>Расходы на обслуживание аккредитивов (L/C), USD</t>
  </si>
  <si>
    <t>Торгового Дивизиона</t>
  </si>
  <si>
    <t>Выручка от продаж на условиях FOB-FOB</t>
  </si>
  <si>
    <t>Выручка от продаж на условиях FOB-CIF</t>
  </si>
  <si>
    <t>Себестоимость закупок (Cost of sales), всего</t>
  </si>
  <si>
    <t>Товары для перепродажи (Goods for resale), в том числе:</t>
  </si>
  <si>
    <t>Закупленные у Производственного Дивизиона</t>
  </si>
  <si>
    <t>Закупленные у неаффилированных поставщиков</t>
  </si>
  <si>
    <t>Услуги сторонних организаций (Brokerage)</t>
  </si>
  <si>
    <t>Расходы на услуги сторонних организаций (Торговые брокеры (Brokerage)), % от суммы всей выручки от продаж</t>
  </si>
  <si>
    <t>Норма потерь (Демередж (Demurrage), Мертвый фрахт (Dead freight), Детеншн (Detention Charge) и т.п.), % от всей выручки от продаж</t>
  </si>
  <si>
    <t>Бонусы трейдерам, включаемые в административные расходы Торгового Дивизиона, USD в год</t>
  </si>
  <si>
    <t>Уплаченные налоги (Taxes and duties)</t>
  </si>
  <si>
    <t>Валовая торговая маржа (Gross margin) всего, USD</t>
  </si>
  <si>
    <t>Бонус трейдера, % от валовой торговой маржи (Gross Margin), полученной Торговым Дивизионом</t>
  </si>
  <si>
    <r>
      <rPr>
        <b/>
        <i/>
        <sz val="11"/>
        <color theme="1"/>
        <rFont val="Calibri"/>
        <family val="2"/>
        <charset val="204"/>
        <scheme val="minor"/>
      </rPr>
      <t xml:space="preserve">Валовая торговая маржа (Gross margin) </t>
    </r>
    <r>
      <rPr>
        <sz val="11"/>
        <color theme="1"/>
        <rFont val="Calibri"/>
        <family val="2"/>
        <charset val="204"/>
        <scheme val="minor"/>
      </rPr>
      <t>исчисляется как валовая прибыль, уменьшенная на финансовые расходы по обслуживанию торговых операций, услуги сторонних организаций, арбитражные и судебные расходы и уплаченные штрафы</t>
    </r>
  </si>
  <si>
    <t>Услуги сторонних организаций (Brokerage), USD</t>
  </si>
  <si>
    <t>Судебные и арбитражные расходы (Legal expenses), уплаченные штрафы по коммерческим спорам (Wash-out), USD</t>
  </si>
  <si>
    <t>Судебные и арбитражные расходы (Legal expenses), уплаченные штрафы по коммерческим спорам (Wash-out), % к общей выручке</t>
  </si>
  <si>
    <t>Регулярные административные расходы Торгового Дивизиона, USD в год</t>
  </si>
  <si>
    <t>Расходы по реализации товаров (Selling and distribution expenses)</t>
  </si>
  <si>
    <t>Бонусы уплаченные (Bonuses)</t>
  </si>
  <si>
    <t>Прочие доходы/расходы, потери и штрафы (Other operating gains/losses)</t>
  </si>
  <si>
    <t>Проценты и комиссии по аккредитивам, бондам и гарантиям выпущенным (Interest and commissions for documentary operations)</t>
  </si>
  <si>
    <t>Проценты и комиссии по торговому финансированию уплаченные (Trade Finance charges)</t>
  </si>
  <si>
    <t>Плата за обслуживание полученных аккредитивов (LC negotiation fees)</t>
  </si>
  <si>
    <t>Амортизационные отчисления, % к среднегодовой стоимости основных средств Производственного Дивизиона ежегодно</t>
  </si>
  <si>
    <t>Неконтролируемый капитал в Производственном Дивизионе (доля меньшинства, Mintority/Non-controlling interest)</t>
  </si>
  <si>
    <t>Доля прибыли, направляемая на выплату дивидендов в Производственном Дивизионе</t>
  </si>
  <si>
    <t>Неконтролируемый капитал в Торговом Дивизионе (доля меньшинства, Mintority/Non-controlling interest)</t>
  </si>
  <si>
    <t>Доля прибыли, направляемая на выплату дивидендов в Торговом Дивизионе</t>
  </si>
  <si>
    <t>Производственный дивизион:</t>
  </si>
  <si>
    <t>Торговый дивизион:</t>
  </si>
  <si>
    <t>Прирост стоимости основных средств Торгового Дивизиона, % к стоимости существующих ОС ежегодно</t>
  </si>
  <si>
    <t>Балансовая  среднегодовая стоимость основных средств (с учетом мировой инфляции), USD</t>
  </si>
  <si>
    <t>Прочие внереализационные (финансовые) доходы/расходы (Комисссии банков; Bank fees)</t>
  </si>
  <si>
    <t>Прочие расходы, относимые на себестоимость, % от объема выручки усредненно с учетом инфляции</t>
  </si>
  <si>
    <t>Прочие финансовые (внереализационные) расходы, % от объема выручки усредненно с учетом инфляции</t>
  </si>
  <si>
    <t>Прочие расходы (кроме отнесенных на прямые затраты), % от объема выручки усредненно с учетом инфляции</t>
  </si>
  <si>
    <t>Прочие расходы, относимые на прямые затраты, % от объема выручки усредненно с учетом инфляции</t>
  </si>
  <si>
    <t>Прочие расходы:</t>
  </si>
  <si>
    <t xml:space="preserve"> Прямо отнесенные к себестоимости продаж, USD</t>
  </si>
  <si>
    <t>Прочие внереализационные (финансовые) доходы/расходы</t>
  </si>
  <si>
    <t>Финансовые доходы (Finance incomes)</t>
  </si>
  <si>
    <t>включая:</t>
  </si>
  <si>
    <t>Учетная ставка ЦБ РФ с середины 2012 года, % годовых</t>
  </si>
  <si>
    <t>Учетная ставка ЦБ РФ до середины 2012 года, % годовых</t>
  </si>
  <si>
    <t>Компенсация процентных ставок по кредитам для сельхозпроизводителей, % от учетной ставки ЦБ РФ</t>
  </si>
  <si>
    <t>Норма компенсируемых процентов с середины 2012 года, % годовых</t>
  </si>
  <si>
    <t>Норма компенсируемых процентов до середины 2012 года, % годовых</t>
  </si>
  <si>
    <t>Поскольку вся приобретаемая техника импортная, государственные субсидии отсутствуют</t>
  </si>
  <si>
    <t>Поскольку вся приобретаемая техника импортная, субсидии на проценты по лизингу не выплачиваются</t>
  </si>
  <si>
    <t>Процесс построения модели компании/группы компаний</t>
  </si>
  <si>
    <t>Шаг 1.</t>
  </si>
  <si>
    <t>Шаг 2.</t>
  </si>
  <si>
    <t>Шаг 3.</t>
  </si>
  <si>
    <t>Шаг 4.</t>
  </si>
  <si>
    <t>Шаг 5.</t>
  </si>
  <si>
    <t>Шаг 6.</t>
  </si>
  <si>
    <t>Шаг 7.</t>
  </si>
  <si>
    <t>Шаг 8.</t>
  </si>
  <si>
    <t>Шаг 9.</t>
  </si>
  <si>
    <t>Шаг 10.</t>
  </si>
  <si>
    <t>Шаг 11.</t>
  </si>
  <si>
    <t>Шаг 12.</t>
  </si>
  <si>
    <t>Шаг 13.</t>
  </si>
  <si>
    <t>Шаг 14.</t>
  </si>
  <si>
    <t>Шаг 15.</t>
  </si>
  <si>
    <t>Шаг 16.</t>
  </si>
  <si>
    <t>Шаг 17.</t>
  </si>
  <si>
    <t>Шаг 18.</t>
  </si>
  <si>
    <t>Шаг 19.</t>
  </si>
  <si>
    <r>
      <rPr>
        <b/>
        <sz val="12"/>
        <color theme="1"/>
        <rFont val="Calibri"/>
        <family val="2"/>
        <charset val="204"/>
        <scheme val="minor"/>
      </rPr>
      <t>Отчетность.</t>
    </r>
    <r>
      <rPr>
        <sz val="11"/>
        <color theme="1"/>
        <rFont val="Calibri"/>
        <family val="2"/>
        <charset val="204"/>
        <scheme val="minor"/>
      </rPr>
      <t xml:space="preserve"> Внесение в модель данных отчетности за последние 2-3 (лучше 5) лет: баланс, ОПУ, отчет о ДДС</t>
    </r>
  </si>
  <si>
    <r>
      <rPr>
        <b/>
        <i/>
        <sz val="11"/>
        <color theme="1"/>
        <rFont val="Calibri"/>
        <family val="2"/>
        <charset val="204"/>
        <scheme val="minor"/>
      </rPr>
      <t>Макроэкономические предположения:</t>
    </r>
    <r>
      <rPr>
        <sz val="11"/>
        <color theme="1"/>
        <rFont val="Calibri"/>
        <family val="2"/>
        <charset val="204"/>
        <scheme val="minor"/>
      </rPr>
      <t xml:space="preserve"> инфляция, обменные курсы, рост потребления, рост населения, анализ цен на энергоносители, услуги монополий, основные биржевые товары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</si>
  <si>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Налоги, </t>
    </r>
    <r>
      <rPr>
        <sz val="11"/>
        <color theme="1"/>
        <rFont val="Calibri"/>
        <family val="2"/>
        <charset val="204"/>
        <scheme val="minor"/>
      </rPr>
      <t>государственные субсидии и льготы</t>
    </r>
  </si>
  <si>
    <r>
      <rPr>
        <b/>
        <i/>
        <sz val="11"/>
        <color theme="1"/>
        <rFont val="Calibri"/>
        <family val="2"/>
        <charset val="204"/>
        <scheme val="minor"/>
      </rPr>
      <t>Ключевые производственные показатели (KPI):</t>
    </r>
    <r>
      <rPr>
        <sz val="11"/>
        <color theme="1"/>
        <rFont val="Calibri"/>
        <family val="2"/>
        <charset val="204"/>
        <scheme val="minor"/>
      </rPr>
      <t xml:space="preserve"> производственные планы по выпуску продукции, внедрению новых технологий, приобретению основных средств. Все ньюансы производственного процесса, влияющие на финансовый результат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</si>
  <si>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Цены реализации: </t>
    </r>
    <r>
      <rPr>
        <sz val="11"/>
        <color theme="1"/>
        <rFont val="Calibri"/>
        <family val="2"/>
        <charset val="204"/>
        <scheme val="minor"/>
      </rPr>
      <t>анализ ценообразования в будущем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</si>
  <si>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Цены закупок: </t>
    </r>
    <r>
      <rPr>
        <sz val="11"/>
        <color theme="1"/>
        <rFont val="Calibri"/>
        <family val="2"/>
        <charset val="204"/>
        <scheme val="minor"/>
      </rPr>
      <t>анализ ценообразования в будущем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</si>
  <si>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Учетные предположения: </t>
    </r>
    <r>
      <rPr>
        <sz val="11"/>
        <color theme="1"/>
        <rFont val="Calibri"/>
        <family val="2"/>
        <charset val="204"/>
        <scheme val="minor"/>
      </rPr>
      <t xml:space="preserve">нормы амортизации основных средств и нематериальных активов, прочие особенности учетной политики 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</si>
  <si>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Предположения об акционерном капитале: </t>
    </r>
    <r>
      <rPr>
        <sz val="11"/>
        <color theme="1"/>
        <rFont val="Calibri"/>
        <family val="2"/>
        <charset val="204"/>
        <scheme val="minor"/>
      </rPr>
      <t>доля меньшинства, дивидендная политика, проекты по увеличению капитала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</si>
  <si>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Рабочий капитал: </t>
    </r>
    <r>
      <rPr>
        <sz val="11"/>
        <color theme="1"/>
        <rFont val="Calibri"/>
        <family val="2"/>
        <charset val="204"/>
        <scheme val="minor"/>
      </rPr>
      <t>анализ оборачиваемости основных групп активов и пассивов, влияющих на движение денежных средств; сезонные колебания доходов и расходов</t>
    </r>
  </si>
  <si>
    <t>6.1.</t>
  </si>
  <si>
    <t>6.2.</t>
  </si>
  <si>
    <t>6.3.</t>
  </si>
  <si>
    <t>6.4.</t>
  </si>
  <si>
    <t>6.5.</t>
  </si>
  <si>
    <t>6.6.</t>
  </si>
  <si>
    <t>6.7.</t>
  </si>
  <si>
    <t>6.8.</t>
  </si>
  <si>
    <t>6.9.</t>
  </si>
  <si>
    <t>Этап 1.</t>
  </si>
  <si>
    <t>Этап 2.</t>
  </si>
  <si>
    <r>
      <rPr>
        <b/>
        <sz val="12"/>
        <rFont val="Calibri"/>
        <family val="2"/>
        <charset val="204"/>
        <scheme val="minor"/>
      </rPr>
      <t>Бизнес-процесс.</t>
    </r>
    <r>
      <rPr>
        <sz val="11"/>
        <rFont val="Calibri"/>
        <family val="2"/>
        <charset val="204"/>
        <scheme val="minor"/>
      </rPr>
      <t xml:space="preserve"> Подробная</t>
    </r>
    <r>
      <rPr>
        <b/>
        <sz val="12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схема основных и дополнительных бизнес-процессов</t>
    </r>
  </si>
  <si>
    <r>
      <rPr>
        <b/>
        <sz val="12"/>
        <rFont val="Calibri"/>
        <family val="2"/>
        <charset val="204"/>
        <scheme val="minor"/>
      </rPr>
      <t>Источники дохода.</t>
    </r>
    <r>
      <rPr>
        <sz val="11"/>
        <rFont val="Calibri"/>
        <family val="2"/>
        <charset val="204"/>
        <scheme val="minor"/>
      </rPr>
      <t xml:space="preserve"> Подробный перечень видов доходов и расходов компании</t>
    </r>
  </si>
  <si>
    <r>
      <rPr>
        <b/>
        <sz val="12"/>
        <rFont val="Calibri"/>
        <family val="2"/>
        <charset val="204"/>
        <scheme val="minor"/>
      </rPr>
      <t>Факторы риска.</t>
    </r>
    <r>
      <rPr>
        <sz val="11"/>
        <rFont val="Calibri"/>
        <family val="2"/>
        <charset val="204"/>
        <scheme val="minor"/>
      </rPr>
      <t xml:space="preserve"> Описание всех видов рисков, влияющих на возможное снижение доходов и увеличение расходов</t>
    </r>
  </si>
  <si>
    <t>Создание свода предпосылок и предположений, лежащих в основе стратегии развития компании в будущем. Горизонт планирования: 5-10 лет</t>
  </si>
  <si>
    <t>Этап 3.</t>
  </si>
  <si>
    <r>
      <t xml:space="preserve">Assumptions. </t>
    </r>
    <r>
      <rPr>
        <b/>
        <sz val="12"/>
        <rFont val="Calibri"/>
        <family val="2"/>
        <charset val="204"/>
        <scheme val="minor"/>
      </rPr>
      <t>Лист предположений</t>
    </r>
  </si>
  <si>
    <r>
      <rPr>
        <b/>
        <sz val="14"/>
        <color rgb="FF00B0F0"/>
        <rFont val="Calibri"/>
        <family val="2"/>
        <charset val="204"/>
        <scheme val="minor"/>
      </rPr>
      <t>Status Quo</t>
    </r>
    <r>
      <rPr>
        <b/>
        <sz val="14"/>
        <color theme="1"/>
        <rFont val="Calibri"/>
        <family val="2"/>
        <charset val="204"/>
        <scheme val="minor"/>
      </rPr>
      <t>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Существующие реалии бизнеса компании</t>
    </r>
  </si>
  <si>
    <r>
      <rPr>
        <b/>
        <sz val="12"/>
        <color theme="1"/>
        <rFont val="Calibri"/>
        <family val="2"/>
        <charset val="204"/>
        <scheme val="minor"/>
      </rPr>
      <t>План продаж</t>
    </r>
    <r>
      <rPr>
        <sz val="11"/>
        <color theme="1"/>
        <rFont val="Calibri"/>
        <family val="2"/>
        <charset val="204"/>
        <scheme val="minor"/>
      </rPr>
      <t>. Прогноз KPI и выручки по всем видам продукции и услуг</t>
    </r>
  </si>
  <si>
    <r>
      <rPr>
        <b/>
        <sz val="12"/>
        <color theme="1"/>
        <rFont val="Calibri"/>
        <family val="2"/>
        <charset val="204"/>
        <scheme val="minor"/>
      </rPr>
      <t>Прогноз себестоимости</t>
    </r>
    <r>
      <rPr>
        <sz val="11"/>
        <color theme="1"/>
        <rFont val="Calibri"/>
        <family val="2"/>
        <charset val="204"/>
        <scheme val="minor"/>
      </rPr>
      <t>. Прогноз всех компонентов себестоимости с учетом влияния макроэкономических факторов</t>
    </r>
  </si>
  <si>
    <r>
      <rPr>
        <b/>
        <sz val="12"/>
        <rFont val="Calibri"/>
        <family val="2"/>
        <charset val="204"/>
        <scheme val="minor"/>
      </rPr>
      <t>Новые проекты:</t>
    </r>
    <r>
      <rPr>
        <sz val="11"/>
        <rFont val="Calibri"/>
        <family val="2"/>
        <charset val="204"/>
        <scheme val="minor"/>
      </rPr>
      <t xml:space="preserve"> Прогноз KPI, выручки, расходов и финансовых инструментов для новых проектов</t>
    </r>
  </si>
  <si>
    <r>
      <rPr>
        <b/>
        <sz val="12"/>
        <color theme="1"/>
        <rFont val="Calibri"/>
        <family val="2"/>
        <charset val="204"/>
        <scheme val="minor"/>
      </rPr>
      <t>Рабочий капитал: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прогноз движения основных групп активов и пассивов, влияющих на потребность в ликвидных денежных средствах</t>
    </r>
  </si>
  <si>
    <t>Этап 4.</t>
  </si>
  <si>
    <r>
      <rPr>
        <b/>
        <sz val="14"/>
        <color rgb="FF00B0F0"/>
        <rFont val="Calibri"/>
        <family val="2"/>
        <charset val="204"/>
        <scheme val="minor"/>
      </rPr>
      <t>Reports.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Создание основных отчетных форм: баланс, ОПУ, ДДС для всех прогнозируемых периодов</t>
    </r>
  </si>
  <si>
    <r>
      <rPr>
        <b/>
        <sz val="12"/>
        <color theme="1"/>
        <rFont val="Calibri"/>
        <family val="2"/>
        <charset val="204"/>
        <scheme val="minor"/>
      </rPr>
      <t>Отчет о прибылях и убытках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</t>
    </r>
  </si>
  <si>
    <r>
      <rPr>
        <b/>
        <sz val="12"/>
        <color theme="1"/>
        <rFont val="Calibri"/>
        <family val="2"/>
        <charset val="204"/>
        <scheme val="minor"/>
      </rPr>
      <t>Баланс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</t>
    </r>
  </si>
  <si>
    <r>
      <rPr>
        <b/>
        <sz val="12"/>
        <color theme="1"/>
        <rFont val="Calibri"/>
        <family val="2"/>
        <charset val="204"/>
        <scheme val="minor"/>
      </rPr>
      <t>Отчет о движении рабочего капитала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консолидированный. С обязательной величиной "изменение рабочего капитала" для каждого периода</t>
    </r>
  </si>
  <si>
    <r>
      <rPr>
        <b/>
        <sz val="12"/>
        <rFont val="Calibri"/>
        <family val="2"/>
        <charset val="204"/>
        <scheme val="minor"/>
      </rPr>
      <t>Новые проекты:</t>
    </r>
    <r>
      <rPr>
        <sz val="11"/>
        <rFont val="Calibri"/>
        <family val="2"/>
        <charset val="204"/>
        <scheme val="minor"/>
      </rPr>
      <t xml:space="preserve"> покупка основных средств; снижение затрат; внедрение новых технологий, увеличивающих доходы; получение кредитов, увеличивающих оборот; внедрение нового ассортимента продукции; выход в новые сегменты рынка; изменения в капитале компании; инвестирование и приобретение финансовых инструментов</t>
    </r>
  </si>
  <si>
    <r>
      <rPr>
        <b/>
        <sz val="12"/>
        <color theme="1"/>
        <rFont val="Calibri"/>
        <family val="2"/>
        <charset val="204"/>
        <scheme val="minor"/>
      </rPr>
      <t>Отчет о Cash Flow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консолидированный. Сначала - ежегодный. Должен содержать выводы о потребности (или избыточности) в ликвидных средствах.</t>
    </r>
  </si>
  <si>
    <r>
      <rPr>
        <b/>
        <sz val="12"/>
        <color theme="1"/>
        <rFont val="Calibri"/>
        <family val="2"/>
        <charset val="204"/>
        <scheme val="minor"/>
      </rPr>
      <t>Отчет о Cash Flow</t>
    </r>
    <r>
      <rPr>
        <sz val="11"/>
        <color theme="1"/>
        <rFont val="Calibri"/>
        <family val="2"/>
        <charset val="204"/>
        <scheme val="minor"/>
      </rPr>
      <t>. Ежеквартальный с разбивкой по периодам на основании предположений о сезонности бизнеса</t>
    </r>
  </si>
  <si>
    <r>
      <rPr>
        <b/>
        <sz val="12"/>
        <color theme="1"/>
        <rFont val="Calibri"/>
        <family val="2"/>
        <charset val="204"/>
        <scheme val="minor"/>
      </rPr>
      <t>Проверка на непротиворечивость</t>
    </r>
    <r>
      <rPr>
        <sz val="11"/>
        <color theme="1"/>
        <rFont val="Calibri"/>
        <family val="2"/>
        <charset val="204"/>
        <scheme val="minor"/>
      </rPr>
      <t>. Все отчетные формы сопоставляются между собой и с первичными отчетами для выявления ошибок</t>
    </r>
  </si>
  <si>
    <t>Этап 5.</t>
  </si>
  <si>
    <r>
      <rPr>
        <b/>
        <sz val="14"/>
        <color rgb="FF00B0F0"/>
        <rFont val="Calibri"/>
        <family val="2"/>
        <charset val="204"/>
        <scheme val="minor"/>
      </rPr>
      <t>Analysis.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Проверка выводов модели при вариациях основных величин, принятых в качестве допущений </t>
    </r>
  </si>
  <si>
    <r>
      <rPr>
        <b/>
        <sz val="12"/>
        <color theme="1"/>
        <rFont val="Calibri"/>
        <family val="2"/>
        <charset val="204"/>
        <scheme val="minor"/>
      </rPr>
      <t>Формирование выводов</t>
    </r>
    <r>
      <rPr>
        <sz val="11"/>
        <color theme="1"/>
        <rFont val="Calibri"/>
        <family val="2"/>
        <charset val="204"/>
        <scheme val="minor"/>
      </rPr>
      <t>. Ответ на основные вопросы, поставленные при создании модели: возможность погашения кредитов, окупаемость капиталовложений, доходность инвестиций, перспективность внедрения новых технологий, занятия новых сегментов рынка и т.п.</t>
    </r>
  </si>
  <si>
    <r>
      <rPr>
        <b/>
        <sz val="12"/>
        <color theme="1"/>
        <rFont val="Calibri"/>
        <family val="2"/>
        <charset val="204"/>
        <scheme val="minor"/>
      </rPr>
      <t>Чувствительность к существенным факторам</t>
    </r>
    <r>
      <rPr>
        <sz val="11"/>
        <color theme="1"/>
        <rFont val="Calibri"/>
        <family val="2"/>
        <charset val="204"/>
        <scheme val="minor"/>
      </rPr>
      <t>. Выстраивается анализ ряда главных показателей (Выручка, себестоимость, EBITDA, чистая прибыль и т.п.) при изменении того или иного ключевого допущения (инфляция, обменные курсы, охват доли рынка, процентные ставки по полученным кредитам, колебания цен на основные виды продукции и компоненты себестоимости). Формируется ряд ограничений (ковенант), нарушение которых ставит реализацию проекта/бизнес компании под угрозу</t>
    </r>
  </si>
  <si>
    <t>Шаг 20.</t>
  </si>
  <si>
    <t>Шаг 21.</t>
  </si>
  <si>
    <r>
      <rPr>
        <b/>
        <sz val="12"/>
        <color theme="1"/>
        <rFont val="Calibri"/>
        <family val="2"/>
        <charset val="204"/>
        <scheme val="minor"/>
      </rPr>
      <t>Анализ чувствительности стоимости компании</t>
    </r>
    <r>
      <rPr>
        <sz val="11"/>
        <color theme="1"/>
        <rFont val="Calibri"/>
        <family val="2"/>
        <charset val="204"/>
        <scheme val="minor"/>
      </rPr>
      <t>. Вычисляются коэффициенты чувствительности стоимости компании к выбранным факторам</t>
    </r>
  </si>
  <si>
    <r>
      <rPr>
        <b/>
        <sz val="12"/>
        <color theme="1"/>
        <rFont val="Calibri"/>
        <family val="2"/>
        <charset val="204"/>
        <scheme val="minor"/>
      </rPr>
      <t>Определение стоимости компании</t>
    </r>
    <r>
      <rPr>
        <sz val="11"/>
        <color theme="1"/>
        <rFont val="Calibri"/>
        <family val="2"/>
        <charset val="204"/>
        <scheme val="minor"/>
      </rPr>
      <t>. Стоимость компании/ее акций определяется несколькими возможными методами</t>
    </r>
  </si>
  <si>
    <t>Шаг 22.</t>
  </si>
  <si>
    <r>
      <rPr>
        <b/>
        <sz val="12"/>
        <color theme="1"/>
        <rFont val="Calibri"/>
        <family val="2"/>
        <charset val="204"/>
        <scheme val="minor"/>
      </rPr>
      <t>Формирование плановых KPI</t>
    </r>
    <r>
      <rPr>
        <sz val="11"/>
        <color theme="1"/>
        <rFont val="Calibri"/>
        <family val="2"/>
        <charset val="204"/>
        <scheme val="minor"/>
      </rPr>
      <t>. Задаются плановые задания для производственной части компании, исполнение которых является обязательным условием для реализации проектов</t>
    </r>
  </si>
  <si>
    <t>Сырье и материалы, в том числе:</t>
  </si>
  <si>
    <t>Арендная плата за землю</t>
  </si>
  <si>
    <t>Заработная плата</t>
  </si>
  <si>
    <t>Начисления на заработную плату</t>
  </si>
  <si>
    <t>Ремонт техники</t>
  </si>
  <si>
    <t>Услуги сторонних организаций</t>
  </si>
  <si>
    <t>Уплаченные налоги, в том числе:</t>
  </si>
  <si>
    <t>Амортизация</t>
  </si>
  <si>
    <t>Прочие расходы, относимые на себестоимость</t>
  </si>
  <si>
    <t>Себестоимость производства, всего</t>
  </si>
  <si>
    <t>Административные расходы</t>
  </si>
  <si>
    <t>Государственные субсидии</t>
  </si>
  <si>
    <t>Прочие доходы/расходы</t>
  </si>
  <si>
    <t>Расходы по реализации товаров, в том числе:</t>
  </si>
  <si>
    <t>Транспортные расходы, пшеница, USD</t>
  </si>
  <si>
    <t>Транспортные расходы, подсолнечник, USD</t>
  </si>
  <si>
    <t>Портовые расходы, пшеница, USD</t>
  </si>
  <si>
    <t>Операционные расходы, всего</t>
  </si>
  <si>
    <t>Проценты по гарантиям для получения НДС</t>
  </si>
  <si>
    <t>Финансовые расходы</t>
  </si>
  <si>
    <t>Проценты по лизингу техники уплаченные</t>
  </si>
  <si>
    <t>Расходы по хеджированию</t>
  </si>
  <si>
    <t>Финансовые доходы</t>
  </si>
  <si>
    <t>Прочие внереализационные доходы/расходы</t>
  </si>
  <si>
    <t>Финансовые предположения</t>
  </si>
  <si>
    <t>6.10.</t>
  </si>
  <si>
    <r>
      <rPr>
        <b/>
        <i/>
        <sz val="11"/>
        <color theme="1"/>
        <rFont val="Calibri"/>
        <family val="2"/>
        <charset val="204"/>
        <scheme val="minor"/>
      </rPr>
      <t xml:space="preserve">Финансовые предположения: </t>
    </r>
    <r>
      <rPr>
        <sz val="11"/>
        <color theme="1"/>
        <rFont val="Calibri"/>
        <family val="2"/>
        <charset val="204"/>
        <scheme val="minor"/>
      </rPr>
      <t>суммы, сроки, процентные ставки по получаемым и приобретаемым финансовым инструментам</t>
    </r>
  </si>
  <si>
    <t>Налог на прибыль, уплаченный</t>
  </si>
  <si>
    <t>Срок, лет</t>
  </si>
  <si>
    <t>Сумма, RUR</t>
  </si>
  <si>
    <t>Процентная ставка, % годовых</t>
  </si>
  <si>
    <t>Льготный период по уплате процентов, лет</t>
  </si>
  <si>
    <t>Льготный период по погашению основного долга, лет</t>
  </si>
  <si>
    <t>Возобновление</t>
  </si>
  <si>
    <t>Ежегодно</t>
  </si>
  <si>
    <t>Тип кредита</t>
  </si>
  <si>
    <t>Субсидируемый</t>
  </si>
  <si>
    <t>Остаток субсидируемого кредита на конец периода, RUR</t>
  </si>
  <si>
    <t>Государственные субсидии по уплаченным процентам, полученные</t>
  </si>
  <si>
    <t>Плата за обслуживание полученных аккредитивов</t>
  </si>
  <si>
    <t>Проценты и комиссии по аккредитивам, бондам и гарантиям выпущенным</t>
  </si>
  <si>
    <t>Проценты и комиссии по торговому финансированию уплаченные</t>
  </si>
  <si>
    <t>Выплаченные дивиденды</t>
  </si>
  <si>
    <t>Прибыль до уплаты налога</t>
  </si>
  <si>
    <t>Чистая прибыль</t>
  </si>
  <si>
    <t>EBITDA</t>
  </si>
  <si>
    <t>Прогнозный отчет о прибылях и убытках</t>
  </si>
  <si>
    <t>Административные расходы, USD в год</t>
  </si>
  <si>
    <t>Прочие налоги, относимые на себестоимость</t>
  </si>
  <si>
    <t>Прогноз отчета о прибылях и убытках</t>
  </si>
  <si>
    <t>Консолидированный</t>
  </si>
  <si>
    <t>Инвестиции в приобретение новых прав аренды, USD</t>
  </si>
  <si>
    <t>Стоимость</t>
  </si>
  <si>
    <t>Инвестиции</t>
  </si>
  <si>
    <t>Инвестиции в приобретение собственности на землю, USD</t>
  </si>
  <si>
    <t>Приобретение новых прав аренды (включая основные средства), RUR/га</t>
  </si>
  <si>
    <t>Приобретение новых прав аренды (включая основные средства), USD/га</t>
  </si>
  <si>
    <t>Инвестиции в землю, всего USD</t>
  </si>
  <si>
    <t>Инфляция ГСМ, % в год</t>
  </si>
  <si>
    <t>Прочие материалы (отечественные)</t>
  </si>
  <si>
    <t>Средства защиты растений импортируемые</t>
  </si>
  <si>
    <t>Удобрения (отечественные)</t>
  </si>
  <si>
    <t>ГСМ (отечественные, растут опережающими темпами)</t>
  </si>
  <si>
    <t>Сырье и материалы</t>
  </si>
  <si>
    <t>Выручка от продаж</t>
  </si>
  <si>
    <t>Уплаченные налоги</t>
  </si>
  <si>
    <t>Расходы по реализации товаров</t>
  </si>
  <si>
    <t>Финансовые расходы, в том числе:</t>
  </si>
  <si>
    <t>(прямой метод)</t>
  </si>
  <si>
    <t>Операционная деятельность (Operating activities)</t>
  </si>
  <si>
    <t>Изменения чистого рабочего капитала (Changes in Net working capital)</t>
  </si>
  <si>
    <t>Cash Flow от операционной деятельности (Net cash generated by/(used in) operating activities):</t>
  </si>
  <si>
    <t>Инвестиционная деятельность (Investing activities)</t>
  </si>
  <si>
    <t>Финансовая деятельность (Financing activities)</t>
  </si>
  <si>
    <t>Поступление кредитов (Proceeds from loans and borrowings)</t>
  </si>
  <si>
    <t>Погашение кредитов (Repayment of loans and borrowings)</t>
  </si>
  <si>
    <t>Прочие доходы/расходы (Реализованные курсовые разницы по финансовым операциям)</t>
  </si>
  <si>
    <t>Прочие доходы/расходы (Реализованные курсовые разницы по основной деятельности)</t>
  </si>
  <si>
    <t>Выплаты по лизингу, всего USD</t>
  </si>
  <si>
    <t>Поступления по лизингу, всего USD</t>
  </si>
  <si>
    <t>Выплаты по лизингу (Finance lease payments)</t>
  </si>
  <si>
    <t>Поступления по лизингу (Proceeds of finance lease)</t>
  </si>
  <si>
    <t>Процентные доходы от инвестиций (Interest received)</t>
  </si>
  <si>
    <t>Продажа основных средств (Proceeds from disposal of property, equipment, plant)</t>
  </si>
  <si>
    <t>Приобретение нематериальных активов/дочерних предприятий (Purchases of intangible assets/acquisition of subsidiaries)</t>
  </si>
  <si>
    <t>Продажа нематериальных активов/дочерних предприятий (Proceeds from disposal of intangible assets/subsidiaries)</t>
  </si>
  <si>
    <t>Cash Flow от инвестиционной деятельности (Net cash generated by/(used in) investing activities):</t>
  </si>
  <si>
    <t>Cash Flow от финансовой деятельности (Net cash generated by/(used in) financing activities):</t>
  </si>
  <si>
    <t>Прочие инвестиционные расходы (Other investing outflow)</t>
  </si>
  <si>
    <t>Поступление субсидируемых кредитов, RUR</t>
  </si>
  <si>
    <t>Поступление субсидируемых кредитов, USD (переоценка)</t>
  </si>
  <si>
    <t>Погашение субсидируемых кредитов, RUR</t>
  </si>
  <si>
    <t>Погашение субсидируемых кредитов, USD (переоценка)</t>
  </si>
  <si>
    <t>Движение кредитов (рублевые, субсидируемые)</t>
  </si>
  <si>
    <t>Движение кредитов (рублевые, несубсидируемые)</t>
  </si>
  <si>
    <t>Поступление несубсидируемых кредитов, RUR</t>
  </si>
  <si>
    <t>Поступление несубсидируемых кредитов, USD (переоценка)</t>
  </si>
  <si>
    <t>Погашение несубсидируемых кредитов, RUR</t>
  </si>
  <si>
    <t>Погашение несубсидируемых кредитов, USD (переоценка)</t>
  </si>
  <si>
    <t>Остаток несубсидируемого кредита на конец периода, RUR</t>
  </si>
  <si>
    <t>Остаток несубсидируемого кредита на конец периода, USD</t>
  </si>
  <si>
    <t>Остаток субсидируемого кредита на конец периода, USD (переоценка)</t>
  </si>
  <si>
    <t>Остаток несубсидируемого кредита на конец периода, USD (переоценка)</t>
  </si>
  <si>
    <t>Поступление несубсидируемых кредитов, USD</t>
  </si>
  <si>
    <t>Погашение несубсидируемых кредитов, USD</t>
  </si>
  <si>
    <t>Движение кредитов (валютные, несубсидируемые)</t>
  </si>
  <si>
    <t>Приобретение основных средств напрямую (Purchases of property, equipment, plant)</t>
  </si>
  <si>
    <t>Приобретение основных средств через лизинг (Leased property, equipment, plant)</t>
  </si>
  <si>
    <t>Чистое изменение Cash Flow за период (Net Increase/Decrease in cash):</t>
  </si>
  <si>
    <t>Остаток ликвидных средств на конец периода (Cash and cash equivalents at the end of the period/Cash EoP):</t>
  </si>
  <si>
    <t>Остаток ликвидных средств на начало периода (Cash and cash equivalents at the beginning of the period/Cash BoP):</t>
  </si>
  <si>
    <t>Курс USD/RUR на 31.12. каждого года</t>
  </si>
  <si>
    <t>Статья</t>
  </si>
  <si>
    <t>АКТИВЫ</t>
  </si>
  <si>
    <t>Основные средства</t>
  </si>
  <si>
    <t>Готовые товары</t>
  </si>
  <si>
    <t>Прочие запасы</t>
  </si>
  <si>
    <t>Дебиторская задолженность</t>
  </si>
  <si>
    <t>Денежные средства</t>
  </si>
  <si>
    <t>Прочие оборотные активы</t>
  </si>
  <si>
    <t>Всего активы</t>
  </si>
  <si>
    <t>ПАССИВЫ</t>
  </si>
  <si>
    <t>Уставный капитал</t>
  </si>
  <si>
    <t>Добавочный и резервный капитал</t>
  </si>
  <si>
    <t>Нераспределенная прибыль (непокрытый убыток) прошлых лет</t>
  </si>
  <si>
    <t>Нераспределенная прибыль (непокрытый убыток) текущего периода</t>
  </si>
  <si>
    <t>Кредиты и займы</t>
  </si>
  <si>
    <t>Прочие долгосрочные обязательства</t>
  </si>
  <si>
    <t>Кредиторская задолженность</t>
  </si>
  <si>
    <t>Торговое финансирование</t>
  </si>
  <si>
    <t>Прочие краткосрочные обязательства</t>
  </si>
  <si>
    <t>Всего обязательства и собственный капитал</t>
  </si>
  <si>
    <t>Соотношение объема реализации к:</t>
  </si>
  <si>
    <t>Запасы</t>
  </si>
  <si>
    <t>Рабочий капитал</t>
  </si>
  <si>
    <t>Чистое изменение рабочего капитала</t>
  </si>
  <si>
    <t>Корректировка NWC по отношению к "недолговому" сценарию</t>
  </si>
  <si>
    <t>Прочие внеоборотные активы (Права аренды)</t>
  </si>
  <si>
    <t>Баланс (Balance sheet, Statement of financial position)</t>
  </si>
  <si>
    <t>Списание объектов лизинга при полной амортизации, USD</t>
  </si>
  <si>
    <t>Остаточная стоимость техники (балансовая стоимость минус накопленная амортизация), полученной в лизинг, USD:</t>
  </si>
  <si>
    <t>Долгосрочный лизинг</t>
  </si>
  <si>
    <t>Начало периода</t>
  </si>
  <si>
    <t>Краткосрочная часть лизинга (менее 1 года), USD</t>
  </si>
  <si>
    <t>Долгосрочная часть лизинга (более 1 года), USD</t>
  </si>
  <si>
    <t>Начальная балансовая стоимость объектов лизинга, USD</t>
  </si>
  <si>
    <t>Проценты по субсидируемым банковским кредитам (номинированы в RUR) уплаченные, RUR</t>
  </si>
  <si>
    <t>Проценты по несубсидируемым банковским кредитам  (номинированы в RUR) уплаченные, RUR</t>
  </si>
  <si>
    <t>Проценты по несубсидируемым банковским кредитам  (номинированы в USD) уплаченные, USD</t>
  </si>
  <si>
    <t>Проценты по банковским кредитам уплаченные, USD в том числе:</t>
  </si>
  <si>
    <t>Условная величина: основных средств (кроме техники и земли в собственности) на 1 га обрабатываемой земли, RUR</t>
  </si>
  <si>
    <t>Балансовая среднегодовая стоимость основных средств (кроме техники и земли в собственности), RUR</t>
  </si>
  <si>
    <t>Балансовая среднегодовая стоимость техники, USD</t>
  </si>
  <si>
    <t>Балансовая среднегодовая стоимость земли в собственности (по цене приобретения), USD</t>
  </si>
  <si>
    <t>Балансовая  среднегодовая стоимость основных средств (с учетом приобретаемой техники и земли в собственности), USD</t>
  </si>
  <si>
    <t>Краткосрочный лизинг</t>
  </si>
  <si>
    <t>Авансы</t>
  </si>
  <si>
    <t>Товары для перепродажи</t>
  </si>
  <si>
    <t>Прогнозный баланс (Balance sheet, Statement of financial position)</t>
  </si>
  <si>
    <t>Консолидированный баланс (Comprehensive Statement of financial position)</t>
  </si>
  <si>
    <t>Прогнозный баланс (Comprehensive Statement of financial position)</t>
  </si>
  <si>
    <t>Отчет о движении денежных средств (Cash Flow)</t>
  </si>
  <si>
    <t>Консолидированный отчет о движении денежных средств (Cash Flow)</t>
  </si>
  <si>
    <r>
      <t>Прогнозный отчет о выручке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</si>
  <si>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себестоимости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</si>
  <si>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финансовой деятельности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</si>
  <si>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выручке и себестоимости 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</si>
  <si>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</si>
  <si>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</si>
  <si>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</si>
  <si>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>Шаг 23.</t>
  </si>
  <si>
    <r>
      <rPr>
        <b/>
        <sz val="12"/>
        <color theme="1"/>
        <rFont val="Calibri"/>
        <family val="2"/>
        <charset val="204"/>
        <scheme val="minor"/>
      </rPr>
      <t>Резюме (Summary)</t>
    </r>
    <r>
      <rPr>
        <sz val="11"/>
        <color theme="1"/>
        <rFont val="Calibri"/>
        <family val="2"/>
        <charset val="204"/>
        <scheme val="minor"/>
      </rPr>
      <t>. Основные выводы и ключевые цифры проекта</t>
    </r>
  </si>
  <si>
    <t>Шаг 24.</t>
  </si>
  <si>
    <r>
      <rPr>
        <b/>
        <sz val="12"/>
        <color theme="1"/>
        <rFont val="Calibri"/>
        <family val="2"/>
        <charset val="204"/>
        <scheme val="minor"/>
      </rPr>
      <t>Пояснительная записка</t>
    </r>
    <r>
      <rPr>
        <sz val="11"/>
        <color theme="1"/>
        <rFont val="Calibri"/>
        <family val="2"/>
        <charset val="204"/>
        <scheme val="minor"/>
      </rPr>
      <t>. Объяснение всех предположений, технологии составления отдельных рядов данных, статистика отрасли, рынка, выдержки из статистических и аналитических отчетов независимых экспертов, подтверждающих предположения, и т.п.</t>
    </r>
  </si>
  <si>
    <r>
      <t xml:space="preserve">Внеоборотные активы
</t>
    </r>
    <r>
      <rPr>
        <i/>
        <sz val="10"/>
        <color indexed="62"/>
        <rFont val="Trebuchet MS"/>
        <family val="2"/>
        <charset val="204"/>
      </rPr>
      <t>в том числе:</t>
    </r>
  </si>
  <si>
    <r>
      <t xml:space="preserve">Оборотные активы
   </t>
    </r>
    <r>
      <rPr>
        <i/>
        <sz val="10"/>
        <color indexed="62"/>
        <rFont val="Trebuchet MS"/>
        <family val="2"/>
        <charset val="204"/>
      </rPr>
      <t>в том числе:</t>
    </r>
  </si>
  <si>
    <r>
      <t>Собственный капитал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</si>
  <si>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Долгосрочные обязательства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</si>
  <si>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Краткосрочные обязательства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</si>
  <si>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 xml:space="preserve">Предположения (Assumptions), положенные в основу модели развития группы компаний </t>
    </r>
    <r>
      <rPr>
        <b/>
        <sz val="16"/>
        <color rgb="FFFF0000"/>
        <rFont val="Calibri"/>
        <family val="2"/>
        <charset val="204"/>
        <scheme val="minor"/>
      </rPr>
      <t>"Заря коммунизма"</t>
    </r>
  </si>
  <si>
    <t>Ликвидные средства Производственного Дивизиона на начало 2010 г., USD</t>
  </si>
  <si>
    <t>Ликвидные средства Торгового Дивизиона на начало 2010 г., USD</t>
  </si>
  <si>
    <t>Резерв переоценки основных средств</t>
  </si>
  <si>
    <t>АКТИВЫ (ASSETS)</t>
  </si>
  <si>
    <r>
      <t xml:space="preserve">Внеоборотные активы (Non-current assets)
</t>
    </r>
    <r>
      <rPr>
        <i/>
        <sz val="10"/>
        <color indexed="62"/>
        <rFont val="Trebuchet MS"/>
        <family val="2"/>
        <charset val="204"/>
      </rPr>
      <t>в том числе:</t>
    </r>
  </si>
  <si>
    <t>Основные средства (Property, plant, equipment/Fixed assets)</t>
  </si>
  <si>
    <r>
      <t xml:space="preserve">Оборотные активы (Current assets)
   </t>
    </r>
    <r>
      <rPr>
        <i/>
        <sz val="10"/>
        <color indexed="62"/>
        <rFont val="Trebuchet MS"/>
        <family val="2"/>
        <charset val="204"/>
      </rPr>
      <t>в том числе:</t>
    </r>
  </si>
  <si>
    <t>Готовые товары (Inventories/Final goods)</t>
  </si>
  <si>
    <t>Товары для перепродажи (Goods for resale)</t>
  </si>
  <si>
    <t>Прочие запасы (Other inventories/Raw materials)</t>
  </si>
  <si>
    <t>Дебиторская задолженность (Trade accounts receivable)</t>
  </si>
  <si>
    <t>Авансы (Advances paid)</t>
  </si>
  <si>
    <t>Денежные средства (Cash &amp; cash equivalents)</t>
  </si>
  <si>
    <t>Прочие оборотные активы (Other current assets)</t>
  </si>
  <si>
    <t>Всего активы (Total Assets)</t>
  </si>
  <si>
    <t>ПАССИВЫ (EQUITY and LIABILITIES)</t>
  </si>
  <si>
    <r>
      <t>Собственный капитал (Equity)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</si>
  <si>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t>Уставный капитал (Share capital)</t>
  </si>
  <si>
    <t>Добавочный и резервный капитал (Additional paid-in capital)</t>
  </si>
  <si>
    <t>Резерв переоценки основных средств (Revaluation reserve)</t>
  </si>
  <si>
    <t>Нераспределенная прибыль (непокрытый убыток) прошлых лет (Retained earnings)</t>
  </si>
  <si>
    <t>Нераспределенная прибыль (непокрытый убыток) текущего периода (Net earnings of the current year)</t>
  </si>
  <si>
    <t>Долгосрочный лизинг (Long-term finance lease obligations)</t>
  </si>
  <si>
    <t>Кредиты и займы (Long-term loans and borrowings)</t>
  </si>
  <si>
    <t>Прочие долгосрочные обязательства (Other long-term liabilities)</t>
  </si>
  <si>
    <r>
      <t>Долгосрочные обязательства (Non-current/Long-term liabilities)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</si>
  <si>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Краткосрочные обязательства (Current/Short-term liabilities)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</si>
  <si>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t>Кредиты и займы (Short-term loans and borrowings)</t>
  </si>
  <si>
    <t>Краткосрочный лизинг (Short-term finance lease obligations)</t>
  </si>
  <si>
    <t>Кредиторская задолженность (Trade payables and advances from customers)</t>
  </si>
  <si>
    <t>Торговое финансирование (Trade finance)</t>
  </si>
  <si>
    <t>Прочие краткосрочные обязательства (Other current liabilities)</t>
  </si>
  <si>
    <t>Всего обязательства и собственный капитал (Total equity and liabilities)</t>
  </si>
  <si>
    <t>Динамика рабочего капитала</t>
  </si>
  <si>
    <t>Дебиторы</t>
  </si>
  <si>
    <t>Авансы уплаченные</t>
  </si>
  <si>
    <t>Запасы готовой продукции</t>
  </si>
  <si>
    <t>Запасы расходных материалов</t>
  </si>
  <si>
    <t>Выручка</t>
  </si>
  <si>
    <t>Себестоимость</t>
  </si>
  <si>
    <t>Коэффициент оборачиваемости активов и пассивов, участвующих в расчете рабочего капитала, оборотов за год (константы на весь период):</t>
  </si>
  <si>
    <t>Соотношение выручки следующего года к предыдущему</t>
  </si>
  <si>
    <t>Соотношение себестоимости следующего года к предыдущему</t>
  </si>
  <si>
    <t>Выручка от продаж пшеницы (уплачено Торговым Дивизионом)</t>
  </si>
  <si>
    <t>Выручка от продаж подсолнечника (уплачено конечными покупателями)</t>
  </si>
  <si>
    <t>Уплаченные налоги (в том числе налог на прибыль)</t>
  </si>
  <si>
    <t>Уплаченные дивиденды</t>
  </si>
  <si>
    <t>Операционная деятельность</t>
  </si>
  <si>
    <t>Cash Flow от операционной деятельности</t>
  </si>
  <si>
    <t>Инвестиционная деятельность</t>
  </si>
  <si>
    <t>Изменения чистого рабочего капитала</t>
  </si>
  <si>
    <t>Процентные доходы от инвестиций</t>
  </si>
  <si>
    <t>Приобретение основных средств напрямую</t>
  </si>
  <si>
    <t>Приобретение основных средств через лизинг</t>
  </si>
  <si>
    <t>Продажа основных средств</t>
  </si>
  <si>
    <t>Приобретение нематериальных активов/дочерних предприятий</t>
  </si>
  <si>
    <t>Продажа нематериальных активов/дочерних предприятий</t>
  </si>
  <si>
    <t>Прочие инвестиционные расходы</t>
  </si>
  <si>
    <t>Cash Flow от инвестиционной деятельности</t>
  </si>
  <si>
    <t>Финансовая деятельность</t>
  </si>
  <si>
    <t>Проценты по банковским кредитам уплаченные</t>
  </si>
  <si>
    <t>Поступление кредитов</t>
  </si>
  <si>
    <t>Погашение кредитов</t>
  </si>
  <si>
    <t>Поступления по лизингу</t>
  </si>
  <si>
    <t>Выплаты по лизингу</t>
  </si>
  <si>
    <t>Cash Flow от финансовой деятельности</t>
  </si>
  <si>
    <t>Чистое изменение Cash Flow за период</t>
  </si>
  <si>
    <t>Остаток ликвидных средств на начало периода</t>
  </si>
  <si>
    <t>Остаток ликвидных средств на конец периода</t>
  </si>
  <si>
    <t>Прогнозный отчет о движении денежных средств</t>
  </si>
  <si>
    <t>Выручка от продаж, всего</t>
  </si>
  <si>
    <t>Себестоимость закупок, всего</t>
  </si>
  <si>
    <t>Валовая прибыль</t>
  </si>
  <si>
    <t>Прочие доходы/расходы, потери и штрафы</t>
  </si>
  <si>
    <t>Операционная прибыль</t>
  </si>
  <si>
    <t>Прибыль до налогообложения</t>
  </si>
  <si>
    <t>Налог на прибыль</t>
  </si>
  <si>
    <t>Чистая прибыль, относимая к:</t>
  </si>
  <si>
    <t>Основным акционерам</t>
  </si>
  <si>
    <t>Неконтролирующим акционерам</t>
  </si>
  <si>
    <t>Прибыль, остающаяся в распоряжении компании</t>
  </si>
  <si>
    <t>Товары для перепродажи, в том числе:</t>
  </si>
  <si>
    <t>Бонусы уплаченные</t>
  </si>
  <si>
    <t xml:space="preserve">Операционная прибыль </t>
  </si>
  <si>
    <t>Финансовые доходы (доходы от хеджа)</t>
  </si>
  <si>
    <t>Прочие внереализационные доходы/расходы (Курсовые разницы при продаже валюты)</t>
  </si>
  <si>
    <t>Налог на имущество (Property tax)</t>
  </si>
  <si>
    <t>Налог на землю (Land tax)</t>
  </si>
  <si>
    <t>Прочие инвестиционные доходы (Other investing inflow)</t>
  </si>
  <si>
    <t>Прочие инвестиционные доходы</t>
  </si>
  <si>
    <r>
      <t>Прогнозный отчет о финансовой деятельности и налогах 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</si>
  <si>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>Кредиты</t>
  </si>
  <si>
    <t>Получение кредитов с фиксированным сроком выплат</t>
  </si>
  <si>
    <t>Погашение кредитов с фиксированным сроком выплат</t>
  </si>
  <si>
    <t>Остаток кредитов с фиксированным сроком выплат, на конец периода</t>
  </si>
  <si>
    <t>Процентная ставка по кредитам с фиксированным сроком выплат</t>
  </si>
  <si>
    <t>Начисленные проценты за период</t>
  </si>
  <si>
    <t>Сумма, USD</t>
  </si>
  <si>
    <t>Револьверный</t>
  </si>
  <si>
    <t>Темп замедления оборачиваемости активов и пассивов</t>
  </si>
  <si>
    <t>Кредиторы</t>
  </si>
  <si>
    <t>Увеличение авансов (логистические резервы при существенном, более чем на 30% увеличении объема торговли)</t>
  </si>
  <si>
    <t>Прочие внеоборотные активы (Права аренды) (Other non-current assets/Land lease rights)</t>
  </si>
  <si>
    <t>Расходы по операционной деятельности</t>
  </si>
  <si>
    <t>Коэффициент оборачиваемости активов и пассивов, участвующих в расчете рабочего капитала, оборотов за год (оборот замедляется по мере роста объемов торговли):</t>
  </si>
  <si>
    <t>Взаимные расчеты Производственного и Торгового дивизионов</t>
  </si>
  <si>
    <t>Предоплаты от Торгового дивизиона в адрес Производственного дивизиона, а также иные задолженности, кроме предоставленных взаимных займов на отчетную дату отсутствуют</t>
  </si>
  <si>
    <t>Балансирующие краткосрочные обязательства</t>
  </si>
  <si>
    <t>Балансирующие оборотные активы</t>
  </si>
  <si>
    <t>Анализ чувствительности проекта</t>
  </si>
  <si>
    <t>Предположения модели</t>
  </si>
  <si>
    <t>Новые предположения</t>
  </si>
  <si>
    <t>в USD, первые 5 лет проекта</t>
  </si>
  <si>
    <t>Основные достижения по проекту</t>
  </si>
  <si>
    <t>Существующие значения</t>
  </si>
  <si>
    <t>Земли в обработке, га</t>
  </si>
  <si>
    <t>Земли в собственности, га</t>
  </si>
  <si>
    <t>Капитализация</t>
  </si>
  <si>
    <t>Cash на конец периода</t>
  </si>
  <si>
    <t>Новые значения</t>
  </si>
  <si>
    <t>Критические значения:</t>
  </si>
  <si>
    <t>Отрицательная прибыль и отрицательный cash</t>
  </si>
  <si>
    <t>Темп изменения курса USD/RUR</t>
  </si>
  <si>
    <t>Отрицательная прибыль в первые два года</t>
  </si>
  <si>
    <t>Рост курса позитивен, снижение - негативно</t>
  </si>
  <si>
    <t>Рост инфляции позитивен, дефляция - негативна</t>
  </si>
  <si>
    <t>Слишком активная скупка приводит к дефициту ликвидности</t>
  </si>
  <si>
    <t>Отрицательный cash c третьего года проекта</t>
  </si>
  <si>
    <t>Новые приобретения арендной земли по годам, га:</t>
  </si>
  <si>
    <t>Отрицательный cash c третьего года проекта при покупке, га</t>
  </si>
  <si>
    <t>Отрицательная прибыль в первые два года при урожайности в средних условиях, т/га</t>
  </si>
  <si>
    <t>Отрицательная прибыль и отрицательный cash при урожайности в средних условиях, т/га</t>
  </si>
  <si>
    <t>Отрицательная прибыль и отрицательный cash при цене пшеницы в средних условиях, т/га</t>
  </si>
  <si>
    <t>Отрицательная прибыль в первые два года при цене пшеницы в средних условиях, т/га</t>
  </si>
  <si>
    <t>Отрицательная прибыль в первые два года при цене подсолнечника в средних условиях, т/га</t>
  </si>
  <si>
    <t>Отрицательная прибыль и отрицательный cash при цене подсолнечника в средних условиях, т/га</t>
  </si>
  <si>
    <t>Колебания погодных условий</t>
  </si>
  <si>
    <t>Отрицательная прибыль в первые два года при условиях "Бедствие" в течение 5 лет</t>
  </si>
  <si>
    <t>Отрицательная прибыль и отрицательный cash при условиях "Высокая" в течение 5 лет</t>
  </si>
  <si>
    <t>Торговля</t>
  </si>
  <si>
    <t>Норма прибыли при продаже FOB-FOB не существенная в связи с малой долей таких продаж</t>
  </si>
  <si>
    <t xml:space="preserve">Отрицательная прибыль в первые два года при минимальной норме прибыли </t>
  </si>
  <si>
    <t xml:space="preserve">Отрицательная прибыль и отрицательный cash при минимальной норме прибыли </t>
  </si>
  <si>
    <t>Процентные ставки по кредитам, % годовых</t>
  </si>
  <si>
    <t>В связи с малой зависимостью бизнеса от кредитов влияние размера процентных ставок не существенно</t>
  </si>
  <si>
    <t>(прямой метод, ежеквартальный), USD</t>
  </si>
  <si>
    <t>Сезонность бизнеса</t>
  </si>
  <si>
    <t>Торговый Дивизион</t>
  </si>
  <si>
    <t>Производственный Дивизион</t>
  </si>
  <si>
    <t>I квартал</t>
  </si>
  <si>
    <t>II квартал</t>
  </si>
  <si>
    <t>III квартал</t>
  </si>
  <si>
    <t>IV квартал</t>
  </si>
  <si>
    <t>Q1</t>
  </si>
  <si>
    <t>Q2</t>
  </si>
  <si>
    <t>Q3</t>
  </si>
  <si>
    <t>Q4</t>
  </si>
  <si>
    <t>Закупки</t>
  </si>
  <si>
    <t>Бонусы</t>
  </si>
  <si>
    <t>Арендная плата</t>
  </si>
  <si>
    <t>Заработная плата производственного персонала, начисления</t>
  </si>
  <si>
    <t>Дивиденды</t>
  </si>
  <si>
    <t>Сезонность прочих доходов и расходов в обоих дивизионах</t>
  </si>
  <si>
    <t>Продажи и расходы с ними связанные</t>
  </si>
  <si>
    <t>Поступления кредитов на пополнение оборотных средств</t>
  </si>
  <si>
    <t>Выплаты кредитов на пополнение оборотных средств</t>
  </si>
  <si>
    <t>Кредитная линия Производственному Дивизиону на пополнение оборотных средств</t>
  </si>
  <si>
    <t>Кредитная линия Торговому Дивизиону на пополнение оборотных средств</t>
  </si>
  <si>
    <t>Текущие параметры сезонных колебаний</t>
  </si>
  <si>
    <t>Получение авансов от Торгового Дивизиона</t>
  </si>
  <si>
    <t>Выплата авансов Производственному Дивизиону</t>
  </si>
  <si>
    <t>Погашение авансов Торговому Дивизиону</t>
  </si>
  <si>
    <t>Продажи подсолнечника и расходы с ними связанные</t>
  </si>
  <si>
    <t>Продажи пшеницы и расходы с ними связанные, доходы от хеджа</t>
  </si>
  <si>
    <t>Закупки  (кроме внутрикорпоративных)</t>
  </si>
  <si>
    <t>Закупки у Производственного Дивизиона</t>
  </si>
  <si>
    <t>Погашение авансов Производственным Дивизионом</t>
  </si>
  <si>
    <t xml:space="preserve">Предполагаемое использование </t>
  </si>
  <si>
    <t>Copyright © Михаил Черкасов, 2012</t>
  </si>
  <si>
    <r>
      <t>Прогноз стоимости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</si>
  <si>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 xml:space="preserve"> - Налог на прибыль</t>
  </si>
  <si>
    <t xml:space="preserve"> = NOPLAT (Net Operation Profit Less Adjusted Taxes)</t>
  </si>
  <si>
    <t xml:space="preserve"> + Амортизация</t>
  </si>
  <si>
    <t xml:space="preserve"> +/- Чистое изменение рабочего капитала</t>
  </si>
  <si>
    <t xml:space="preserve"> - Капитальные вложения</t>
  </si>
  <si>
    <t>Свободный денежный поток для компании (FCFF - Free Cash Flow for Firm)</t>
  </si>
  <si>
    <t>Расчет WACC (Weighted Average Cost of Capital)</t>
  </si>
  <si>
    <t>Собственный капитал акционеров, в том числе:</t>
  </si>
  <si>
    <t>Капитал Производственного Дивизиона</t>
  </si>
  <si>
    <t>Капитал Торгового Дивизиона</t>
  </si>
  <si>
    <t>ИТОГО Используемый капитал</t>
  </si>
  <si>
    <t>Банковские кредиты</t>
  </si>
  <si>
    <t>Лизинг</t>
  </si>
  <si>
    <t>Стороннее финансирование, в том числе:</t>
  </si>
  <si>
    <t>Дивиденды Производственного Дивизиона</t>
  </si>
  <si>
    <t>Дивиденды Торгового Дивизиона</t>
  </si>
  <si>
    <t>Стоимость использования источников капитала</t>
  </si>
  <si>
    <t>Удельный вес источника капитала</t>
  </si>
  <si>
    <t>Плата за использование источников капитала</t>
  </si>
  <si>
    <r>
      <rPr>
        <b/>
        <sz val="18"/>
        <color theme="1"/>
        <rFont val="Calibri"/>
        <family val="2"/>
        <charset val="204"/>
        <scheme val="minor"/>
      </rPr>
      <t>g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(величина темпов роста cash flow, не может превышать темп роста экономики страны в целом)</t>
    </r>
  </si>
  <si>
    <t>Оценка бизнеса</t>
  </si>
  <si>
    <r>
      <rPr>
        <b/>
        <sz val="18"/>
        <color theme="1"/>
        <rFont val="Calibri"/>
        <family val="2"/>
        <charset val="204"/>
        <scheme val="minor"/>
      </rPr>
      <t>g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(величина темпов роста cash flow, не может превышать темп роста экономики страны в целом) - прогноз Всемирного банка</t>
    </r>
  </si>
  <si>
    <r>
      <t>WACC</t>
    </r>
    <r>
      <rPr>
        <sz val="11"/>
        <color theme="1"/>
        <rFont val="Calibri"/>
        <family val="2"/>
        <charset val="204"/>
        <scheme val="minor"/>
      </rPr>
      <t xml:space="preserve"> (сумма стоимости всех видов используемого капитала с учетом их доли в структуре капитала)</t>
    </r>
  </si>
  <si>
    <t>Дисконтированный FCFF по WACC</t>
  </si>
  <si>
    <t>Сегодня</t>
  </si>
  <si>
    <t>Период, определяемый датой оценки</t>
  </si>
  <si>
    <t>Фактор дисконтирования</t>
  </si>
  <si>
    <t>EBITDA 2012</t>
  </si>
  <si>
    <r>
      <t>Terminal Value</t>
    </r>
    <r>
      <rPr>
        <sz val="12"/>
        <color theme="1"/>
        <rFont val="Calibri"/>
        <family val="2"/>
        <charset val="204"/>
        <scheme val="minor"/>
      </rPr>
      <t xml:space="preserve"> (Формула Гордона)</t>
    </r>
  </si>
  <si>
    <r>
      <t>Terminal Value</t>
    </r>
    <r>
      <rPr>
        <sz val="12"/>
        <color theme="1"/>
        <rFont val="Calibri"/>
        <family val="2"/>
        <charset val="204"/>
        <scheme val="minor"/>
      </rPr>
      <t xml:space="preserve"> (Value Driver Formula)</t>
    </r>
  </si>
  <si>
    <t>EBIT</t>
  </si>
  <si>
    <t>NOPLAT</t>
  </si>
  <si>
    <t>Net Valuation (EV) 2022</t>
  </si>
  <si>
    <r>
      <t xml:space="preserve">Valuation Gross 2022 </t>
    </r>
    <r>
      <rPr>
        <sz val="12"/>
        <color theme="1"/>
        <rFont val="Calibri"/>
        <family val="2"/>
        <charset val="204"/>
        <scheme val="minor"/>
      </rPr>
      <t>(Формула Гордона)</t>
    </r>
  </si>
  <si>
    <t>EV2022/EBITDA2012</t>
  </si>
  <si>
    <t>EV2022/Sales2012</t>
  </si>
  <si>
    <t>EV2022/EBIT2012</t>
  </si>
  <si>
    <t>∑ дисконтированный FCFF 2022</t>
  </si>
  <si>
    <r>
      <t>FCFF</t>
    </r>
    <r>
      <rPr>
        <sz val="10"/>
        <color theme="1"/>
        <rFont val="Calibri"/>
        <family val="2"/>
        <charset val="204"/>
        <scheme val="minor"/>
      </rPr>
      <t>1</t>
    </r>
    <r>
      <rPr>
        <b/>
        <sz val="14"/>
        <color theme="1"/>
        <rFont val="Calibri"/>
        <family val="2"/>
        <charset val="204"/>
        <scheme val="minor"/>
      </rPr>
      <t xml:space="preserve"> (2023)</t>
    </r>
  </si>
  <si>
    <r>
      <t>NOPLAT</t>
    </r>
    <r>
      <rPr>
        <sz val="10"/>
        <color theme="1"/>
        <rFont val="Calibri"/>
        <family val="2"/>
        <charset val="204"/>
        <scheme val="minor"/>
      </rPr>
      <t xml:space="preserve">1 </t>
    </r>
    <r>
      <rPr>
        <b/>
        <sz val="14"/>
        <color theme="1"/>
        <rFont val="Calibri"/>
        <family val="2"/>
        <charset val="204"/>
        <scheme val="minor"/>
      </rPr>
      <t>(2023)</t>
    </r>
  </si>
  <si>
    <t>ROIC 2012</t>
  </si>
  <si>
    <r>
      <t>Multiplier 2022</t>
    </r>
    <r>
      <rPr>
        <sz val="12"/>
        <color theme="1"/>
        <rFont val="Calibri"/>
        <family val="2"/>
        <charset val="204"/>
        <scheme val="minor"/>
      </rPr>
      <t xml:space="preserve"> (Формула Гордона)</t>
    </r>
  </si>
  <si>
    <r>
      <t>Discounted FCFF</t>
    </r>
    <r>
      <rPr>
        <sz val="10"/>
        <color theme="1"/>
        <rFont val="Calibri"/>
        <family val="2"/>
        <charset val="204"/>
        <scheme val="minor"/>
      </rPr>
      <t xml:space="preserve">1 </t>
    </r>
    <r>
      <rPr>
        <b/>
        <sz val="14"/>
        <color theme="1"/>
        <rFont val="Calibri"/>
        <family val="2"/>
        <charset val="204"/>
        <scheme val="minor"/>
      </rPr>
      <t>(2023)</t>
    </r>
  </si>
  <si>
    <t>∑ дисконтированный FCFF 2017</t>
  </si>
  <si>
    <t>Net Valuation (EV) 2017</t>
  </si>
  <si>
    <r>
      <t xml:space="preserve">Valuation Gross 2017 </t>
    </r>
    <r>
      <rPr>
        <sz val="12"/>
        <color theme="1"/>
        <rFont val="Calibri"/>
        <family val="2"/>
        <charset val="204"/>
        <scheme val="minor"/>
      </rPr>
      <t>(Формула Гордона)</t>
    </r>
  </si>
  <si>
    <t>EV2022/Earnings2012 (P/E)</t>
  </si>
  <si>
    <t>Доля меньшинства 2022</t>
  </si>
  <si>
    <t>Доля меньшинства 2017</t>
  </si>
  <si>
    <t>Доля меньшинства 2012</t>
  </si>
  <si>
    <t>Стоимость производства и реализации 1 тонны пшеницы</t>
  </si>
  <si>
    <t>Стоимость производства и реализации 1 тонны подсолнечника</t>
  </si>
  <si>
    <r>
      <rPr>
        <b/>
        <i/>
        <sz val="11"/>
        <color theme="1"/>
        <rFont val="Calibri"/>
        <family val="2"/>
        <charset val="204"/>
        <scheme val="minor"/>
      </rPr>
      <t xml:space="preserve">Прочие доходы и расходы: </t>
    </r>
    <r>
      <rPr>
        <sz val="11"/>
        <color theme="1"/>
        <rFont val="Calibri"/>
        <family val="2"/>
        <charset val="204"/>
        <scheme val="minor"/>
      </rPr>
      <t>влияние инфляции и изменения макроэкономических факторов</t>
    </r>
  </si>
  <si>
    <r>
      <rPr>
        <b/>
        <sz val="14"/>
        <color rgb="FF00B0F0"/>
        <rFont val="Calibri"/>
        <family val="2"/>
        <charset val="204"/>
        <scheme val="minor"/>
      </rPr>
      <t>Projections.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Прогнозирование развития бизнеса компании на основе данных отчетности за предыдущие годы и предположений (Assumptions)</t>
    </r>
  </si>
  <si>
    <r>
      <rPr>
        <b/>
        <sz val="12"/>
        <color theme="1"/>
        <rFont val="Calibri"/>
        <family val="2"/>
        <charset val="204"/>
        <scheme val="minor"/>
      </rPr>
      <t>Финансовый прогноз</t>
    </r>
    <r>
      <rPr>
        <sz val="11"/>
        <color theme="1"/>
        <rFont val="Calibri"/>
        <family val="2"/>
        <charset val="204"/>
        <scheme val="minor"/>
      </rPr>
      <t>. Прогноз получения и погашения кредитов, лизинга, уплаты процентов и прочих финансовых расходов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</si>
</sst>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#,##0&quot;р.&quot;;[Red]\-#,##0&quot;р.&quot;"/>
    <numFmt numFmtId="43" formatCode="_-* #,##0.00_р_._-;\-* #,##0.00_р_._-;_-* &quot;-&quot;??_р_._-;_-@_-"/>
    <numFmt numFmtId="164" formatCode="0.0000"/>
    <numFmt numFmtId="165" formatCode="#,##0.0"/>
    <numFmt numFmtId="166" formatCode="[$$-C09]#,##0.00;[Red]\-[$$-C09]#,##0.00"/>
    <numFmt numFmtId="167" formatCode="[$$-C09]#,##0;[Red]\-[$$-C09]#,##0"/>
    <numFmt numFmtId="168" formatCode="[$$-C09]#,##0.00"/>
    <numFmt numFmtId="169" formatCode="_-* #,##0_р_._-;\-* #,##0_р_._-;_-* &quot;-&quot;??_р_._-;_-@_-"/>
    <numFmt numFmtId="170" formatCode="[$$-C09]#,##0.000;[Red]\-[$$-C09]#,##0.000"/>
    <numFmt numFmtId="171" formatCode="[$$-C09]#,##0.0000;[Red]\-[$$-C09]#,##0.0000"/>
    <numFmt numFmtId="172" formatCode="#,##0\т"/>
    <numFmt numFmtId="173" formatCode="#,##0.00\т"/>
    <numFmt numFmtId="174" formatCode="#,##0_ ;[Red]\-#,##0\ "/>
    <numFmt numFmtId="175" formatCode="#,##0.0000"/>
    <numFmt numFmtId="176" formatCode="_-* #,##0.0\ _г_р_н_._-;\-* #,##0.0\ _г_р_н_._-;_-* &quot;-&quot;??\ _г_р_н_._-;_-@_-"/>
    <numFmt numFmtId="177" formatCode="#,##0\ &quot;zł&quot;;[Red]\-#,##0\ &quot;zł&quot;"/>
    <numFmt numFmtId="178" formatCode="yyyy"/>
    <numFmt numFmtId="179" formatCode="#,##0.0000_р_.;[Red]\-#,##0.0000_р_."/>
  </numFmts>
  <fonts count="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4"/>
      <color rgb="FF00B0F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Verdana"/>
      <family val="2"/>
      <charset val="204"/>
    </font>
    <font>
      <i/>
      <sz val="8"/>
      <name val="Verdan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FF0000"/>
      <name val="Trebuchet MS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04"/>
    </font>
    <font>
      <sz val="11"/>
      <color indexed="9"/>
      <name val="Czcionka tekstu podstawowego"/>
      <family val="2"/>
      <charset val="238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2"/>
      <name val="Arial"/>
      <family val="2"/>
      <charset val="204"/>
    </font>
    <font>
      <b/>
      <sz val="11"/>
      <name val="Arial CE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8"/>
      <color indexed="8"/>
      <name val="Arial"/>
      <family val="2"/>
    </font>
    <font>
      <sz val="11"/>
      <color indexed="52"/>
      <name val="Calibri"/>
      <family val="2"/>
      <charset val="204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alibri"/>
      <family val="2"/>
      <charset val="204"/>
    </font>
    <font>
      <sz val="11"/>
      <color indexed="6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8"/>
      <name val="MS Serif"/>
      <family val="1"/>
    </font>
    <font>
      <sz val="10"/>
      <name val="Arial"/>
      <family val="2"/>
      <charset val="204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  <charset val="204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38"/>
    </font>
    <font>
      <sz val="10"/>
      <name val="Arial CE"/>
      <charset val="238"/>
    </font>
    <font>
      <sz val="11"/>
      <color indexed="10"/>
      <name val="Calibri"/>
      <family val="2"/>
      <charset val="204"/>
    </font>
    <font>
      <sz val="11"/>
      <color indexed="20"/>
      <name val="Czcionka tekstu podstawowego"/>
      <family val="2"/>
      <charset val="238"/>
    </font>
    <font>
      <sz val="8"/>
      <name val="Arial CYR"/>
      <charset val="204"/>
    </font>
    <font>
      <b/>
      <sz val="10"/>
      <name val="Verdana"/>
      <family val="2"/>
      <charset val="204"/>
    </font>
    <font>
      <i/>
      <sz val="16"/>
      <color theme="1"/>
      <name val="Calibri"/>
      <family val="2"/>
      <charset val="204"/>
      <scheme val="minor"/>
    </font>
    <font>
      <sz val="10"/>
      <name val="Trebuchet MS"/>
      <family val="2"/>
      <charset val="204"/>
    </font>
    <font>
      <b/>
      <sz val="10"/>
      <name val="Trebuchet MS"/>
      <family val="2"/>
      <charset val="204"/>
    </font>
    <font>
      <sz val="10"/>
      <color theme="3" tint="0.39997558519241921"/>
      <name val="Trebuchet MS"/>
      <family val="2"/>
      <charset val="204"/>
    </font>
    <font>
      <i/>
      <sz val="10"/>
      <color indexed="62"/>
      <name val="Trebuchet MS"/>
      <family val="2"/>
      <charset val="204"/>
    </font>
    <font>
      <b/>
      <sz val="10"/>
      <color theme="3" tint="0.39997558519241921"/>
      <name val="Trebuchet MS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4"/>
      <color theme="3" tint="0.39997558519241921"/>
      <name val="Trebuchet MS"/>
      <family val="2"/>
      <charset val="204"/>
    </font>
    <font>
      <i/>
      <sz val="12"/>
      <color theme="1"/>
      <name val="Calibri"/>
      <family val="2"/>
      <charset val="204"/>
      <scheme val="minor"/>
    </font>
    <font>
      <sz val="8"/>
      <color indexed="55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  <bgColor rgb="FF00B0F0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9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9" fillId="8" borderId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6" borderId="0" applyNumberFormat="0" applyBorder="0" applyAlignment="0" applyProtection="0"/>
    <xf numFmtId="0" fontId="34" fillId="10" borderId="0" applyNumberFormat="0" applyBorder="0" applyAlignment="0" applyProtection="0"/>
    <xf numFmtId="0" fontId="35" fillId="27" borderId="12" applyNumberFormat="0" applyAlignment="0" applyProtection="0"/>
    <xf numFmtId="0" fontId="36" fillId="28" borderId="13" applyNumberFormat="0" applyAlignment="0" applyProtection="0"/>
    <xf numFmtId="3" fontId="37" fillId="0" borderId="0" applyFont="0" applyFill="0" applyBorder="0" applyAlignment="0" applyProtection="0"/>
    <xf numFmtId="1" fontId="38" fillId="29" borderId="0"/>
    <xf numFmtId="0" fontId="39" fillId="14" borderId="12" applyNumberFormat="0" applyAlignment="0" applyProtection="0"/>
    <xf numFmtId="0" fontId="40" fillId="27" borderId="14" applyNumberFormat="0" applyAlignment="0" applyProtection="0"/>
    <xf numFmtId="49" fontId="41" fillId="0" borderId="6">
      <alignment horizontal="right" wrapText="1"/>
    </xf>
    <xf numFmtId="176" fontId="42" fillId="0" borderId="0" applyFont="0" applyFill="0" applyBorder="0" applyAlignment="0" applyProtection="0"/>
    <xf numFmtId="0" fontId="43" fillId="11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11" borderId="0" applyNumberFormat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14" borderId="12" applyNumberFormat="0" applyAlignment="0" applyProtection="0"/>
    <xf numFmtId="0" fontId="50" fillId="0" borderId="18" applyNumberFormat="0" applyFill="0" applyAlignment="0" applyProtection="0"/>
    <xf numFmtId="0" fontId="51" fillId="28" borderId="13" applyNumberFormat="0" applyAlignment="0" applyProtection="0"/>
    <xf numFmtId="177" fontId="52" fillId="0" borderId="0" applyFont="0" applyFill="0" applyBorder="0" applyAlignment="0" applyProtection="0"/>
    <xf numFmtId="0" fontId="53" fillId="0" borderId="18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7" fillId="30" borderId="0" applyNumberFormat="0" applyBorder="0" applyAlignment="0" applyProtection="0"/>
    <xf numFmtId="0" fontId="58" fillId="30" borderId="0" applyNumberFormat="0" applyBorder="0" applyAlignment="0" applyProtection="0"/>
    <xf numFmtId="0" fontId="29" fillId="0" borderId="19"/>
    <xf numFmtId="0" fontId="1" fillId="0" borderId="0"/>
    <xf numFmtId="0" fontId="59" fillId="0" borderId="0"/>
    <xf numFmtId="0" fontId="30" fillId="0" borderId="0"/>
    <xf numFmtId="0" fontId="22" fillId="0" borderId="0"/>
    <xf numFmtId="0" fontId="29" fillId="0" borderId="0"/>
    <xf numFmtId="37" fontId="60" fillId="0" borderId="0"/>
    <xf numFmtId="0" fontId="61" fillId="0" borderId="0"/>
    <xf numFmtId="0" fontId="22" fillId="31" borderId="20" applyNumberFormat="0" applyFont="0" applyAlignment="0" applyProtection="0"/>
    <xf numFmtId="0" fontId="62" fillId="27" borderId="12" applyNumberFormat="0" applyAlignment="0" applyProtection="0"/>
    <xf numFmtId="0" fontId="63" fillId="27" borderId="14" applyNumberFormat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70" fillId="31" borderId="20" applyNumberFormat="0" applyFont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0" borderId="0"/>
    <xf numFmtId="0" fontId="61" fillId="0" borderId="0"/>
    <xf numFmtId="0" fontId="23" fillId="0" borderId="0"/>
    <xf numFmtId="0" fontId="1" fillId="0" borderId="0"/>
    <xf numFmtId="0" fontId="61" fillId="0" borderId="0"/>
    <xf numFmtId="9" fontId="73" fillId="0" borderId="0" applyFont="0" applyFill="0" applyBorder="0" applyAlignment="0" applyProtection="0"/>
    <xf numFmtId="9" fontId="61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</cellStyleXfs>
  <cellXfs count="330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3" fontId="0" fillId="0" borderId="0" xfId="0" applyNumberFormat="1" applyFont="1" applyAlignment="1">
      <alignment horizontal="right" vertical="center" wrapText="1"/>
    </xf>
    <xf numFmtId="3" fontId="0" fillId="0" borderId="0" xfId="0" applyNumberFormat="1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10" fontId="0" fillId="0" borderId="0" xfId="0" applyNumberFormat="1" applyAlignment="1">
      <alignment vertical="center" wrapText="1"/>
    </xf>
    <xf numFmtId="10" fontId="3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0" fontId="8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10" fontId="0" fillId="0" borderId="0" xfId="1" applyNumberFormat="1" applyFont="1" applyAlignment="1">
      <alignment vertical="center" wrapText="1"/>
    </xf>
    <xf numFmtId="4" fontId="0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164" fontId="0" fillId="3" borderId="0" xfId="0" applyNumberFormat="1" applyFill="1" applyBorder="1" applyAlignment="1">
      <alignment vertical="center" wrapText="1"/>
    </xf>
    <xf numFmtId="10" fontId="0" fillId="3" borderId="0" xfId="0" applyNumberFormat="1" applyFill="1" applyBorder="1" applyAlignment="1">
      <alignment vertical="center" wrapText="1"/>
    </xf>
    <xf numFmtId="10" fontId="0" fillId="0" borderId="0" xfId="0" applyNumberFormat="1" applyBorder="1" applyAlignment="1">
      <alignment vertical="center" wrapText="1"/>
    </xf>
    <xf numFmtId="10" fontId="0" fillId="0" borderId="0" xfId="1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38" fontId="0" fillId="0" borderId="0" xfId="0" applyNumberFormat="1" applyAlignment="1">
      <alignment vertical="center"/>
    </xf>
    <xf numFmtId="38" fontId="5" fillId="0" borderId="0" xfId="0" applyNumberFormat="1" applyFont="1" applyAlignment="1">
      <alignment vertical="center"/>
    </xf>
    <xf numFmtId="38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3" fontId="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0" fontId="0" fillId="0" borderId="0" xfId="1" applyNumberFormat="1" applyFont="1" applyAlignme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38" fontId="7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38" fontId="10" fillId="0" borderId="0" xfId="0" applyNumberFormat="1" applyFont="1" applyAlignment="1">
      <alignment vertical="center"/>
    </xf>
    <xf numFmtId="38" fontId="9" fillId="0" borderId="0" xfId="0" applyNumberFormat="1" applyFont="1" applyAlignment="1">
      <alignment vertical="center"/>
    </xf>
    <xf numFmtId="6" fontId="0" fillId="0" borderId="0" xfId="0" applyNumberFormat="1" applyFont="1" applyAlignment="1">
      <alignment horizontal="right" vertical="center" wrapText="1"/>
    </xf>
    <xf numFmtId="6" fontId="0" fillId="0" borderId="0" xfId="0" applyNumberFormat="1" applyFont="1" applyBorder="1" applyAlignment="1">
      <alignment horizontal="right" vertical="center" wrapText="1"/>
    </xf>
    <xf numFmtId="6" fontId="0" fillId="0" borderId="0" xfId="0" applyNumberFormat="1" applyAlignment="1">
      <alignment vertical="center" wrapText="1"/>
    </xf>
    <xf numFmtId="6" fontId="0" fillId="0" borderId="0" xfId="0" applyNumberFormat="1" applyFont="1" applyAlignment="1">
      <alignment vertical="center" wrapText="1"/>
    </xf>
    <xf numFmtId="6" fontId="0" fillId="0" borderId="0" xfId="0" applyNumberFormat="1" applyBorder="1" applyAlignment="1">
      <alignment vertical="center" wrapText="1"/>
    </xf>
    <xf numFmtId="166" fontId="0" fillId="0" borderId="0" xfId="0" applyNumberFormat="1" applyAlignment="1">
      <alignment vertical="center" wrapText="1"/>
    </xf>
    <xf numFmtId="166" fontId="0" fillId="0" borderId="0" xfId="0" applyNumberFormat="1" applyFont="1" applyAlignment="1">
      <alignment horizontal="right" vertical="center" wrapText="1"/>
    </xf>
    <xf numFmtId="166" fontId="0" fillId="0" borderId="0" xfId="0" applyNumberFormat="1" applyFont="1" applyBorder="1" applyAlignment="1">
      <alignment horizontal="right" vertical="center" wrapText="1"/>
    </xf>
    <xf numFmtId="166" fontId="0" fillId="0" borderId="0" xfId="0" applyNumberFormat="1" applyFont="1" applyAlignment="1">
      <alignment vertical="center" wrapText="1"/>
    </xf>
    <xf numFmtId="166" fontId="6" fillId="0" borderId="0" xfId="0" applyNumberFormat="1" applyFont="1" applyAlignment="1">
      <alignment horizontal="center" vertical="center" wrapText="1"/>
    </xf>
    <xf numFmtId="166" fontId="0" fillId="0" borderId="0" xfId="0" applyNumberFormat="1" applyFont="1" applyBorder="1" applyAlignment="1">
      <alignment vertical="center" wrapText="1"/>
    </xf>
    <xf numFmtId="167" fontId="0" fillId="0" borderId="0" xfId="0" applyNumberFormat="1" applyFont="1" applyAlignment="1">
      <alignment vertical="center" wrapText="1"/>
    </xf>
    <xf numFmtId="167" fontId="0" fillId="0" borderId="0" xfId="0" applyNumberFormat="1" applyAlignment="1">
      <alignment vertical="center" wrapText="1"/>
    </xf>
    <xf numFmtId="0" fontId="10" fillId="0" borderId="0" xfId="0" applyFont="1" applyAlignment="1">
      <alignment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10" fontId="3" fillId="2" borderId="1" xfId="1" applyNumberFormat="1" applyFont="1" applyFill="1" applyBorder="1" applyAlignment="1">
      <alignment horizontal="center" vertical="center" wrapText="1"/>
    </xf>
    <xf numFmtId="167" fontId="0" fillId="0" borderId="0" xfId="0" applyNumberFormat="1" applyFont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167" fontId="4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167" fontId="0" fillId="0" borderId="0" xfId="0" applyNumberFormat="1" applyFont="1" applyBorder="1" applyAlignment="1">
      <alignment horizontal="right" vertical="center" wrapText="1"/>
    </xf>
    <xf numFmtId="0" fontId="8" fillId="0" borderId="0" xfId="0" applyFont="1"/>
    <xf numFmtId="168" fontId="0" fillId="0" borderId="0" xfId="0" applyNumberFormat="1" applyFont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10" fontId="3" fillId="0" borderId="0" xfId="1" applyNumberFormat="1" applyFont="1" applyFill="1" applyBorder="1" applyAlignment="1">
      <alignment horizontal="center" vertical="center" wrapText="1"/>
    </xf>
    <xf numFmtId="6" fontId="0" fillId="5" borderId="1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38" fontId="8" fillId="0" borderId="0" xfId="0" applyNumberFormat="1" applyFont="1" applyAlignment="1">
      <alignment vertical="center"/>
    </xf>
    <xf numFmtId="2" fontId="3" fillId="2" borderId="1" xfId="2" applyNumberFormat="1" applyFont="1" applyFill="1" applyBorder="1" applyAlignment="1">
      <alignment horizontal="center" vertical="center" wrapText="1"/>
    </xf>
    <xf numFmtId="167" fontId="0" fillId="0" borderId="0" xfId="0" applyNumberFormat="1" applyFont="1" applyAlignment="1">
      <alignment vertical="center"/>
    </xf>
    <xf numFmtId="167" fontId="0" fillId="0" borderId="0" xfId="1" applyNumberFormat="1" applyFont="1" applyFill="1" applyBorder="1" applyAlignment="1">
      <alignment horizontal="right" vertical="center" wrapText="1"/>
    </xf>
    <xf numFmtId="166" fontId="3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vertical="center"/>
    </xf>
    <xf numFmtId="3" fontId="4" fillId="0" borderId="0" xfId="0" applyNumberFormat="1" applyFont="1" applyAlignment="1">
      <alignment vertical="center" wrapText="1"/>
    </xf>
    <xf numFmtId="38" fontId="0" fillId="0" borderId="0" xfId="0" applyNumberFormat="1" applyAlignment="1">
      <alignment vertical="center" wrapText="1"/>
    </xf>
    <xf numFmtId="0" fontId="5" fillId="0" borderId="0" xfId="0" applyFont="1" applyAlignment="1">
      <alignment vertical="center" wrapText="1"/>
    </xf>
    <xf numFmtId="38" fontId="6" fillId="0" borderId="0" xfId="0" applyNumberFormat="1" applyFont="1" applyAlignment="1">
      <alignment vertical="center" wrapText="1"/>
    </xf>
    <xf numFmtId="0" fontId="6" fillId="0" borderId="0" xfId="0" applyFont="1" applyAlignment="1">
      <alignment vertical="center" wrapText="1"/>
    </xf>
    <xf numFmtId="38" fontId="5" fillId="0" borderId="0" xfId="0" applyNumberFormat="1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69" fontId="0" fillId="0" borderId="0" xfId="2" applyNumberFormat="1" applyFont="1" applyFill="1" applyBorder="1" applyAlignment="1">
      <alignment vertical="center" wrapText="1"/>
    </xf>
    <xf numFmtId="166" fontId="4" fillId="0" borderId="0" xfId="0" applyNumberFormat="1" applyFont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" fontId="0" fillId="0" borderId="0" xfId="0" applyNumberFormat="1" applyFont="1" applyAlignment="1">
      <alignment vertical="center" wrapText="1"/>
    </xf>
    <xf numFmtId="170" fontId="0" fillId="0" borderId="0" xfId="0" applyNumberFormat="1" applyFont="1" applyAlignment="1">
      <alignment vertical="center" wrapText="1"/>
    </xf>
    <xf numFmtId="171" fontId="0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vertical="center" wrapText="1"/>
    </xf>
    <xf numFmtId="0" fontId="9" fillId="0" borderId="0" xfId="0" applyFont="1" applyAlignment="1">
      <alignment vertical="center" wrapText="1"/>
    </xf>
    <xf numFmtId="172" fontId="0" fillId="0" borderId="0" xfId="0" applyNumberFormat="1" applyFont="1" applyAlignment="1">
      <alignment horizontal="right" vertical="center" wrapText="1"/>
    </xf>
    <xf numFmtId="173" fontId="0" fillId="0" borderId="0" xfId="0" applyNumberFormat="1" applyFont="1" applyAlignment="1">
      <alignment horizontal="right" vertical="center" wrapText="1"/>
    </xf>
    <xf numFmtId="173" fontId="0" fillId="0" borderId="0" xfId="0" applyNumberFormat="1" applyAlignment="1">
      <alignment vertical="center" wrapText="1"/>
    </xf>
    <xf numFmtId="173" fontId="0" fillId="0" borderId="0" xfId="0" applyNumberFormat="1" applyFont="1" applyBorder="1" applyAlignment="1">
      <alignment horizontal="right" vertical="center" wrapText="1"/>
    </xf>
    <xf numFmtId="168" fontId="0" fillId="0" borderId="0" xfId="0" applyNumberFormat="1" applyFont="1" applyAlignment="1">
      <alignment horizontal="right" vertical="center" wrapText="1"/>
    </xf>
    <xf numFmtId="172" fontId="0" fillId="0" borderId="0" xfId="0" applyNumberFormat="1" applyAlignment="1">
      <alignment vertical="center" wrapText="1"/>
    </xf>
    <xf numFmtId="172" fontId="0" fillId="0" borderId="0" xfId="0" applyNumberFormat="1" applyFont="1" applyAlignment="1">
      <alignment vertical="center" wrapText="1"/>
    </xf>
    <xf numFmtId="167" fontId="1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3" fontId="13" fillId="0" borderId="0" xfId="0" applyNumberFormat="1" applyFont="1" applyAlignment="1">
      <alignment vertical="center" wrapText="1"/>
    </xf>
    <xf numFmtId="174" fontId="13" fillId="0" borderId="0" xfId="0" applyNumberFormat="1" applyFont="1" applyAlignment="1">
      <alignment vertical="center" wrapText="1"/>
    </xf>
    <xf numFmtId="10" fontId="3" fillId="5" borderId="1" xfId="1" applyNumberFormat="1" applyFont="1" applyFill="1" applyBorder="1" applyAlignment="1">
      <alignment horizontal="center" vertical="center" wrapText="1"/>
    </xf>
    <xf numFmtId="10" fontId="3" fillId="5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right" vertical="center" wrapText="1"/>
    </xf>
    <xf numFmtId="38" fontId="4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38" fontId="0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38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38" fontId="1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" fontId="3" fillId="2" borderId="1" xfId="2" applyNumberFormat="1" applyFont="1" applyFill="1" applyBorder="1" applyAlignment="1">
      <alignment horizontal="center" vertical="center" wrapText="1"/>
    </xf>
    <xf numFmtId="3" fontId="3" fillId="2" borderId="1" xfId="2" applyNumberFormat="1" applyFont="1" applyFill="1" applyBorder="1" applyAlignment="1">
      <alignment horizontal="center" vertical="center" wrapText="1"/>
    </xf>
    <xf numFmtId="10" fontId="0" fillId="5" borderId="1" xfId="1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 applyAlignment="1">
      <alignment horizontal="center" vertical="center" wrapText="1"/>
    </xf>
    <xf numFmtId="169" fontId="0" fillId="5" borderId="1" xfId="2" applyNumberFormat="1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6" fontId="0" fillId="5" borderId="1" xfId="1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 wrapText="1"/>
    </xf>
    <xf numFmtId="173" fontId="0" fillId="5" borderId="1" xfId="0" applyNumberFormat="1" applyFont="1" applyFill="1" applyBorder="1" applyAlignment="1">
      <alignment horizontal="center" vertical="center" wrapText="1"/>
    </xf>
    <xf numFmtId="173" fontId="0" fillId="0" borderId="0" xfId="0" applyNumberFormat="1" applyFont="1" applyAlignment="1">
      <alignment horizontal="center" vertical="center" wrapText="1"/>
    </xf>
    <xf numFmtId="168" fontId="0" fillId="5" borderId="1" xfId="0" applyNumberFormat="1" applyFont="1" applyFill="1" applyBorder="1" applyAlignment="1">
      <alignment horizontal="center" vertical="center" wrapText="1"/>
    </xf>
    <xf numFmtId="10" fontId="0" fillId="5" borderId="1" xfId="0" applyNumberFormat="1" applyFont="1" applyFill="1" applyBorder="1" applyAlignment="1">
      <alignment horizontal="center" vertical="center" wrapText="1"/>
    </xf>
    <xf numFmtId="3" fontId="0" fillId="5" borderId="1" xfId="0" applyNumberFormat="1" applyFont="1" applyFill="1" applyBorder="1" applyAlignment="1">
      <alignment horizontal="center" vertical="center" wrapText="1"/>
    </xf>
    <xf numFmtId="10" fontId="1" fillId="5" borderId="1" xfId="1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10" fontId="0" fillId="0" borderId="0" xfId="0" applyNumberFormat="1" applyFont="1" applyFill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167" fontId="4" fillId="0" borderId="0" xfId="0" applyNumberFormat="1" applyFont="1"/>
    <xf numFmtId="38" fontId="3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4" fillId="6" borderId="0" xfId="3" applyFont="1" applyFill="1" applyAlignment="1">
      <alignment horizontal="right" vertical="center"/>
    </xf>
    <xf numFmtId="175" fontId="25" fillId="0" borderId="0" xfId="0" applyNumberFormat="1" applyFont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3" fillId="0" borderId="2" xfId="0" applyNumberFormat="1" applyFont="1" applyBorder="1" applyAlignment="1">
      <alignment vertical="center"/>
    </xf>
    <xf numFmtId="3" fontId="0" fillId="0" borderId="4" xfId="0" applyNumberFormat="1" applyBorder="1" applyAlignment="1">
      <alignment vertical="center"/>
    </xf>
    <xf numFmtId="3" fontId="0" fillId="0" borderId="4" xfId="0" applyNumberFormat="1" applyBorder="1"/>
    <xf numFmtId="3" fontId="3" fillId="0" borderId="4" xfId="0" applyNumberFormat="1" applyFont="1" applyBorder="1" applyAlignment="1">
      <alignment vertical="center"/>
    </xf>
    <xf numFmtId="0" fontId="0" fillId="0" borderId="4" xfId="0" applyBorder="1"/>
    <xf numFmtId="3" fontId="0" fillId="0" borderId="5" xfId="0" applyNumberFormat="1" applyBorder="1" applyAlignment="1">
      <alignment vertical="center"/>
    </xf>
    <xf numFmtId="3" fontId="0" fillId="0" borderId="5" xfId="0" applyNumberFormat="1" applyBorder="1"/>
    <xf numFmtId="3" fontId="5" fillId="0" borderId="1" xfId="0" applyNumberFormat="1" applyFont="1" applyBorder="1" applyAlignment="1">
      <alignment vertical="center"/>
    </xf>
    <xf numFmtId="0" fontId="26" fillId="0" borderId="0" xfId="3" applyFont="1" applyBorder="1" applyAlignment="1">
      <alignment horizontal="left" vertical="center" wrapText="1" indent="1"/>
    </xf>
    <xf numFmtId="3" fontId="28" fillId="0" borderId="0" xfId="0" applyNumberFormat="1" applyFont="1" applyBorder="1" applyAlignment="1">
      <alignment vertical="center"/>
    </xf>
    <xf numFmtId="0" fontId="28" fillId="0" borderId="0" xfId="0" applyFont="1"/>
    <xf numFmtId="0" fontId="7" fillId="0" borderId="10" xfId="0" applyFont="1" applyBorder="1"/>
    <xf numFmtId="0" fontId="5" fillId="0" borderId="3" xfId="0" applyFont="1" applyBorder="1" applyAlignment="1">
      <alignment horizontal="center" vertical="center"/>
    </xf>
    <xf numFmtId="0" fontId="4" fillId="0" borderId="7" xfId="0" applyFont="1" applyBorder="1"/>
    <xf numFmtId="3" fontId="0" fillId="0" borderId="0" xfId="0" applyNumberFormat="1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7" xfId="0" applyBorder="1"/>
    <xf numFmtId="3" fontId="4" fillId="0" borderId="0" xfId="0" applyNumberFormat="1" applyFont="1" applyBorder="1" applyAlignment="1">
      <alignment vertical="center"/>
    </xf>
    <xf numFmtId="0" fontId="0" fillId="0" borderId="9" xfId="0" applyBorder="1" applyAlignment="1">
      <alignment vertical="center" wrapText="1"/>
    </xf>
    <xf numFmtId="38" fontId="0" fillId="0" borderId="8" xfId="0" applyNumberFormat="1" applyBorder="1" applyAlignment="1">
      <alignment vertical="center"/>
    </xf>
    <xf numFmtId="38" fontId="0" fillId="0" borderId="11" xfId="0" applyNumberFormat="1" applyBorder="1" applyAlignment="1">
      <alignment vertical="center"/>
    </xf>
    <xf numFmtId="0" fontId="74" fillId="6" borderId="0" xfId="3" applyFont="1" applyFill="1" applyAlignment="1">
      <alignment horizontal="center" vertical="center"/>
    </xf>
    <xf numFmtId="0" fontId="0" fillId="0" borderId="0" xfId="0" applyFont="1"/>
    <xf numFmtId="167" fontId="0" fillId="0" borderId="0" xfId="0" applyNumberFormat="1"/>
    <xf numFmtId="0" fontId="4" fillId="0" borderId="0" xfId="0" applyFont="1" applyAlignment="1">
      <alignment horizontal="center"/>
    </xf>
    <xf numFmtId="167" fontId="0" fillId="0" borderId="0" xfId="0" applyNumberFormat="1" applyFont="1" applyAlignment="1">
      <alignment horizontal="center" vertical="center" wrapText="1"/>
    </xf>
    <xf numFmtId="0" fontId="27" fillId="0" borderId="0" xfId="0" applyFont="1"/>
    <xf numFmtId="167" fontId="0" fillId="0" borderId="0" xfId="0" applyNumberFormat="1" applyAlignment="1">
      <alignment vertical="center"/>
    </xf>
    <xf numFmtId="38" fontId="0" fillId="0" borderId="0" xfId="0" applyNumberFormat="1"/>
    <xf numFmtId="38" fontId="74" fillId="6" borderId="0" xfId="3" applyNumberFormat="1" applyFont="1" applyFill="1" applyAlignment="1">
      <alignment horizontal="center" vertical="center"/>
    </xf>
    <xf numFmtId="38" fontId="24" fillId="6" borderId="0" xfId="3" applyNumberFormat="1" applyFont="1" applyFill="1" applyAlignment="1">
      <alignment horizontal="right" vertical="center"/>
    </xf>
    <xf numFmtId="38" fontId="0" fillId="0" borderId="1" xfId="0" applyNumberFormat="1" applyBorder="1" applyAlignment="1">
      <alignment vertical="center"/>
    </xf>
    <xf numFmtId="38" fontId="3" fillId="0" borderId="2" xfId="0" applyNumberFormat="1" applyFont="1" applyBorder="1" applyAlignment="1">
      <alignment vertical="center"/>
    </xf>
    <xf numFmtId="38" fontId="0" fillId="0" borderId="4" xfId="0" applyNumberFormat="1" applyBorder="1" applyAlignment="1">
      <alignment vertical="center"/>
    </xf>
    <xf numFmtId="38" fontId="0" fillId="0" borderId="4" xfId="0" applyNumberFormat="1" applyBorder="1"/>
    <xf numFmtId="38" fontId="3" fillId="0" borderId="4" xfId="0" applyNumberFormat="1" applyFont="1" applyBorder="1" applyAlignment="1">
      <alignment vertical="center"/>
    </xf>
    <xf numFmtId="38" fontId="0" fillId="0" borderId="5" xfId="0" applyNumberFormat="1" applyBorder="1" applyAlignment="1">
      <alignment vertical="center"/>
    </xf>
    <xf numFmtId="38" fontId="0" fillId="0" borderId="5" xfId="0" applyNumberFormat="1" applyBorder="1"/>
    <xf numFmtId="38" fontId="5" fillId="0" borderId="1" xfId="0" applyNumberFormat="1" applyFont="1" applyBorder="1" applyAlignment="1">
      <alignment vertical="center"/>
    </xf>
    <xf numFmtId="38" fontId="26" fillId="0" borderId="0" xfId="3" applyNumberFormat="1" applyFont="1" applyBorder="1" applyAlignment="1">
      <alignment horizontal="left" vertical="center" wrapText="1" indent="1"/>
    </xf>
    <xf numFmtId="38" fontId="28" fillId="0" borderId="0" xfId="0" applyNumberFormat="1" applyFont="1" applyBorder="1" applyAlignment="1">
      <alignment vertical="center"/>
    </xf>
    <xf numFmtId="38" fontId="28" fillId="0" borderId="0" xfId="0" applyNumberFormat="1" applyFont="1"/>
    <xf numFmtId="40" fontId="2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32" borderId="0" xfId="0" applyFill="1" applyAlignment="1">
      <alignment horizontal="center" vertical="center"/>
    </xf>
    <xf numFmtId="0" fontId="11" fillId="32" borderId="0" xfId="0" applyFont="1" applyFill="1" applyAlignment="1">
      <alignment vertical="center"/>
    </xf>
    <xf numFmtId="0" fontId="0" fillId="32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0" fontId="11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11" fillId="33" borderId="0" xfId="0" applyFont="1" applyFill="1" applyAlignment="1">
      <alignment vertical="center" wrapText="1"/>
    </xf>
    <xf numFmtId="0" fontId="0" fillId="33" borderId="0" xfId="0" applyFill="1" applyAlignment="1">
      <alignment vertical="center" wrapText="1"/>
    </xf>
    <xf numFmtId="0" fontId="0" fillId="32" borderId="0" xfId="0" applyFill="1" applyAlignment="1">
      <alignment vertical="center" wrapText="1"/>
    </xf>
    <xf numFmtId="0" fontId="8" fillId="4" borderId="0" xfId="0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8" fillId="32" borderId="0" xfId="0" applyFont="1" applyFill="1" applyAlignment="1">
      <alignment vertical="center"/>
    </xf>
    <xf numFmtId="0" fontId="0" fillId="34" borderId="0" xfId="0" applyFill="1" applyAlignment="1">
      <alignment vertical="center" wrapText="1"/>
    </xf>
    <xf numFmtId="0" fontId="0" fillId="34" borderId="0" xfId="0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14" fillId="5" borderId="0" xfId="0" applyFont="1" applyFill="1" applyAlignment="1">
      <alignment vertical="center"/>
    </xf>
    <xf numFmtId="3" fontId="8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75" fillId="0" borderId="0" xfId="0" applyNumberFormat="1" applyFont="1" applyAlignment="1">
      <alignment vertical="center"/>
    </xf>
    <xf numFmtId="38" fontId="77" fillId="7" borderId="1" xfId="3" applyNumberFormat="1" applyFont="1" applyFill="1" applyBorder="1" applyAlignment="1">
      <alignment horizontal="left" vertical="center" wrapText="1" indent="1"/>
    </xf>
    <xf numFmtId="38" fontId="78" fillId="0" borderId="4" xfId="3" applyNumberFormat="1" applyFont="1" applyBorder="1" applyAlignment="1">
      <alignment horizontal="left" vertical="center" wrapText="1" indent="1"/>
    </xf>
    <xf numFmtId="38" fontId="76" fillId="0" borderId="4" xfId="3" applyNumberFormat="1" applyFont="1" applyFill="1" applyBorder="1" applyAlignment="1">
      <alignment horizontal="left" vertical="center" wrapText="1" indent="2"/>
    </xf>
    <xf numFmtId="38" fontId="76" fillId="0" borderId="4" xfId="3" applyNumberFormat="1" applyFont="1" applyBorder="1" applyAlignment="1">
      <alignment horizontal="left" vertical="center" wrapText="1" indent="2"/>
    </xf>
    <xf numFmtId="38" fontId="78" fillId="0" borderId="4" xfId="3" applyNumberFormat="1" applyFont="1" applyFill="1" applyBorder="1" applyAlignment="1">
      <alignment horizontal="left" vertical="center" wrapText="1" indent="1"/>
    </xf>
    <xf numFmtId="0" fontId="76" fillId="0" borderId="4" xfId="3" applyFont="1" applyFill="1" applyBorder="1" applyAlignment="1">
      <alignment horizontal="left" vertical="center" wrapText="1" indent="2"/>
    </xf>
    <xf numFmtId="38" fontId="80" fillId="0" borderId="1" xfId="3" applyNumberFormat="1" applyFont="1" applyBorder="1" applyAlignment="1">
      <alignment horizontal="left" vertical="center" wrapText="1" indent="1"/>
    </xf>
    <xf numFmtId="38" fontId="76" fillId="0" borderId="4" xfId="3" applyNumberFormat="1" applyFont="1" applyFill="1" applyBorder="1" applyAlignment="1">
      <alignment horizontal="left" vertical="center" wrapText="1" indent="1"/>
    </xf>
    <xf numFmtId="38" fontId="76" fillId="0" borderId="4" xfId="3" applyNumberFormat="1" applyFont="1" applyBorder="1" applyAlignment="1">
      <alignment horizontal="left" vertical="center" wrapText="1" indent="1"/>
    </xf>
    <xf numFmtId="0" fontId="77" fillId="7" borderId="1" xfId="3" applyFont="1" applyFill="1" applyBorder="1" applyAlignment="1">
      <alignment horizontal="left" vertical="center" wrapText="1" indent="1"/>
    </xf>
    <xf numFmtId="0" fontId="78" fillId="0" borderId="4" xfId="3" applyFont="1" applyBorder="1" applyAlignment="1">
      <alignment horizontal="left" vertical="center" wrapText="1" indent="1"/>
    </xf>
    <xf numFmtId="0" fontId="76" fillId="0" borderId="4" xfId="3" applyFont="1" applyBorder="1" applyAlignment="1">
      <alignment horizontal="left" vertical="center" wrapText="1" indent="2"/>
    </xf>
    <xf numFmtId="0" fontId="78" fillId="0" borderId="4" xfId="3" applyFont="1" applyFill="1" applyBorder="1" applyAlignment="1">
      <alignment horizontal="left" vertical="center" wrapText="1" indent="1"/>
    </xf>
    <xf numFmtId="0" fontId="80" fillId="0" borderId="1" xfId="3" applyFont="1" applyBorder="1" applyAlignment="1">
      <alignment horizontal="left" vertical="center" wrapText="1" indent="1"/>
    </xf>
    <xf numFmtId="0" fontId="76" fillId="0" borderId="4" xfId="3" applyFont="1" applyFill="1" applyBorder="1" applyAlignment="1">
      <alignment horizontal="left" vertical="center" wrapText="1" indent="1"/>
    </xf>
    <xf numFmtId="0" fontId="76" fillId="0" borderId="4" xfId="3" applyFont="1" applyBorder="1" applyAlignment="1">
      <alignment horizontal="left" vertical="center" wrapText="1" indent="1"/>
    </xf>
    <xf numFmtId="3" fontId="0" fillId="5" borderId="1" xfId="2" applyNumberFormat="1" applyFont="1" applyFill="1" applyBorder="1" applyAlignment="1">
      <alignment horizontal="center" vertical="center" wrapText="1"/>
    </xf>
    <xf numFmtId="3" fontId="0" fillId="0" borderId="4" xfId="0" applyNumberFormat="1" applyFont="1" applyBorder="1" applyAlignment="1">
      <alignment vertical="center"/>
    </xf>
    <xf numFmtId="38" fontId="0" fillId="0" borderId="9" xfId="0" applyNumberFormat="1" applyBorder="1"/>
    <xf numFmtId="38" fontId="0" fillId="0" borderId="8" xfId="0" applyNumberFormat="1" applyBorder="1"/>
    <xf numFmtId="38" fontId="0" fillId="0" borderId="7" xfId="0" applyNumberFormat="1" applyBorder="1" applyAlignment="1">
      <alignment vertical="center" wrapText="1"/>
    </xf>
    <xf numFmtId="38" fontId="0" fillId="0" borderId="0" xfId="0" applyNumberFormat="1" applyBorder="1" applyAlignment="1">
      <alignment vertical="center"/>
    </xf>
    <xf numFmtId="38" fontId="0" fillId="0" borderId="7" xfId="0" applyNumberFormat="1" applyBorder="1"/>
    <xf numFmtId="38" fontId="0" fillId="0" borderId="0" xfId="0" applyNumberFormat="1" applyBorder="1"/>
    <xf numFmtId="38" fontId="4" fillId="0" borderId="7" xfId="0" applyNumberFormat="1" applyFont="1" applyBorder="1"/>
    <xf numFmtId="38" fontId="4" fillId="0" borderId="0" xfId="0" applyNumberFormat="1" applyFont="1" applyBorder="1" applyAlignment="1">
      <alignment vertical="center"/>
    </xf>
    <xf numFmtId="167" fontId="4" fillId="0" borderId="0" xfId="0" applyNumberFormat="1" applyFont="1" applyAlignment="1">
      <alignment vertical="center" wrapText="1"/>
    </xf>
    <xf numFmtId="3" fontId="0" fillId="0" borderId="0" xfId="2" applyNumberFormat="1" applyFont="1" applyFill="1" applyBorder="1" applyAlignment="1">
      <alignment horizontal="center" vertical="center" wrapText="1"/>
    </xf>
    <xf numFmtId="4" fontId="0" fillId="5" borderId="1" xfId="2" applyNumberFormat="1" applyFont="1" applyFill="1" applyBorder="1" applyAlignment="1">
      <alignment horizontal="center" vertical="center" wrapText="1"/>
    </xf>
    <xf numFmtId="9" fontId="0" fillId="0" borderId="0" xfId="1" applyFont="1" applyAlignment="1">
      <alignment vertical="center" wrapText="1"/>
    </xf>
    <xf numFmtId="166" fontId="0" fillId="2" borderId="1" xfId="0" applyNumberFormat="1" applyFont="1" applyFill="1" applyBorder="1" applyAlignment="1">
      <alignment horizontal="right" vertical="center" wrapText="1"/>
    </xf>
    <xf numFmtId="173" fontId="0" fillId="2" borderId="1" xfId="0" applyNumberFormat="1" applyFont="1" applyFill="1" applyBorder="1" applyAlignment="1">
      <alignment horizontal="right" vertical="center" wrapText="1"/>
    </xf>
    <xf numFmtId="166" fontId="0" fillId="2" borderId="1" xfId="0" applyNumberFormat="1" applyFill="1" applyBorder="1" applyAlignment="1">
      <alignment vertical="center" wrapText="1"/>
    </xf>
    <xf numFmtId="38" fontId="81" fillId="0" borderId="0" xfId="0" applyNumberFormat="1" applyFont="1" applyAlignment="1">
      <alignment vertical="center"/>
    </xf>
    <xf numFmtId="9" fontId="1" fillId="0" borderId="0" xfId="1" applyFont="1" applyAlignment="1">
      <alignment vertical="center"/>
    </xf>
    <xf numFmtId="9" fontId="0" fillId="0" borderId="0" xfId="1" applyFont="1" applyFill="1" applyAlignment="1">
      <alignment vertical="center" wrapText="1"/>
    </xf>
    <xf numFmtId="167" fontId="0" fillId="0" borderId="0" xfId="0" applyNumberFormat="1" applyFill="1" applyAlignment="1">
      <alignment vertical="center" wrapText="1"/>
    </xf>
    <xf numFmtId="3" fontId="0" fillId="0" borderId="0" xfId="0" applyNumberForma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/>
    <xf numFmtId="38" fontId="28" fillId="0" borderId="0" xfId="0" applyNumberFormat="1" applyFont="1" applyAlignment="1">
      <alignment vertical="center"/>
    </xf>
    <xf numFmtId="0" fontId="82" fillId="0" borderId="1" xfId="3" applyFont="1" applyBorder="1" applyAlignment="1">
      <alignment horizontal="left" vertical="center" wrapText="1" indent="1"/>
    </xf>
    <xf numFmtId="3" fontId="0" fillId="0" borderId="1" xfId="0" applyNumberFormat="1" applyBorder="1"/>
    <xf numFmtId="0" fontId="74" fillId="6" borderId="0" xfId="3" applyFont="1" applyFill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32" borderId="0" xfId="0" applyFill="1" applyBorder="1"/>
    <xf numFmtId="0" fontId="0" fillId="32" borderId="23" xfId="0" applyFill="1" applyBorder="1"/>
    <xf numFmtId="0" fontId="4" fillId="32" borderId="7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83" fillId="0" borderId="0" xfId="0" applyFont="1"/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3" fontId="0" fillId="0" borderId="23" xfId="0" applyNumberFormat="1" applyBorder="1" applyAlignment="1">
      <alignment vertical="center"/>
    </xf>
    <xf numFmtId="167" fontId="0" fillId="0" borderId="0" xfId="0" applyNumberFormat="1" applyBorder="1" applyAlignment="1">
      <alignment vertical="center"/>
    </xf>
    <xf numFmtId="167" fontId="0" fillId="0" borderId="23" xfId="0" applyNumberFormat="1" applyBorder="1" applyAlignment="1">
      <alignment vertical="center"/>
    </xf>
    <xf numFmtId="0" fontId="0" fillId="32" borderId="0" xfId="0" applyFill="1" applyBorder="1" applyAlignment="1">
      <alignment vertical="center"/>
    </xf>
    <xf numFmtId="0" fontId="0" fillId="32" borderId="23" xfId="0" applyFill="1" applyBorder="1" applyAlignment="1">
      <alignment vertical="center"/>
    </xf>
    <xf numFmtId="167" fontId="0" fillId="0" borderId="8" xfId="0" applyNumberFormat="1" applyBorder="1" applyAlignment="1">
      <alignment vertical="center"/>
    </xf>
    <xf numFmtId="167" fontId="0" fillId="0" borderId="11" xfId="0" applyNumberFormat="1" applyBorder="1" applyAlignment="1">
      <alignment vertical="center"/>
    </xf>
    <xf numFmtId="0" fontId="83" fillId="0" borderId="0" xfId="0" applyFont="1" applyAlignment="1">
      <alignment wrapText="1"/>
    </xf>
    <xf numFmtId="3" fontId="3" fillId="5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73" fontId="3" fillId="5" borderId="1" xfId="2" applyNumberFormat="1" applyFont="1" applyFill="1" applyBorder="1" applyAlignment="1">
      <alignment horizontal="center" vertical="center" wrapText="1"/>
    </xf>
    <xf numFmtId="166" fontId="3" fillId="5" borderId="1" xfId="2" applyNumberFormat="1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vertical="center" wrapText="1"/>
    </xf>
    <xf numFmtId="2" fontId="3" fillId="0" borderId="0" xfId="2" applyNumberFormat="1" applyFont="1" applyFill="1" applyBorder="1" applyAlignment="1">
      <alignment horizontal="center" vertical="center" wrapText="1"/>
    </xf>
    <xf numFmtId="3" fontId="0" fillId="0" borderId="0" xfId="0" applyNumberFormat="1"/>
    <xf numFmtId="9" fontId="0" fillId="0" borderId="0" xfId="1" applyFont="1" applyAlignment="1">
      <alignment horizontal="center" vertical="center" wrapText="1"/>
    </xf>
    <xf numFmtId="9" fontId="0" fillId="0" borderId="0" xfId="0" applyNumberFormat="1" applyAlignment="1">
      <alignment vertical="center" wrapText="1"/>
    </xf>
    <xf numFmtId="9" fontId="0" fillId="0" borderId="0" xfId="0" applyNumberFormat="1" applyBorder="1" applyAlignment="1">
      <alignment vertical="center" wrapText="1"/>
    </xf>
    <xf numFmtId="38" fontId="7" fillId="0" borderId="0" xfId="0" applyNumberFormat="1" applyFont="1" applyAlignment="1">
      <alignment vertical="center" wrapText="1"/>
    </xf>
    <xf numFmtId="38" fontId="0" fillId="0" borderId="0" xfId="0" applyNumberFormat="1" applyFont="1" applyAlignment="1">
      <alignment vertical="center" wrapText="1"/>
    </xf>
    <xf numFmtId="0" fontId="84" fillId="0" borderId="0" xfId="0" applyFont="1"/>
    <xf numFmtId="0" fontId="84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  <xf numFmtId="10" fontId="7" fillId="0" borderId="0" xfId="1" applyNumberFormat="1" applyFont="1" applyAlignment="1">
      <alignment vertical="center"/>
    </xf>
    <xf numFmtId="10" fontId="3" fillId="0" borderId="0" xfId="1" applyNumberFormat="1" applyFont="1" applyAlignment="1">
      <alignment vertical="center"/>
    </xf>
    <xf numFmtId="0" fontId="7" fillId="0" borderId="0" xfId="0" applyFont="1" applyBorder="1" applyAlignment="1">
      <alignment vertical="center"/>
    </xf>
    <xf numFmtId="14" fontId="0" fillId="0" borderId="0" xfId="0" applyNumberFormat="1" applyAlignment="1">
      <alignment horizontal="center" vertical="center"/>
    </xf>
    <xf numFmtId="178" fontId="5" fillId="0" borderId="0" xfId="0" applyNumberFormat="1" applyFont="1" applyBorder="1" applyAlignment="1">
      <alignment horizontal="center" vertical="center" wrapText="1"/>
    </xf>
    <xf numFmtId="179" fontId="0" fillId="0" borderId="0" xfId="0" applyNumberFormat="1" applyFont="1" applyAlignment="1">
      <alignment vertical="center"/>
    </xf>
    <xf numFmtId="179" fontId="18" fillId="0" borderId="0" xfId="0" applyNumberFormat="1" applyFont="1" applyAlignment="1">
      <alignment vertical="center"/>
    </xf>
    <xf numFmtId="10" fontId="7" fillId="2" borderId="1" xfId="1" applyNumberFormat="1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38" fontId="0" fillId="0" borderId="0" xfId="0" applyNumberFormat="1" applyAlignment="1">
      <alignment horizontal="center" vertical="center"/>
    </xf>
    <xf numFmtId="38" fontId="7" fillId="35" borderId="1" xfId="0" applyNumberFormat="1" applyFont="1" applyFill="1" applyBorder="1" applyAlignment="1">
      <alignment vertical="center"/>
    </xf>
    <xf numFmtId="40" fontId="0" fillId="0" borderId="0" xfId="0" applyNumberFormat="1" applyAlignment="1">
      <alignment vertical="center"/>
    </xf>
    <xf numFmtId="10" fontId="0" fillId="0" borderId="0" xfId="1" applyNumberFormat="1" applyFont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38" fontId="76" fillId="6" borderId="2" xfId="3" applyNumberFormat="1" applyFont="1" applyFill="1" applyBorder="1" applyAlignment="1">
      <alignment horizontal="center" vertical="center" wrapText="1"/>
    </xf>
    <xf numFmtId="38" fontId="76" fillId="6" borderId="4" xfId="3" applyNumberFormat="1" applyFont="1" applyFill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76" fillId="6" borderId="2" xfId="3" applyFont="1" applyFill="1" applyBorder="1" applyAlignment="1">
      <alignment horizontal="center" vertical="center" wrapText="1"/>
    </xf>
    <xf numFmtId="0" fontId="76" fillId="6" borderId="4" xfId="3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</cellXfs>
  <cellStyles count="109">
    <cellStyle name="1Normal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" xfId="11"/>
    <cellStyle name="20% - akcent 2" xfId="12"/>
    <cellStyle name="20% - akcent 3" xfId="13"/>
    <cellStyle name="20% - akcent 4" xfId="14"/>
    <cellStyle name="20% - akcent 5" xfId="15"/>
    <cellStyle name="20% - akcent 6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akcent 1" xfId="23"/>
    <cellStyle name="40% - akcent 2" xfId="24"/>
    <cellStyle name="40% - akcent 3" xfId="25"/>
    <cellStyle name="40% - akcent 4" xfId="26"/>
    <cellStyle name="40% - akcent 5" xfId="27"/>
    <cellStyle name="40% - akcent 6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akcent 1" xfId="35"/>
    <cellStyle name="60% - akcent 2" xfId="36"/>
    <cellStyle name="60% - akcent 3" xfId="37"/>
    <cellStyle name="60% - akcent 4" xfId="38"/>
    <cellStyle name="60% - akcent 5" xfId="39"/>
    <cellStyle name="60% - akcent 6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Akcent 1" xfId="47"/>
    <cellStyle name="Akcent 2" xfId="48"/>
    <cellStyle name="Akcent 3" xfId="49"/>
    <cellStyle name="Akcent 4" xfId="50"/>
    <cellStyle name="Akcent 5" xfId="51"/>
    <cellStyle name="Akcent 6" xfId="52"/>
    <cellStyle name="Bad" xfId="53"/>
    <cellStyle name="Calculation" xfId="54"/>
    <cellStyle name="Check Cell" xfId="55"/>
    <cellStyle name="Comma0" xfId="56"/>
    <cellStyle name="D" xfId="57"/>
    <cellStyle name="Dane wejściowe" xfId="58"/>
    <cellStyle name="Dane wyjściowe" xfId="59"/>
    <cellStyle name="Data" xfId="60"/>
    <cellStyle name="Dezimal_2 Pages" xfId="61"/>
    <cellStyle name="Dobre" xfId="62"/>
    <cellStyle name="Explanatory Text" xfId="63"/>
    <cellStyle name="Good" xfId="64"/>
    <cellStyle name="Heading 1" xfId="65"/>
    <cellStyle name="Heading 2" xfId="66"/>
    <cellStyle name="Heading 3" xfId="67"/>
    <cellStyle name="Heading 4" xfId="68"/>
    <cellStyle name="Input" xfId="69"/>
    <cellStyle name="Komórka połączona" xfId="70"/>
    <cellStyle name="Komórka zaznaczona" xfId="71"/>
    <cellStyle name="KS_Number_Smart[0]" xfId="72"/>
    <cellStyle name="Linked Cell" xfId="73"/>
    <cellStyle name="Nagłówek 1" xfId="74"/>
    <cellStyle name="Nagłówek 2" xfId="75"/>
    <cellStyle name="Nagłówek 3" xfId="76"/>
    <cellStyle name="Nagłówek 4" xfId="77"/>
    <cellStyle name="Neutral" xfId="78"/>
    <cellStyle name="Neutralne" xfId="79"/>
    <cellStyle name="Norma11l" xfId="80"/>
    <cellStyle name="Normal 2" xfId="81"/>
    <cellStyle name="Normal 2 3 2" xfId="82"/>
    <cellStyle name="Normal 2_model_TMT" xfId="83"/>
    <cellStyle name="Normal 4" xfId="84"/>
    <cellStyle name="Normal_MACRO" xfId="85"/>
    <cellStyle name="Normale_Ericsson" xfId="86"/>
    <cellStyle name="Normalny_finansowe2" xfId="87"/>
    <cellStyle name="Note" xfId="88"/>
    <cellStyle name="Obliczenia" xfId="89"/>
    <cellStyle name="Output" xfId="90"/>
    <cellStyle name="Suma" xfId="91"/>
    <cellStyle name="Tekst objaśnienia" xfId="92"/>
    <cellStyle name="Tekst ostrzeżenia" xfId="93"/>
    <cellStyle name="Title" xfId="94"/>
    <cellStyle name="Total" xfId="95"/>
    <cellStyle name="Tytuł" xfId="96"/>
    <cellStyle name="Uwaga" xfId="97"/>
    <cellStyle name="Warning Text" xfId="98"/>
    <cellStyle name="Złe" xfId="99"/>
    <cellStyle name="Обычный" xfId="0" builtinId="0"/>
    <cellStyle name="Обычный 2" xfId="100"/>
    <cellStyle name="Обычный 2 2" xfId="101"/>
    <cellStyle name="Обычный 3" xfId="102"/>
    <cellStyle name="Обычный 3 2" xfId="103"/>
    <cellStyle name="Обычный 4" xfId="104"/>
    <cellStyle name="Обычный_Баланс агрегированный" xfId="3"/>
    <cellStyle name="Процентный" xfId="1" builtinId="5"/>
    <cellStyle name="Процентный 2" xfId="105"/>
    <cellStyle name="Процентный 3" xfId="106"/>
    <cellStyle name="Тысячи [0]_Chart1 (Sales &amp; Costs)" xfId="107"/>
    <cellStyle name="Тысячи_Chart1 (Sales &amp; Costs)" xfId="108"/>
    <cellStyle name="Финансовый" xfId="2" builtinId="3"/>
  </cellStyles>
  <dxfs count="0"/>
  <tableStyles count="0" defaultTableStyle="TableStyleMedium2" defaultPivotStyle="PivotStyleLight16"/>
  <colors>
    <mruColors>
      <color rgb="FF00FFFF"/>
      <color rgb="FFFFFF66"/>
      <color rgb="FFFFFFCC"/>
      <color rgb="FFCC99FF"/>
      <color rgb="FFFF33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68580</xdr:colOff>
          <xdr:row>31</xdr:row>
          <xdr:rowOff>99060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403860</xdr:colOff>
          <xdr:row>31</xdr:row>
          <xdr:rowOff>129540</xdr:rowOff>
        </xdr:to>
        <xdr:sp macro="" textlink="">
          <xdr:nvSpPr>
            <xdr:cNvPr id="33795" name="Object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373380</xdr:colOff>
          <xdr:row>31</xdr:row>
          <xdr:rowOff>167640</xdr:rowOff>
        </xdr:to>
        <xdr:sp macro="" textlink="">
          <xdr:nvSpPr>
            <xdr:cNvPr id="32772" name="Object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hail%20Cherkasov/Desktop/Trading%20models/&#1052;&#1086;&#1076;&#1077;&#1083;&#1100;%20&#1090;&#1086;&#1088;&#1075;&#1086;&#1074;&#1083;&#1080;%202012%20&#1075;&#1086;&#1076;&#1072;,%20ver.%203.22%20&#1056;&#1057;&#1061;&#104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hail%20Cherkasov/Desktop/Trading%20models/Model_transshipment%20ver.%204.01%20&#1056;&#1057;&#1061;&#10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KPI"/>
      <sheetName val="Summary Loans"/>
      <sheetName val="Summary FinRes"/>
      <sheetName val="Summary USD_mt"/>
      <sheetName val="Quotas_months"/>
      <sheetName val="Assumptions"/>
      <sheetName val="Компания 1 2011"/>
      <sheetName val="Компания 2 2011"/>
      <sheetName val="International 2011"/>
      <sheetName val="Proceeds Trade"/>
      <sheetName val="Supply Trade"/>
      <sheetName val="FinCosts"/>
      <sheetName val="P&amp;L Trade"/>
      <sheetName val="Cash Flow Glob"/>
      <sheetName val="Cash Flow Quart."/>
      <sheetName val="RepSch_Co1"/>
      <sheetName val="RepSch_Co2"/>
      <sheetName val="RepSch_BNPP"/>
      <sheetName val="BS &amp; NWC draft"/>
      <sheetName val="BS &amp; NWC"/>
      <sheetName val="P&amp;L Tr&amp;Shipm"/>
      <sheetName val="Cash Flow Tr&amp;Ship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29.3948</v>
          </cell>
        </row>
        <row r="125">
          <cell r="B125">
            <v>0.03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C9">
            <v>0</v>
          </cell>
        </row>
      </sheetData>
      <sheetData sheetId="12">
        <row r="6">
          <cell r="B6">
            <v>213658251.22275466</v>
          </cell>
        </row>
      </sheetData>
      <sheetData sheetId="13">
        <row r="8">
          <cell r="C8">
            <v>-222730903.81421447</v>
          </cell>
        </row>
      </sheetData>
      <sheetData sheetId="14"/>
      <sheetData sheetId="15"/>
      <sheetData sheetId="16"/>
      <sheetData sheetId="17"/>
      <sheetData sheetId="18">
        <row r="49">
          <cell r="D49">
            <v>0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Долг"/>
      <sheetName val="NWC"/>
      <sheetName val="PL"/>
      <sheetName val="CF"/>
      <sheetName val="CF quartely"/>
      <sheetName val="Repayment_schedule"/>
      <sheetName val="FinSummary"/>
    </sheetNames>
    <sheetDataSet>
      <sheetData sheetId="0"/>
      <sheetData sheetId="1">
        <row r="4">
          <cell r="C4">
            <v>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XFD41"/>
  <sheetViews>
    <sheetView tabSelected="1" topLeftCell="A10" workbookViewId="0">
      <selection activeCell="B25" sqref="B25"/>
    </sheetView>
  </sheetViews>
  <sheetFormatPr defaultRowHeight="14.4"/>
  <cols>
    <col min="1" max="1" width="10.77734375" style="91" customWidth="1"/>
    <col min="2" max="2" width="128.5546875" style="2" customWidth="1"/>
    <col min="3" max="16384" width="8.88671875" style="2"/>
  </cols>
  <sheetData>
    <row r="1" spans="1:16384">
      <c r="A1" s="302" t="s">
        <v>740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L1" s="301"/>
      <c r="LM1" s="301"/>
      <c r="LN1" s="301"/>
      <c r="LO1" s="301"/>
      <c r="LP1" s="301"/>
      <c r="LQ1" s="301"/>
      <c r="LR1" s="301"/>
      <c r="LS1" s="301"/>
      <c r="LT1" s="301"/>
      <c r="LU1" s="301"/>
      <c r="LV1" s="301"/>
      <c r="LW1" s="301"/>
      <c r="LX1" s="301"/>
      <c r="LY1" s="301"/>
      <c r="LZ1" s="301"/>
      <c r="MA1" s="301"/>
      <c r="MB1" s="301"/>
      <c r="MC1" s="301"/>
      <c r="MD1" s="301"/>
      <c r="ME1" s="301"/>
      <c r="MF1" s="301"/>
      <c r="MG1" s="301"/>
      <c r="MH1" s="301"/>
      <c r="MI1" s="301"/>
      <c r="MJ1" s="301"/>
      <c r="MK1" s="301"/>
      <c r="ML1" s="301"/>
      <c r="MM1" s="301"/>
      <c r="MN1" s="301"/>
      <c r="MO1" s="301"/>
      <c r="MP1" s="301"/>
      <c r="MQ1" s="301"/>
      <c r="MR1" s="301"/>
      <c r="MS1" s="301"/>
      <c r="MT1" s="301"/>
      <c r="MU1" s="301"/>
      <c r="MV1" s="301"/>
      <c r="MW1" s="301"/>
      <c r="MX1" s="301"/>
      <c r="MY1" s="301"/>
      <c r="MZ1" s="301"/>
      <c r="NA1" s="301"/>
      <c r="NB1" s="301"/>
      <c r="NC1" s="301"/>
      <c r="ND1" s="301"/>
      <c r="NE1" s="301"/>
      <c r="NF1" s="301"/>
      <c r="NG1" s="301"/>
      <c r="NH1" s="301"/>
      <c r="NI1" s="301"/>
      <c r="NJ1" s="301"/>
      <c r="NK1" s="301"/>
      <c r="NL1" s="301"/>
      <c r="NM1" s="301"/>
      <c r="NN1" s="301"/>
      <c r="NO1" s="301"/>
      <c r="NP1" s="301"/>
      <c r="NQ1" s="301"/>
      <c r="NR1" s="301"/>
      <c r="NS1" s="301"/>
      <c r="NT1" s="301"/>
      <c r="NU1" s="301"/>
      <c r="NV1" s="301"/>
      <c r="NW1" s="301"/>
      <c r="NX1" s="301"/>
      <c r="NY1" s="301"/>
      <c r="NZ1" s="301"/>
      <c r="OA1" s="301"/>
      <c r="OB1" s="301"/>
      <c r="OC1" s="301"/>
      <c r="OD1" s="301"/>
      <c r="OE1" s="301"/>
      <c r="OF1" s="301"/>
      <c r="OG1" s="301"/>
      <c r="OH1" s="301"/>
      <c r="OI1" s="301"/>
      <c r="OJ1" s="301"/>
      <c r="OK1" s="301"/>
      <c r="OL1" s="301"/>
      <c r="OM1" s="301"/>
      <c r="ON1" s="301"/>
      <c r="OO1" s="301"/>
      <c r="OP1" s="301"/>
      <c r="OQ1" s="301"/>
      <c r="OR1" s="301"/>
      <c r="OS1" s="301"/>
      <c r="OT1" s="301"/>
      <c r="OU1" s="301"/>
      <c r="OV1" s="301"/>
      <c r="OW1" s="301"/>
      <c r="OX1" s="301"/>
      <c r="OY1" s="301"/>
      <c r="OZ1" s="301"/>
      <c r="PA1" s="301"/>
      <c r="PB1" s="301"/>
      <c r="PC1" s="301"/>
      <c r="PD1" s="301"/>
      <c r="PE1" s="301"/>
      <c r="PF1" s="301"/>
      <c r="PG1" s="301"/>
      <c r="PH1" s="301"/>
      <c r="PI1" s="301"/>
      <c r="PJ1" s="301"/>
      <c r="PK1" s="301"/>
      <c r="PL1" s="301"/>
      <c r="PM1" s="301"/>
      <c r="PN1" s="301"/>
      <c r="PO1" s="301"/>
      <c r="PP1" s="301"/>
      <c r="PQ1" s="301"/>
      <c r="PR1" s="301"/>
      <c r="PS1" s="301"/>
      <c r="PT1" s="301"/>
      <c r="PU1" s="301"/>
      <c r="PV1" s="301"/>
      <c r="PW1" s="301"/>
      <c r="PX1" s="301"/>
      <c r="PY1" s="301"/>
      <c r="PZ1" s="301"/>
      <c r="QA1" s="301"/>
      <c r="QB1" s="301"/>
      <c r="QC1" s="301"/>
      <c r="QD1" s="301"/>
      <c r="QE1" s="301"/>
      <c r="QF1" s="301"/>
      <c r="QG1" s="301"/>
      <c r="QH1" s="301"/>
      <c r="QI1" s="301"/>
      <c r="QJ1" s="301"/>
      <c r="QK1" s="301"/>
      <c r="QL1" s="301"/>
      <c r="QM1" s="301"/>
      <c r="QN1" s="301"/>
      <c r="QO1" s="301"/>
      <c r="QP1" s="301"/>
      <c r="QQ1" s="301"/>
      <c r="QR1" s="301"/>
      <c r="QS1" s="301"/>
      <c r="QT1" s="301"/>
      <c r="QU1" s="301"/>
      <c r="QV1" s="301"/>
      <c r="QW1" s="301"/>
      <c r="QX1" s="301"/>
      <c r="QY1" s="301"/>
      <c r="QZ1" s="301"/>
      <c r="RA1" s="301"/>
      <c r="RB1" s="301"/>
      <c r="RC1" s="301"/>
      <c r="RD1" s="301"/>
      <c r="RE1" s="301"/>
      <c r="RF1" s="301"/>
      <c r="RG1" s="301"/>
      <c r="RH1" s="301"/>
      <c r="RI1" s="301"/>
      <c r="RJ1" s="301"/>
      <c r="RK1" s="301"/>
      <c r="RL1" s="301"/>
      <c r="RM1" s="301"/>
      <c r="RN1" s="301"/>
      <c r="RO1" s="301"/>
      <c r="RP1" s="301"/>
      <c r="RQ1" s="301"/>
      <c r="RR1" s="301"/>
      <c r="RS1" s="301"/>
      <c r="RT1" s="301"/>
      <c r="RU1" s="301"/>
      <c r="RV1" s="301"/>
      <c r="RW1" s="301"/>
      <c r="RX1" s="301"/>
      <c r="RY1" s="301"/>
      <c r="RZ1" s="301"/>
      <c r="SA1" s="301"/>
      <c r="SB1" s="301"/>
      <c r="SC1" s="301"/>
      <c r="SD1" s="301"/>
      <c r="SE1" s="301"/>
      <c r="SF1" s="301"/>
      <c r="SG1" s="301"/>
      <c r="SH1" s="301"/>
      <c r="SI1" s="301"/>
      <c r="SJ1" s="301"/>
      <c r="SK1" s="301"/>
      <c r="SL1" s="301"/>
      <c r="SM1" s="301"/>
      <c r="SN1" s="301"/>
      <c r="SO1" s="301"/>
      <c r="SP1" s="301"/>
      <c r="SQ1" s="301"/>
      <c r="SR1" s="301"/>
      <c r="SS1" s="301"/>
      <c r="ST1" s="301"/>
      <c r="SU1" s="301"/>
      <c r="SV1" s="301"/>
      <c r="SW1" s="301"/>
      <c r="SX1" s="301"/>
      <c r="SY1" s="301"/>
      <c r="SZ1" s="301"/>
      <c r="TA1" s="301"/>
      <c r="TB1" s="301"/>
      <c r="TC1" s="301"/>
      <c r="TD1" s="301"/>
      <c r="TE1" s="301"/>
      <c r="TF1" s="301"/>
      <c r="TG1" s="301"/>
      <c r="TH1" s="301"/>
      <c r="TI1" s="301"/>
      <c r="TJ1" s="301"/>
      <c r="TK1" s="301"/>
      <c r="TL1" s="301"/>
      <c r="TM1" s="301"/>
      <c r="TN1" s="301"/>
      <c r="TO1" s="301"/>
      <c r="TP1" s="301"/>
      <c r="TQ1" s="301"/>
      <c r="TR1" s="301"/>
      <c r="TS1" s="301"/>
      <c r="TT1" s="301"/>
      <c r="TU1" s="301"/>
      <c r="TV1" s="301"/>
      <c r="TW1" s="301"/>
      <c r="TX1" s="301"/>
      <c r="TY1" s="301"/>
      <c r="TZ1" s="301"/>
      <c r="UA1" s="301"/>
      <c r="UB1" s="301"/>
      <c r="UC1" s="301"/>
      <c r="UD1" s="301"/>
      <c r="UE1" s="301"/>
      <c r="UF1" s="301"/>
      <c r="UG1" s="301"/>
      <c r="UH1" s="301"/>
      <c r="UI1" s="301"/>
      <c r="UJ1" s="301"/>
      <c r="UK1" s="301"/>
      <c r="UL1" s="301"/>
      <c r="UM1" s="301"/>
      <c r="UN1" s="301"/>
      <c r="UO1" s="301"/>
      <c r="UP1" s="301"/>
      <c r="UQ1" s="301"/>
      <c r="UR1" s="301"/>
      <c r="US1" s="301"/>
      <c r="UT1" s="301"/>
      <c r="UU1" s="301"/>
      <c r="UV1" s="301"/>
      <c r="UW1" s="301"/>
      <c r="UX1" s="301"/>
      <c r="UY1" s="301"/>
      <c r="UZ1" s="301"/>
      <c r="VA1" s="301"/>
      <c r="VB1" s="301"/>
      <c r="VC1" s="301"/>
      <c r="VD1" s="301"/>
      <c r="VE1" s="301"/>
      <c r="VF1" s="301"/>
      <c r="VG1" s="301"/>
      <c r="VH1" s="301"/>
      <c r="VI1" s="301"/>
      <c r="VJ1" s="301"/>
      <c r="VK1" s="301"/>
      <c r="VL1" s="301"/>
      <c r="VM1" s="301"/>
      <c r="VN1" s="301"/>
      <c r="VO1" s="301"/>
      <c r="VP1" s="301"/>
      <c r="VQ1" s="301"/>
      <c r="VR1" s="301"/>
      <c r="VS1" s="301"/>
      <c r="VT1" s="301"/>
      <c r="VU1" s="301"/>
      <c r="VV1" s="301"/>
      <c r="VW1" s="301"/>
      <c r="VX1" s="301"/>
      <c r="VY1" s="301"/>
      <c r="VZ1" s="301"/>
      <c r="WA1" s="301"/>
      <c r="WB1" s="301"/>
      <c r="WC1" s="301"/>
      <c r="WD1" s="301"/>
      <c r="WE1" s="301"/>
      <c r="WF1" s="301"/>
      <c r="WG1" s="301"/>
      <c r="WH1" s="301"/>
      <c r="WI1" s="301"/>
      <c r="WJ1" s="301"/>
      <c r="WK1" s="301"/>
      <c r="WL1" s="301"/>
      <c r="WM1" s="301"/>
      <c r="WN1" s="301"/>
      <c r="WO1" s="301"/>
      <c r="WP1" s="301"/>
      <c r="WQ1" s="301"/>
      <c r="WR1" s="301"/>
      <c r="WS1" s="301"/>
      <c r="WT1" s="301"/>
      <c r="WU1" s="301"/>
      <c r="WV1" s="301"/>
      <c r="WW1" s="301"/>
      <c r="WX1" s="301"/>
      <c r="WY1" s="301"/>
      <c r="WZ1" s="301"/>
      <c r="XA1" s="301"/>
      <c r="XB1" s="301"/>
      <c r="XC1" s="301"/>
      <c r="XD1" s="301"/>
      <c r="XE1" s="301"/>
      <c r="XF1" s="301"/>
      <c r="XG1" s="301"/>
      <c r="XH1" s="301"/>
      <c r="XI1" s="301"/>
      <c r="XJ1" s="301"/>
      <c r="XK1" s="301"/>
      <c r="XL1" s="301"/>
      <c r="XM1" s="301"/>
      <c r="XN1" s="301"/>
      <c r="XO1" s="301"/>
      <c r="XP1" s="301"/>
      <c r="XQ1" s="301"/>
      <c r="XR1" s="301"/>
      <c r="XS1" s="301"/>
      <c r="XT1" s="301"/>
      <c r="XU1" s="301"/>
      <c r="XV1" s="301"/>
      <c r="XW1" s="301"/>
      <c r="XX1" s="301"/>
      <c r="XY1" s="301"/>
      <c r="XZ1" s="301"/>
      <c r="YA1" s="301"/>
      <c r="YB1" s="301"/>
      <c r="YC1" s="301"/>
      <c r="YD1" s="301"/>
      <c r="YE1" s="301"/>
      <c r="YF1" s="301"/>
      <c r="YG1" s="301"/>
      <c r="YH1" s="301"/>
      <c r="YI1" s="301"/>
      <c r="YJ1" s="301"/>
      <c r="YK1" s="301"/>
      <c r="YL1" s="301"/>
      <c r="YM1" s="301"/>
      <c r="YN1" s="301"/>
      <c r="YO1" s="301"/>
      <c r="YP1" s="301"/>
      <c r="YQ1" s="301"/>
      <c r="YR1" s="301"/>
      <c r="YS1" s="301"/>
      <c r="YT1" s="301"/>
      <c r="YU1" s="301"/>
      <c r="YV1" s="301"/>
      <c r="YW1" s="301"/>
      <c r="YX1" s="301"/>
      <c r="YY1" s="301"/>
      <c r="YZ1" s="301"/>
      <c r="ZA1" s="301"/>
      <c r="ZB1" s="301"/>
      <c r="ZC1" s="301"/>
      <c r="ZD1" s="301"/>
      <c r="ZE1" s="301"/>
      <c r="ZF1" s="301"/>
      <c r="ZG1" s="301"/>
      <c r="ZH1" s="301"/>
      <c r="ZI1" s="301"/>
      <c r="ZJ1" s="301"/>
      <c r="ZK1" s="301"/>
      <c r="ZL1" s="301"/>
      <c r="ZM1" s="301"/>
      <c r="ZN1" s="301"/>
      <c r="ZO1" s="301"/>
      <c r="ZP1" s="301"/>
      <c r="ZQ1" s="301"/>
      <c r="ZR1" s="301"/>
      <c r="ZS1" s="301"/>
      <c r="ZT1" s="301"/>
      <c r="ZU1" s="301"/>
      <c r="ZV1" s="301"/>
      <c r="ZW1" s="301"/>
      <c r="ZX1" s="301"/>
      <c r="ZY1" s="301"/>
      <c r="ZZ1" s="301"/>
      <c r="AAA1" s="301"/>
      <c r="AAB1" s="301"/>
      <c r="AAC1" s="301"/>
      <c r="AAD1" s="301"/>
      <c r="AAE1" s="301"/>
      <c r="AAF1" s="301"/>
      <c r="AAG1" s="301"/>
      <c r="AAH1" s="301"/>
      <c r="AAI1" s="301"/>
      <c r="AAJ1" s="301"/>
      <c r="AAK1" s="301"/>
      <c r="AAL1" s="301"/>
      <c r="AAM1" s="301"/>
      <c r="AAN1" s="301"/>
      <c r="AAO1" s="301"/>
      <c r="AAP1" s="301"/>
      <c r="AAQ1" s="301"/>
      <c r="AAR1" s="301"/>
      <c r="AAS1" s="301"/>
      <c r="AAT1" s="301"/>
      <c r="AAU1" s="301"/>
      <c r="AAV1" s="301"/>
      <c r="AAW1" s="301"/>
      <c r="AAX1" s="301"/>
      <c r="AAY1" s="301"/>
      <c r="AAZ1" s="301"/>
      <c r="ABA1" s="301"/>
      <c r="ABB1" s="301"/>
      <c r="ABC1" s="301"/>
      <c r="ABD1" s="301"/>
      <c r="ABE1" s="301"/>
      <c r="ABF1" s="301"/>
      <c r="ABG1" s="301"/>
      <c r="ABH1" s="301"/>
      <c r="ABI1" s="301"/>
      <c r="ABJ1" s="301"/>
      <c r="ABK1" s="301"/>
      <c r="ABL1" s="301"/>
      <c r="ABM1" s="301"/>
      <c r="ABN1" s="301"/>
      <c r="ABO1" s="301"/>
      <c r="ABP1" s="301"/>
      <c r="ABQ1" s="301"/>
      <c r="ABR1" s="301"/>
      <c r="ABS1" s="301"/>
      <c r="ABT1" s="301"/>
      <c r="ABU1" s="301"/>
      <c r="ABV1" s="301"/>
      <c r="ABW1" s="301"/>
      <c r="ABX1" s="301"/>
      <c r="ABY1" s="301"/>
      <c r="ABZ1" s="301"/>
      <c r="ACA1" s="301"/>
      <c r="ACB1" s="301"/>
      <c r="ACC1" s="301"/>
      <c r="ACD1" s="301"/>
      <c r="ACE1" s="301"/>
      <c r="ACF1" s="301"/>
      <c r="ACG1" s="301"/>
      <c r="ACH1" s="301"/>
      <c r="ACI1" s="301"/>
      <c r="ACJ1" s="301"/>
      <c r="ACK1" s="301"/>
      <c r="ACL1" s="301"/>
      <c r="ACM1" s="301"/>
      <c r="ACN1" s="301"/>
      <c r="ACO1" s="301"/>
      <c r="ACP1" s="301"/>
      <c r="ACQ1" s="301"/>
      <c r="ACR1" s="301"/>
      <c r="ACS1" s="301"/>
      <c r="ACT1" s="301"/>
      <c r="ACU1" s="301"/>
      <c r="ACV1" s="301"/>
      <c r="ACW1" s="301"/>
      <c r="ACX1" s="301"/>
      <c r="ACY1" s="301"/>
      <c r="ACZ1" s="301"/>
      <c r="ADA1" s="301"/>
      <c r="ADB1" s="301"/>
      <c r="ADC1" s="301"/>
      <c r="ADD1" s="301"/>
      <c r="ADE1" s="301"/>
      <c r="ADF1" s="301"/>
      <c r="ADG1" s="301"/>
      <c r="ADH1" s="301"/>
      <c r="ADI1" s="301"/>
      <c r="ADJ1" s="301"/>
      <c r="ADK1" s="301"/>
      <c r="ADL1" s="301"/>
      <c r="ADM1" s="301"/>
      <c r="ADN1" s="301"/>
      <c r="ADO1" s="301"/>
      <c r="ADP1" s="301"/>
      <c r="ADQ1" s="301"/>
      <c r="ADR1" s="301"/>
      <c r="ADS1" s="301"/>
      <c r="ADT1" s="301"/>
      <c r="ADU1" s="301"/>
      <c r="ADV1" s="301"/>
      <c r="ADW1" s="301"/>
      <c r="ADX1" s="301"/>
      <c r="ADY1" s="301"/>
      <c r="ADZ1" s="301"/>
      <c r="AEA1" s="301"/>
      <c r="AEB1" s="301"/>
      <c r="AEC1" s="301"/>
      <c r="AED1" s="301"/>
      <c r="AEE1" s="301"/>
      <c r="AEF1" s="301"/>
      <c r="AEG1" s="301"/>
      <c r="AEH1" s="301"/>
      <c r="AEI1" s="301"/>
      <c r="AEJ1" s="301"/>
      <c r="AEK1" s="301"/>
      <c r="AEL1" s="301"/>
      <c r="AEM1" s="301"/>
      <c r="AEN1" s="301"/>
      <c r="AEO1" s="301"/>
      <c r="AEP1" s="301"/>
      <c r="AEQ1" s="301"/>
      <c r="AER1" s="301"/>
      <c r="AES1" s="301"/>
      <c r="AET1" s="301"/>
      <c r="AEU1" s="301"/>
      <c r="AEV1" s="301"/>
      <c r="AEW1" s="301"/>
      <c r="AEX1" s="301"/>
      <c r="AEY1" s="301"/>
      <c r="AEZ1" s="301"/>
      <c r="AFA1" s="301"/>
      <c r="AFB1" s="301"/>
      <c r="AFC1" s="301"/>
      <c r="AFD1" s="301"/>
      <c r="AFE1" s="301"/>
      <c r="AFF1" s="301"/>
      <c r="AFG1" s="301"/>
      <c r="AFH1" s="301"/>
      <c r="AFI1" s="301"/>
      <c r="AFJ1" s="301"/>
      <c r="AFK1" s="301"/>
      <c r="AFL1" s="301"/>
      <c r="AFM1" s="301"/>
      <c r="AFN1" s="301"/>
      <c r="AFO1" s="301"/>
      <c r="AFP1" s="301"/>
      <c r="AFQ1" s="301"/>
      <c r="AFR1" s="301"/>
      <c r="AFS1" s="301"/>
      <c r="AFT1" s="301"/>
      <c r="AFU1" s="301"/>
      <c r="AFV1" s="301"/>
      <c r="AFW1" s="301"/>
      <c r="AFX1" s="301"/>
      <c r="AFY1" s="301"/>
      <c r="AFZ1" s="301"/>
      <c r="AGA1" s="301"/>
      <c r="AGB1" s="301"/>
      <c r="AGC1" s="301"/>
      <c r="AGD1" s="301"/>
      <c r="AGE1" s="301"/>
      <c r="AGF1" s="301"/>
      <c r="AGG1" s="301"/>
      <c r="AGH1" s="301"/>
      <c r="AGI1" s="301"/>
      <c r="AGJ1" s="301"/>
      <c r="AGK1" s="301"/>
      <c r="AGL1" s="301"/>
      <c r="AGM1" s="301"/>
      <c r="AGN1" s="301"/>
      <c r="AGO1" s="301"/>
      <c r="AGP1" s="301"/>
      <c r="AGQ1" s="301"/>
      <c r="AGR1" s="301"/>
      <c r="AGS1" s="301"/>
      <c r="AGT1" s="301"/>
      <c r="AGU1" s="301"/>
      <c r="AGV1" s="301"/>
      <c r="AGW1" s="301"/>
      <c r="AGX1" s="301"/>
      <c r="AGY1" s="301"/>
      <c r="AGZ1" s="301"/>
      <c r="AHA1" s="301"/>
      <c r="AHB1" s="301"/>
      <c r="AHC1" s="301"/>
      <c r="AHD1" s="301"/>
      <c r="AHE1" s="301"/>
      <c r="AHF1" s="301"/>
      <c r="AHG1" s="301"/>
      <c r="AHH1" s="301"/>
      <c r="AHI1" s="301"/>
      <c r="AHJ1" s="301"/>
      <c r="AHK1" s="301"/>
      <c r="AHL1" s="301"/>
      <c r="AHM1" s="301"/>
      <c r="AHN1" s="301"/>
      <c r="AHO1" s="301"/>
      <c r="AHP1" s="301"/>
      <c r="AHQ1" s="301"/>
      <c r="AHR1" s="301"/>
      <c r="AHS1" s="301"/>
      <c r="AHT1" s="301"/>
      <c r="AHU1" s="301"/>
      <c r="AHV1" s="301"/>
      <c r="AHW1" s="301"/>
      <c r="AHX1" s="301"/>
      <c r="AHY1" s="301"/>
      <c r="AHZ1" s="301"/>
      <c r="AIA1" s="301"/>
      <c r="AIB1" s="301"/>
      <c r="AIC1" s="301"/>
      <c r="AID1" s="301"/>
      <c r="AIE1" s="301"/>
      <c r="AIF1" s="301"/>
      <c r="AIG1" s="301"/>
      <c r="AIH1" s="301"/>
      <c r="AII1" s="301"/>
      <c r="AIJ1" s="301"/>
      <c r="AIK1" s="301"/>
      <c r="AIL1" s="301"/>
      <c r="AIM1" s="301"/>
      <c r="AIN1" s="301"/>
      <c r="AIO1" s="301"/>
      <c r="AIP1" s="301"/>
      <c r="AIQ1" s="301"/>
      <c r="AIR1" s="301"/>
      <c r="AIS1" s="301"/>
      <c r="AIT1" s="301"/>
      <c r="AIU1" s="301"/>
      <c r="AIV1" s="301"/>
      <c r="AIW1" s="301"/>
      <c r="AIX1" s="301"/>
      <c r="AIY1" s="301"/>
      <c r="AIZ1" s="301"/>
      <c r="AJA1" s="301"/>
      <c r="AJB1" s="301"/>
      <c r="AJC1" s="301"/>
      <c r="AJD1" s="301"/>
      <c r="AJE1" s="301"/>
      <c r="AJF1" s="301"/>
      <c r="AJG1" s="301"/>
      <c r="AJH1" s="301"/>
      <c r="AJI1" s="301"/>
      <c r="AJJ1" s="301"/>
      <c r="AJK1" s="301"/>
      <c r="AJL1" s="301"/>
      <c r="AJM1" s="301"/>
      <c r="AJN1" s="301"/>
      <c r="AJO1" s="301"/>
      <c r="AJP1" s="301"/>
      <c r="AJQ1" s="301"/>
      <c r="AJR1" s="301"/>
      <c r="AJS1" s="301"/>
      <c r="AJT1" s="301"/>
      <c r="AJU1" s="301"/>
      <c r="AJV1" s="301"/>
      <c r="AJW1" s="301"/>
      <c r="AJX1" s="301"/>
      <c r="AJY1" s="301"/>
      <c r="AJZ1" s="301"/>
      <c r="AKA1" s="301"/>
      <c r="AKB1" s="301"/>
      <c r="AKC1" s="301"/>
      <c r="AKD1" s="301"/>
      <c r="AKE1" s="301"/>
      <c r="AKF1" s="301"/>
      <c r="AKG1" s="301"/>
      <c r="AKH1" s="301"/>
      <c r="AKI1" s="301"/>
      <c r="AKJ1" s="301"/>
      <c r="AKK1" s="301"/>
      <c r="AKL1" s="301"/>
      <c r="AKM1" s="301"/>
      <c r="AKN1" s="301"/>
      <c r="AKO1" s="301"/>
      <c r="AKP1" s="301"/>
      <c r="AKQ1" s="301"/>
      <c r="AKR1" s="301"/>
      <c r="AKS1" s="301"/>
      <c r="AKT1" s="301"/>
      <c r="AKU1" s="301"/>
      <c r="AKV1" s="301"/>
      <c r="AKW1" s="301"/>
      <c r="AKX1" s="301"/>
      <c r="AKY1" s="301"/>
      <c r="AKZ1" s="301"/>
      <c r="ALA1" s="301"/>
      <c r="ALB1" s="301"/>
      <c r="ALC1" s="301"/>
      <c r="ALD1" s="301"/>
      <c r="ALE1" s="301"/>
      <c r="ALF1" s="301"/>
      <c r="ALG1" s="301"/>
      <c r="ALH1" s="301"/>
      <c r="ALI1" s="301"/>
      <c r="ALJ1" s="301"/>
      <c r="ALK1" s="301"/>
      <c r="ALL1" s="301"/>
      <c r="ALM1" s="301"/>
      <c r="ALN1" s="301"/>
      <c r="ALO1" s="301"/>
      <c r="ALP1" s="301"/>
      <c r="ALQ1" s="301"/>
      <c r="ALR1" s="301"/>
      <c r="ALS1" s="301"/>
      <c r="ALT1" s="301"/>
      <c r="ALU1" s="301"/>
      <c r="ALV1" s="301"/>
      <c r="ALW1" s="301"/>
      <c r="ALX1" s="301"/>
      <c r="ALY1" s="301"/>
      <c r="ALZ1" s="301"/>
      <c r="AMA1" s="301"/>
      <c r="AMB1" s="301"/>
      <c r="AMC1" s="301"/>
      <c r="AMD1" s="301"/>
      <c r="AME1" s="301"/>
      <c r="AMF1" s="301"/>
      <c r="AMG1" s="301"/>
      <c r="AMH1" s="301"/>
      <c r="AMI1" s="301"/>
      <c r="AMJ1" s="301"/>
      <c r="AMK1" s="301"/>
      <c r="AML1" s="301"/>
      <c r="AMM1" s="301"/>
      <c r="AMN1" s="301"/>
      <c r="AMO1" s="301"/>
      <c r="AMP1" s="301"/>
      <c r="AMQ1" s="301"/>
      <c r="AMR1" s="301"/>
      <c r="AMS1" s="301"/>
      <c r="AMT1" s="301"/>
      <c r="AMU1" s="301"/>
      <c r="AMV1" s="301"/>
      <c r="AMW1" s="301"/>
      <c r="AMX1" s="301"/>
      <c r="AMY1" s="301"/>
      <c r="AMZ1" s="301"/>
      <c r="ANA1" s="301"/>
      <c r="ANB1" s="301"/>
      <c r="ANC1" s="301"/>
      <c r="AND1" s="301"/>
      <c r="ANE1" s="301"/>
      <c r="ANF1" s="301"/>
      <c r="ANG1" s="301"/>
      <c r="ANH1" s="301"/>
      <c r="ANI1" s="301"/>
      <c r="ANJ1" s="301"/>
      <c r="ANK1" s="301"/>
      <c r="ANL1" s="301"/>
      <c r="ANM1" s="301"/>
      <c r="ANN1" s="301"/>
      <c r="ANO1" s="301"/>
      <c r="ANP1" s="301"/>
      <c r="ANQ1" s="301"/>
      <c r="ANR1" s="301"/>
      <c r="ANS1" s="301"/>
      <c r="ANT1" s="301"/>
      <c r="ANU1" s="301"/>
      <c r="ANV1" s="301"/>
      <c r="ANW1" s="301"/>
      <c r="ANX1" s="301"/>
      <c r="ANY1" s="301"/>
      <c r="ANZ1" s="301"/>
      <c r="AOA1" s="301"/>
      <c r="AOB1" s="301"/>
      <c r="AOC1" s="301"/>
      <c r="AOD1" s="301"/>
      <c r="AOE1" s="301"/>
      <c r="AOF1" s="301"/>
      <c r="AOG1" s="301"/>
      <c r="AOH1" s="301"/>
      <c r="AOI1" s="301"/>
      <c r="AOJ1" s="301"/>
      <c r="AOK1" s="301"/>
      <c r="AOL1" s="301"/>
      <c r="AOM1" s="301"/>
      <c r="AON1" s="301"/>
      <c r="AOO1" s="301"/>
      <c r="AOP1" s="301"/>
      <c r="AOQ1" s="301"/>
      <c r="AOR1" s="301"/>
      <c r="AOS1" s="301"/>
      <c r="AOT1" s="301"/>
      <c r="AOU1" s="301"/>
      <c r="AOV1" s="301"/>
      <c r="AOW1" s="301"/>
      <c r="AOX1" s="301"/>
      <c r="AOY1" s="301"/>
      <c r="AOZ1" s="301"/>
      <c r="APA1" s="301"/>
      <c r="APB1" s="301"/>
      <c r="APC1" s="301"/>
      <c r="APD1" s="301"/>
      <c r="APE1" s="301"/>
      <c r="APF1" s="301"/>
      <c r="APG1" s="301"/>
      <c r="APH1" s="301"/>
      <c r="API1" s="301"/>
      <c r="APJ1" s="301"/>
      <c r="APK1" s="301"/>
      <c r="APL1" s="301"/>
      <c r="APM1" s="301"/>
      <c r="APN1" s="301"/>
      <c r="APO1" s="301"/>
      <c r="APP1" s="301"/>
      <c r="APQ1" s="301"/>
      <c r="APR1" s="301"/>
      <c r="APS1" s="301"/>
      <c r="APT1" s="301"/>
      <c r="APU1" s="301"/>
      <c r="APV1" s="301"/>
      <c r="APW1" s="301"/>
      <c r="APX1" s="301"/>
      <c r="APY1" s="301"/>
      <c r="APZ1" s="301"/>
      <c r="AQA1" s="301"/>
      <c r="AQB1" s="301"/>
      <c r="AQC1" s="301"/>
      <c r="AQD1" s="301"/>
      <c r="AQE1" s="301"/>
      <c r="AQF1" s="301"/>
      <c r="AQG1" s="301"/>
      <c r="AQH1" s="301"/>
      <c r="AQI1" s="301"/>
      <c r="AQJ1" s="301"/>
      <c r="AQK1" s="301"/>
      <c r="AQL1" s="301"/>
      <c r="AQM1" s="301"/>
      <c r="AQN1" s="301"/>
      <c r="AQO1" s="301"/>
      <c r="AQP1" s="301"/>
      <c r="AQQ1" s="301"/>
      <c r="AQR1" s="301"/>
      <c r="AQS1" s="301"/>
      <c r="AQT1" s="301"/>
      <c r="AQU1" s="301"/>
      <c r="AQV1" s="301"/>
      <c r="AQW1" s="301"/>
      <c r="AQX1" s="301"/>
      <c r="AQY1" s="301"/>
      <c r="AQZ1" s="301"/>
      <c r="ARA1" s="301"/>
      <c r="ARB1" s="301"/>
      <c r="ARC1" s="301"/>
      <c r="ARD1" s="301"/>
      <c r="ARE1" s="301"/>
      <c r="ARF1" s="301"/>
      <c r="ARG1" s="301"/>
      <c r="ARH1" s="301"/>
      <c r="ARI1" s="301"/>
      <c r="ARJ1" s="301"/>
      <c r="ARK1" s="301"/>
      <c r="ARL1" s="301"/>
      <c r="ARM1" s="301"/>
      <c r="ARN1" s="301"/>
      <c r="ARO1" s="301"/>
      <c r="ARP1" s="301"/>
      <c r="ARQ1" s="301"/>
      <c r="ARR1" s="301"/>
      <c r="ARS1" s="301"/>
      <c r="ART1" s="301"/>
      <c r="ARU1" s="301"/>
      <c r="ARV1" s="301"/>
      <c r="ARW1" s="301"/>
      <c r="ARX1" s="301"/>
      <c r="ARY1" s="301"/>
      <c r="ARZ1" s="301"/>
      <c r="ASA1" s="301"/>
      <c r="ASB1" s="301"/>
      <c r="ASC1" s="301"/>
      <c r="ASD1" s="301"/>
      <c r="ASE1" s="301"/>
      <c r="ASF1" s="301"/>
      <c r="ASG1" s="301"/>
      <c r="ASH1" s="301"/>
      <c r="ASI1" s="301"/>
      <c r="ASJ1" s="301"/>
      <c r="ASK1" s="301"/>
      <c r="ASL1" s="301"/>
      <c r="ASM1" s="301"/>
      <c r="ASN1" s="301"/>
      <c r="ASO1" s="301"/>
      <c r="ASP1" s="301"/>
      <c r="ASQ1" s="301"/>
      <c r="ASR1" s="301"/>
      <c r="ASS1" s="301"/>
      <c r="AST1" s="301"/>
      <c r="ASU1" s="301"/>
      <c r="ASV1" s="301"/>
      <c r="ASW1" s="301"/>
      <c r="ASX1" s="301"/>
      <c r="ASY1" s="301"/>
      <c r="ASZ1" s="301"/>
      <c r="ATA1" s="301"/>
      <c r="ATB1" s="301"/>
      <c r="ATC1" s="301"/>
      <c r="ATD1" s="301"/>
      <c r="ATE1" s="301"/>
      <c r="ATF1" s="301"/>
      <c r="ATG1" s="301"/>
      <c r="ATH1" s="301"/>
      <c r="ATI1" s="301"/>
      <c r="ATJ1" s="301"/>
      <c r="ATK1" s="301"/>
      <c r="ATL1" s="301"/>
      <c r="ATM1" s="301"/>
      <c r="ATN1" s="301"/>
      <c r="ATO1" s="301"/>
      <c r="ATP1" s="301"/>
      <c r="ATQ1" s="301"/>
      <c r="ATR1" s="301"/>
      <c r="ATS1" s="301"/>
      <c r="ATT1" s="301"/>
      <c r="ATU1" s="301"/>
      <c r="ATV1" s="301"/>
      <c r="ATW1" s="301"/>
      <c r="ATX1" s="301"/>
      <c r="ATY1" s="301"/>
      <c r="ATZ1" s="301"/>
      <c r="AUA1" s="301"/>
      <c r="AUB1" s="301"/>
      <c r="AUC1" s="301"/>
      <c r="AUD1" s="301"/>
      <c r="AUE1" s="301"/>
      <c r="AUF1" s="301"/>
      <c r="AUG1" s="301"/>
      <c r="AUH1" s="301"/>
      <c r="AUI1" s="301"/>
      <c r="AUJ1" s="301"/>
      <c r="AUK1" s="301"/>
      <c r="AUL1" s="301"/>
      <c r="AUM1" s="301"/>
      <c r="AUN1" s="301"/>
      <c r="AUO1" s="301"/>
      <c r="AUP1" s="301"/>
      <c r="AUQ1" s="301"/>
      <c r="AUR1" s="301"/>
      <c r="AUS1" s="301"/>
      <c r="AUT1" s="301"/>
      <c r="AUU1" s="301"/>
      <c r="AUV1" s="301"/>
      <c r="AUW1" s="301"/>
      <c r="AUX1" s="301"/>
      <c r="AUY1" s="301"/>
      <c r="AUZ1" s="301"/>
      <c r="AVA1" s="301"/>
      <c r="AVB1" s="301"/>
      <c r="AVC1" s="301"/>
      <c r="AVD1" s="301"/>
      <c r="AVE1" s="301"/>
      <c r="AVF1" s="301"/>
      <c r="AVG1" s="301"/>
      <c r="AVH1" s="301"/>
      <c r="AVI1" s="301"/>
      <c r="AVJ1" s="301"/>
      <c r="AVK1" s="301"/>
      <c r="AVL1" s="301"/>
      <c r="AVM1" s="301"/>
      <c r="AVN1" s="301"/>
      <c r="AVO1" s="301"/>
      <c r="AVP1" s="301"/>
      <c r="AVQ1" s="301"/>
      <c r="AVR1" s="301"/>
      <c r="AVS1" s="301"/>
      <c r="AVT1" s="301"/>
      <c r="AVU1" s="301"/>
      <c r="AVV1" s="301"/>
      <c r="AVW1" s="301"/>
      <c r="AVX1" s="301"/>
      <c r="AVY1" s="301"/>
      <c r="AVZ1" s="301"/>
      <c r="AWA1" s="301"/>
      <c r="AWB1" s="301"/>
      <c r="AWC1" s="301"/>
      <c r="AWD1" s="301"/>
      <c r="AWE1" s="301"/>
      <c r="AWF1" s="301"/>
      <c r="AWG1" s="301"/>
      <c r="AWH1" s="301"/>
      <c r="AWI1" s="301"/>
      <c r="AWJ1" s="301"/>
      <c r="AWK1" s="301"/>
      <c r="AWL1" s="301"/>
      <c r="AWM1" s="301"/>
      <c r="AWN1" s="301"/>
      <c r="AWO1" s="301"/>
      <c r="AWP1" s="301"/>
      <c r="AWQ1" s="301"/>
      <c r="AWR1" s="301"/>
      <c r="AWS1" s="301"/>
      <c r="AWT1" s="301"/>
      <c r="AWU1" s="301"/>
      <c r="AWV1" s="301"/>
      <c r="AWW1" s="301"/>
      <c r="AWX1" s="301"/>
      <c r="AWY1" s="301"/>
      <c r="AWZ1" s="301"/>
      <c r="AXA1" s="301"/>
      <c r="AXB1" s="301"/>
      <c r="AXC1" s="301"/>
      <c r="AXD1" s="301"/>
      <c r="AXE1" s="301"/>
      <c r="AXF1" s="301"/>
      <c r="AXG1" s="301"/>
      <c r="AXH1" s="301"/>
      <c r="AXI1" s="301"/>
      <c r="AXJ1" s="301"/>
      <c r="AXK1" s="301"/>
      <c r="AXL1" s="301"/>
      <c r="AXM1" s="301"/>
      <c r="AXN1" s="301"/>
      <c r="AXO1" s="301"/>
      <c r="AXP1" s="301"/>
      <c r="AXQ1" s="301"/>
      <c r="AXR1" s="301"/>
      <c r="AXS1" s="301"/>
      <c r="AXT1" s="301"/>
      <c r="AXU1" s="301"/>
      <c r="AXV1" s="301"/>
      <c r="AXW1" s="301"/>
      <c r="AXX1" s="301"/>
      <c r="AXY1" s="301"/>
      <c r="AXZ1" s="301"/>
      <c r="AYA1" s="301"/>
      <c r="AYB1" s="301"/>
      <c r="AYC1" s="301"/>
      <c r="AYD1" s="301"/>
      <c r="AYE1" s="301"/>
      <c r="AYF1" s="301"/>
      <c r="AYG1" s="301"/>
      <c r="AYH1" s="301"/>
      <c r="AYI1" s="301"/>
      <c r="AYJ1" s="301"/>
      <c r="AYK1" s="301"/>
      <c r="AYL1" s="301"/>
      <c r="AYM1" s="301"/>
      <c r="AYN1" s="301"/>
      <c r="AYO1" s="301"/>
      <c r="AYP1" s="301"/>
      <c r="AYQ1" s="301"/>
      <c r="AYR1" s="301"/>
      <c r="AYS1" s="301"/>
      <c r="AYT1" s="301"/>
      <c r="AYU1" s="301"/>
      <c r="AYV1" s="301"/>
      <c r="AYW1" s="301"/>
      <c r="AYX1" s="301"/>
      <c r="AYY1" s="301"/>
      <c r="AYZ1" s="301"/>
      <c r="AZA1" s="301"/>
      <c r="AZB1" s="301"/>
      <c r="AZC1" s="301"/>
      <c r="AZD1" s="301"/>
      <c r="AZE1" s="301"/>
      <c r="AZF1" s="301"/>
      <c r="AZG1" s="301"/>
      <c r="AZH1" s="301"/>
      <c r="AZI1" s="301"/>
      <c r="AZJ1" s="301"/>
      <c r="AZK1" s="301"/>
      <c r="AZL1" s="301"/>
      <c r="AZM1" s="301"/>
      <c r="AZN1" s="301"/>
      <c r="AZO1" s="301"/>
      <c r="AZP1" s="301"/>
      <c r="AZQ1" s="301"/>
      <c r="AZR1" s="301"/>
      <c r="AZS1" s="301"/>
      <c r="AZT1" s="301"/>
      <c r="AZU1" s="301"/>
      <c r="AZV1" s="301"/>
      <c r="AZW1" s="301"/>
      <c r="AZX1" s="301"/>
      <c r="AZY1" s="301"/>
      <c r="AZZ1" s="301"/>
      <c r="BAA1" s="301"/>
      <c r="BAB1" s="301"/>
      <c r="BAC1" s="301"/>
      <c r="BAD1" s="301"/>
      <c r="BAE1" s="301"/>
      <c r="BAF1" s="301"/>
      <c r="BAG1" s="301"/>
      <c r="BAH1" s="301"/>
      <c r="BAI1" s="301"/>
      <c r="BAJ1" s="301"/>
      <c r="BAK1" s="301"/>
      <c r="BAL1" s="301"/>
      <c r="BAM1" s="301"/>
      <c r="BAN1" s="301"/>
      <c r="BAO1" s="301"/>
      <c r="BAP1" s="301"/>
      <c r="BAQ1" s="301"/>
      <c r="BAR1" s="301"/>
      <c r="BAS1" s="301"/>
      <c r="BAT1" s="301"/>
      <c r="BAU1" s="301"/>
      <c r="BAV1" s="301"/>
      <c r="BAW1" s="301"/>
      <c r="BAX1" s="301"/>
      <c r="BAY1" s="301"/>
      <c r="BAZ1" s="301"/>
      <c r="BBA1" s="301"/>
      <c r="BBB1" s="301"/>
      <c r="BBC1" s="301"/>
      <c r="BBD1" s="301"/>
      <c r="BBE1" s="301"/>
      <c r="BBF1" s="301"/>
      <c r="BBG1" s="301"/>
      <c r="BBH1" s="301"/>
      <c r="BBI1" s="301"/>
      <c r="BBJ1" s="301"/>
      <c r="BBK1" s="301"/>
      <c r="BBL1" s="301"/>
      <c r="BBM1" s="301"/>
      <c r="BBN1" s="301"/>
      <c r="BBO1" s="301"/>
      <c r="BBP1" s="301"/>
      <c r="BBQ1" s="301"/>
      <c r="BBR1" s="301"/>
      <c r="BBS1" s="301"/>
      <c r="BBT1" s="301"/>
      <c r="BBU1" s="301"/>
      <c r="BBV1" s="301"/>
      <c r="BBW1" s="301"/>
      <c r="BBX1" s="301"/>
      <c r="BBY1" s="301"/>
      <c r="BBZ1" s="301"/>
      <c r="BCA1" s="301"/>
      <c r="BCB1" s="301"/>
      <c r="BCC1" s="301"/>
      <c r="BCD1" s="301"/>
      <c r="BCE1" s="301"/>
      <c r="BCF1" s="301"/>
      <c r="BCG1" s="301"/>
      <c r="BCH1" s="301"/>
      <c r="BCI1" s="301"/>
      <c r="BCJ1" s="301"/>
      <c r="BCK1" s="301"/>
      <c r="BCL1" s="301"/>
      <c r="BCM1" s="301"/>
      <c r="BCN1" s="301"/>
      <c r="BCO1" s="301"/>
      <c r="BCP1" s="301"/>
      <c r="BCQ1" s="301"/>
      <c r="BCR1" s="301"/>
      <c r="BCS1" s="301"/>
      <c r="BCT1" s="301"/>
      <c r="BCU1" s="301"/>
      <c r="BCV1" s="301"/>
      <c r="BCW1" s="301"/>
      <c r="BCX1" s="301"/>
      <c r="BCY1" s="301"/>
      <c r="BCZ1" s="301"/>
      <c r="BDA1" s="301"/>
      <c r="BDB1" s="301"/>
      <c r="BDC1" s="301"/>
      <c r="BDD1" s="301"/>
      <c r="BDE1" s="301"/>
      <c r="BDF1" s="301"/>
      <c r="BDG1" s="301"/>
      <c r="BDH1" s="301"/>
      <c r="BDI1" s="301"/>
      <c r="BDJ1" s="301"/>
      <c r="BDK1" s="301"/>
      <c r="BDL1" s="301"/>
      <c r="BDM1" s="301"/>
      <c r="BDN1" s="301"/>
      <c r="BDO1" s="301"/>
      <c r="BDP1" s="301"/>
      <c r="BDQ1" s="301"/>
      <c r="BDR1" s="301"/>
      <c r="BDS1" s="301"/>
      <c r="BDT1" s="301"/>
      <c r="BDU1" s="301"/>
      <c r="BDV1" s="301"/>
      <c r="BDW1" s="301"/>
      <c r="BDX1" s="301"/>
      <c r="BDY1" s="301"/>
      <c r="BDZ1" s="301"/>
      <c r="BEA1" s="301"/>
      <c r="BEB1" s="301"/>
      <c r="BEC1" s="301"/>
      <c r="BED1" s="301"/>
      <c r="BEE1" s="301"/>
      <c r="BEF1" s="301"/>
      <c r="BEG1" s="301"/>
      <c r="BEH1" s="301"/>
      <c r="BEI1" s="301"/>
      <c r="BEJ1" s="301"/>
      <c r="BEK1" s="301"/>
      <c r="BEL1" s="301"/>
      <c r="BEM1" s="301"/>
      <c r="BEN1" s="301"/>
      <c r="BEO1" s="301"/>
      <c r="BEP1" s="301"/>
      <c r="BEQ1" s="301"/>
      <c r="BER1" s="301"/>
      <c r="BES1" s="301"/>
      <c r="BET1" s="301"/>
      <c r="BEU1" s="301"/>
      <c r="BEV1" s="301"/>
      <c r="BEW1" s="301"/>
      <c r="BEX1" s="301"/>
      <c r="BEY1" s="301"/>
      <c r="BEZ1" s="301"/>
      <c r="BFA1" s="301"/>
      <c r="BFB1" s="301"/>
      <c r="BFC1" s="301"/>
      <c r="BFD1" s="301"/>
      <c r="BFE1" s="301"/>
      <c r="BFF1" s="301"/>
      <c r="BFG1" s="301"/>
      <c r="BFH1" s="301"/>
      <c r="BFI1" s="301"/>
      <c r="BFJ1" s="301"/>
      <c r="BFK1" s="301"/>
      <c r="BFL1" s="301"/>
      <c r="BFM1" s="301"/>
      <c r="BFN1" s="301"/>
      <c r="BFO1" s="301"/>
      <c r="BFP1" s="301"/>
      <c r="BFQ1" s="301"/>
      <c r="BFR1" s="301"/>
      <c r="BFS1" s="301"/>
      <c r="BFT1" s="301"/>
      <c r="BFU1" s="301"/>
      <c r="BFV1" s="301"/>
      <c r="BFW1" s="301"/>
      <c r="BFX1" s="301"/>
      <c r="BFY1" s="301"/>
      <c r="BFZ1" s="301"/>
      <c r="BGA1" s="301"/>
      <c r="BGB1" s="301"/>
      <c r="BGC1" s="301"/>
      <c r="BGD1" s="301"/>
      <c r="BGE1" s="301"/>
      <c r="BGF1" s="301"/>
      <c r="BGG1" s="301"/>
      <c r="BGH1" s="301"/>
      <c r="BGI1" s="301"/>
      <c r="BGJ1" s="301"/>
      <c r="BGK1" s="301"/>
      <c r="BGL1" s="301"/>
      <c r="BGM1" s="301"/>
      <c r="BGN1" s="301"/>
      <c r="BGO1" s="301"/>
      <c r="BGP1" s="301"/>
      <c r="BGQ1" s="301"/>
      <c r="BGR1" s="301"/>
      <c r="BGS1" s="301"/>
      <c r="BGT1" s="301"/>
      <c r="BGU1" s="301"/>
      <c r="BGV1" s="301"/>
      <c r="BGW1" s="301"/>
      <c r="BGX1" s="301"/>
      <c r="BGY1" s="301"/>
      <c r="BGZ1" s="301"/>
      <c r="BHA1" s="301"/>
      <c r="BHB1" s="301"/>
      <c r="BHC1" s="301"/>
      <c r="BHD1" s="301"/>
      <c r="BHE1" s="301"/>
      <c r="BHF1" s="301"/>
      <c r="BHG1" s="301"/>
      <c r="BHH1" s="301"/>
      <c r="BHI1" s="301"/>
      <c r="BHJ1" s="301"/>
      <c r="BHK1" s="301"/>
      <c r="BHL1" s="301"/>
      <c r="BHM1" s="301"/>
      <c r="BHN1" s="301"/>
      <c r="BHO1" s="301"/>
      <c r="BHP1" s="301"/>
      <c r="BHQ1" s="301"/>
      <c r="BHR1" s="301"/>
      <c r="BHS1" s="301"/>
      <c r="BHT1" s="301"/>
      <c r="BHU1" s="301"/>
      <c r="BHV1" s="301"/>
      <c r="BHW1" s="301"/>
      <c r="BHX1" s="301"/>
      <c r="BHY1" s="301"/>
      <c r="BHZ1" s="301"/>
      <c r="BIA1" s="301"/>
      <c r="BIB1" s="301"/>
      <c r="BIC1" s="301"/>
      <c r="BID1" s="301"/>
      <c r="BIE1" s="301"/>
      <c r="BIF1" s="301"/>
      <c r="BIG1" s="301"/>
      <c r="BIH1" s="301"/>
      <c r="BII1" s="301"/>
      <c r="BIJ1" s="301"/>
      <c r="BIK1" s="301"/>
      <c r="BIL1" s="301"/>
      <c r="BIM1" s="301"/>
      <c r="BIN1" s="301"/>
      <c r="BIO1" s="301"/>
      <c r="BIP1" s="301"/>
      <c r="BIQ1" s="301"/>
      <c r="BIR1" s="301"/>
      <c r="BIS1" s="301"/>
      <c r="BIT1" s="301"/>
      <c r="BIU1" s="301"/>
      <c r="BIV1" s="301"/>
      <c r="BIW1" s="301"/>
      <c r="BIX1" s="301"/>
      <c r="BIY1" s="301"/>
      <c r="BIZ1" s="301"/>
      <c r="BJA1" s="301"/>
      <c r="BJB1" s="301"/>
      <c r="BJC1" s="301"/>
      <c r="BJD1" s="301"/>
      <c r="BJE1" s="301"/>
      <c r="BJF1" s="301"/>
      <c r="BJG1" s="301"/>
      <c r="BJH1" s="301"/>
      <c r="BJI1" s="301"/>
      <c r="BJJ1" s="301"/>
      <c r="BJK1" s="301"/>
      <c r="BJL1" s="301"/>
      <c r="BJM1" s="301"/>
      <c r="BJN1" s="301"/>
      <c r="BJO1" s="301"/>
      <c r="BJP1" s="301"/>
      <c r="BJQ1" s="301"/>
      <c r="BJR1" s="301"/>
      <c r="BJS1" s="301"/>
      <c r="BJT1" s="301"/>
      <c r="BJU1" s="301"/>
      <c r="BJV1" s="301"/>
      <c r="BJW1" s="301"/>
      <c r="BJX1" s="301"/>
      <c r="BJY1" s="301"/>
      <c r="BJZ1" s="301"/>
      <c r="BKA1" s="301"/>
      <c r="BKB1" s="301"/>
      <c r="BKC1" s="301"/>
      <c r="BKD1" s="301"/>
      <c r="BKE1" s="301"/>
      <c r="BKF1" s="301"/>
      <c r="BKG1" s="301"/>
      <c r="BKH1" s="301"/>
      <c r="BKI1" s="301"/>
      <c r="BKJ1" s="301"/>
      <c r="BKK1" s="301"/>
      <c r="BKL1" s="301"/>
      <c r="BKM1" s="301"/>
      <c r="BKN1" s="301"/>
      <c r="BKO1" s="301"/>
      <c r="BKP1" s="301"/>
      <c r="BKQ1" s="301"/>
      <c r="BKR1" s="301"/>
      <c r="BKS1" s="301"/>
      <c r="BKT1" s="301"/>
      <c r="BKU1" s="301"/>
      <c r="BKV1" s="301"/>
      <c r="BKW1" s="301"/>
      <c r="BKX1" s="301"/>
      <c r="BKY1" s="301"/>
      <c r="BKZ1" s="301"/>
      <c r="BLA1" s="301"/>
      <c r="BLB1" s="301"/>
      <c r="BLC1" s="301"/>
      <c r="BLD1" s="301"/>
      <c r="BLE1" s="301"/>
      <c r="BLF1" s="301"/>
      <c r="BLG1" s="301"/>
      <c r="BLH1" s="301"/>
      <c r="BLI1" s="301"/>
      <c r="BLJ1" s="301"/>
      <c r="BLK1" s="301"/>
      <c r="BLL1" s="301"/>
      <c r="BLM1" s="301"/>
      <c r="BLN1" s="301"/>
      <c r="BLO1" s="301"/>
      <c r="BLP1" s="301"/>
      <c r="BLQ1" s="301"/>
      <c r="BLR1" s="301"/>
      <c r="BLS1" s="301"/>
      <c r="BLT1" s="301"/>
      <c r="BLU1" s="301"/>
      <c r="BLV1" s="301"/>
      <c r="BLW1" s="301"/>
      <c r="BLX1" s="301"/>
      <c r="BLY1" s="301"/>
      <c r="BLZ1" s="301"/>
      <c r="BMA1" s="301"/>
      <c r="BMB1" s="301"/>
      <c r="BMC1" s="301"/>
      <c r="BMD1" s="301"/>
      <c r="BME1" s="301"/>
      <c r="BMF1" s="301"/>
      <c r="BMG1" s="301"/>
      <c r="BMH1" s="301"/>
      <c r="BMI1" s="301"/>
      <c r="BMJ1" s="301"/>
      <c r="BMK1" s="301"/>
      <c r="BML1" s="301"/>
      <c r="BMM1" s="301"/>
      <c r="BMN1" s="301"/>
      <c r="BMO1" s="301"/>
      <c r="BMP1" s="301"/>
      <c r="BMQ1" s="301"/>
      <c r="BMR1" s="301"/>
      <c r="BMS1" s="301"/>
      <c r="BMT1" s="301"/>
      <c r="BMU1" s="301"/>
      <c r="BMV1" s="301"/>
      <c r="BMW1" s="301"/>
      <c r="BMX1" s="301"/>
      <c r="BMY1" s="301"/>
      <c r="BMZ1" s="301"/>
      <c r="BNA1" s="301"/>
      <c r="BNB1" s="301"/>
      <c r="BNC1" s="301"/>
      <c r="BND1" s="301"/>
      <c r="BNE1" s="301"/>
      <c r="BNF1" s="301"/>
      <c r="BNG1" s="301"/>
      <c r="BNH1" s="301"/>
      <c r="BNI1" s="301"/>
      <c r="BNJ1" s="301"/>
      <c r="BNK1" s="301"/>
      <c r="BNL1" s="301"/>
      <c r="BNM1" s="301"/>
      <c r="BNN1" s="301"/>
      <c r="BNO1" s="301"/>
      <c r="BNP1" s="301"/>
      <c r="BNQ1" s="301"/>
      <c r="BNR1" s="301"/>
      <c r="BNS1" s="301"/>
      <c r="BNT1" s="301"/>
      <c r="BNU1" s="301"/>
      <c r="BNV1" s="301"/>
      <c r="BNW1" s="301"/>
      <c r="BNX1" s="301"/>
      <c r="BNY1" s="301"/>
      <c r="BNZ1" s="301"/>
      <c r="BOA1" s="301"/>
      <c r="BOB1" s="301"/>
      <c r="BOC1" s="301"/>
      <c r="BOD1" s="301"/>
      <c r="BOE1" s="301"/>
      <c r="BOF1" s="301"/>
      <c r="BOG1" s="301"/>
      <c r="BOH1" s="301"/>
      <c r="BOI1" s="301"/>
      <c r="BOJ1" s="301"/>
      <c r="BOK1" s="301"/>
      <c r="BOL1" s="301"/>
      <c r="BOM1" s="301"/>
      <c r="BON1" s="301"/>
      <c r="BOO1" s="301"/>
      <c r="BOP1" s="301"/>
      <c r="BOQ1" s="301"/>
      <c r="BOR1" s="301"/>
      <c r="BOS1" s="301"/>
      <c r="BOT1" s="301"/>
      <c r="BOU1" s="301"/>
      <c r="BOV1" s="301"/>
      <c r="BOW1" s="301"/>
      <c r="BOX1" s="301"/>
      <c r="BOY1" s="301"/>
      <c r="BOZ1" s="301"/>
      <c r="BPA1" s="301"/>
      <c r="BPB1" s="301"/>
      <c r="BPC1" s="301"/>
      <c r="BPD1" s="301"/>
      <c r="BPE1" s="301"/>
      <c r="BPF1" s="301"/>
      <c r="BPG1" s="301"/>
      <c r="BPH1" s="301"/>
      <c r="BPI1" s="301"/>
      <c r="BPJ1" s="301"/>
      <c r="BPK1" s="301"/>
      <c r="BPL1" s="301"/>
      <c r="BPM1" s="301"/>
      <c r="BPN1" s="301"/>
      <c r="BPO1" s="301"/>
      <c r="BPP1" s="301"/>
      <c r="BPQ1" s="301"/>
      <c r="BPR1" s="301"/>
      <c r="BPS1" s="301"/>
      <c r="BPT1" s="301"/>
      <c r="BPU1" s="301"/>
      <c r="BPV1" s="301"/>
      <c r="BPW1" s="301"/>
      <c r="BPX1" s="301"/>
      <c r="BPY1" s="301"/>
      <c r="BPZ1" s="301"/>
      <c r="BQA1" s="301"/>
      <c r="BQB1" s="301"/>
      <c r="BQC1" s="301"/>
      <c r="BQD1" s="301"/>
      <c r="BQE1" s="301"/>
      <c r="BQF1" s="301"/>
      <c r="BQG1" s="301"/>
      <c r="BQH1" s="301"/>
      <c r="BQI1" s="301"/>
      <c r="BQJ1" s="301"/>
      <c r="BQK1" s="301"/>
      <c r="BQL1" s="301"/>
      <c r="BQM1" s="301"/>
      <c r="BQN1" s="301"/>
      <c r="BQO1" s="301"/>
      <c r="BQP1" s="301"/>
      <c r="BQQ1" s="301"/>
      <c r="BQR1" s="301"/>
      <c r="BQS1" s="301"/>
      <c r="BQT1" s="301"/>
      <c r="BQU1" s="301"/>
      <c r="BQV1" s="301"/>
      <c r="BQW1" s="301"/>
      <c r="BQX1" s="301"/>
      <c r="BQY1" s="301"/>
      <c r="BQZ1" s="301"/>
      <c r="BRA1" s="301"/>
      <c r="BRB1" s="301"/>
      <c r="BRC1" s="301"/>
      <c r="BRD1" s="301"/>
      <c r="BRE1" s="301"/>
      <c r="BRF1" s="301"/>
      <c r="BRG1" s="301"/>
      <c r="BRH1" s="301"/>
      <c r="BRI1" s="301"/>
      <c r="BRJ1" s="301"/>
      <c r="BRK1" s="301"/>
      <c r="BRL1" s="301"/>
      <c r="BRM1" s="301"/>
      <c r="BRN1" s="301"/>
      <c r="BRO1" s="301"/>
      <c r="BRP1" s="301"/>
      <c r="BRQ1" s="301"/>
      <c r="BRR1" s="301"/>
      <c r="BRS1" s="301"/>
      <c r="BRT1" s="301"/>
      <c r="BRU1" s="301"/>
      <c r="BRV1" s="301"/>
      <c r="BRW1" s="301"/>
      <c r="BRX1" s="301"/>
      <c r="BRY1" s="301"/>
      <c r="BRZ1" s="301"/>
      <c r="BSA1" s="301"/>
      <c r="BSB1" s="301"/>
      <c r="BSC1" s="301"/>
      <c r="BSD1" s="301"/>
      <c r="BSE1" s="301"/>
      <c r="BSF1" s="301"/>
      <c r="BSG1" s="301"/>
      <c r="BSH1" s="301"/>
      <c r="BSI1" s="301"/>
      <c r="BSJ1" s="301"/>
      <c r="BSK1" s="301"/>
      <c r="BSL1" s="301"/>
      <c r="BSM1" s="301"/>
      <c r="BSN1" s="301"/>
      <c r="BSO1" s="301"/>
      <c r="BSP1" s="301"/>
      <c r="BSQ1" s="301"/>
      <c r="BSR1" s="301"/>
      <c r="BSS1" s="301"/>
      <c r="BST1" s="301"/>
      <c r="BSU1" s="301"/>
      <c r="BSV1" s="301"/>
      <c r="BSW1" s="301"/>
      <c r="BSX1" s="301"/>
      <c r="BSY1" s="301"/>
      <c r="BSZ1" s="301"/>
      <c r="BTA1" s="301"/>
      <c r="BTB1" s="301"/>
      <c r="BTC1" s="301"/>
      <c r="BTD1" s="301"/>
      <c r="BTE1" s="301"/>
      <c r="BTF1" s="301"/>
      <c r="BTG1" s="301"/>
      <c r="BTH1" s="301"/>
      <c r="BTI1" s="301"/>
      <c r="BTJ1" s="301"/>
      <c r="BTK1" s="301"/>
      <c r="BTL1" s="301"/>
      <c r="BTM1" s="301"/>
      <c r="BTN1" s="301"/>
      <c r="BTO1" s="301"/>
      <c r="BTP1" s="301"/>
      <c r="BTQ1" s="301"/>
      <c r="BTR1" s="301"/>
      <c r="BTS1" s="301"/>
      <c r="BTT1" s="301"/>
      <c r="BTU1" s="301"/>
      <c r="BTV1" s="301"/>
      <c r="BTW1" s="301"/>
      <c r="BTX1" s="301"/>
      <c r="BTY1" s="301"/>
      <c r="BTZ1" s="301"/>
      <c r="BUA1" s="301"/>
      <c r="BUB1" s="301"/>
      <c r="BUC1" s="301"/>
      <c r="BUD1" s="301"/>
      <c r="BUE1" s="301"/>
      <c r="BUF1" s="301"/>
      <c r="BUG1" s="301"/>
      <c r="BUH1" s="301"/>
      <c r="BUI1" s="301"/>
      <c r="BUJ1" s="301"/>
      <c r="BUK1" s="301"/>
      <c r="BUL1" s="301"/>
      <c r="BUM1" s="301"/>
      <c r="BUN1" s="301"/>
      <c r="BUO1" s="301"/>
      <c r="BUP1" s="301"/>
      <c r="BUQ1" s="301"/>
      <c r="BUR1" s="301"/>
      <c r="BUS1" s="301"/>
      <c r="BUT1" s="301"/>
      <c r="BUU1" s="301"/>
      <c r="BUV1" s="301"/>
      <c r="BUW1" s="301"/>
      <c r="BUX1" s="301"/>
      <c r="BUY1" s="301"/>
      <c r="BUZ1" s="301"/>
      <c r="BVA1" s="301"/>
      <c r="BVB1" s="301"/>
      <c r="BVC1" s="301"/>
      <c r="BVD1" s="301"/>
      <c r="BVE1" s="301"/>
      <c r="BVF1" s="301"/>
      <c r="BVG1" s="301"/>
      <c r="BVH1" s="301"/>
      <c r="BVI1" s="301"/>
      <c r="BVJ1" s="301"/>
      <c r="BVK1" s="301"/>
      <c r="BVL1" s="301"/>
      <c r="BVM1" s="301"/>
      <c r="BVN1" s="301"/>
      <c r="BVO1" s="301"/>
      <c r="BVP1" s="301"/>
      <c r="BVQ1" s="301"/>
      <c r="BVR1" s="301"/>
      <c r="BVS1" s="301"/>
      <c r="BVT1" s="301"/>
      <c r="BVU1" s="301"/>
      <c r="BVV1" s="301"/>
      <c r="BVW1" s="301"/>
      <c r="BVX1" s="301"/>
      <c r="BVY1" s="301"/>
      <c r="BVZ1" s="301"/>
      <c r="BWA1" s="301"/>
      <c r="BWB1" s="301"/>
      <c r="BWC1" s="301"/>
      <c r="BWD1" s="301"/>
      <c r="BWE1" s="301"/>
      <c r="BWF1" s="301"/>
      <c r="BWG1" s="301"/>
      <c r="BWH1" s="301"/>
      <c r="BWI1" s="301"/>
      <c r="BWJ1" s="301"/>
      <c r="BWK1" s="301"/>
      <c r="BWL1" s="301"/>
      <c r="BWM1" s="301"/>
      <c r="BWN1" s="301"/>
      <c r="BWO1" s="301"/>
      <c r="BWP1" s="301"/>
      <c r="BWQ1" s="301"/>
      <c r="BWR1" s="301"/>
      <c r="BWS1" s="301"/>
      <c r="BWT1" s="301"/>
      <c r="BWU1" s="301"/>
      <c r="BWV1" s="301"/>
      <c r="BWW1" s="301"/>
      <c r="BWX1" s="301"/>
      <c r="BWY1" s="301"/>
      <c r="BWZ1" s="301"/>
      <c r="BXA1" s="301"/>
      <c r="BXB1" s="301"/>
      <c r="BXC1" s="301"/>
      <c r="BXD1" s="301"/>
      <c r="BXE1" s="301"/>
      <c r="BXF1" s="301"/>
      <c r="BXG1" s="301"/>
      <c r="BXH1" s="301"/>
      <c r="BXI1" s="301"/>
      <c r="BXJ1" s="301"/>
      <c r="BXK1" s="301"/>
      <c r="BXL1" s="301"/>
      <c r="BXM1" s="301"/>
      <c r="BXN1" s="301"/>
      <c r="BXO1" s="301"/>
      <c r="BXP1" s="301"/>
      <c r="BXQ1" s="301"/>
      <c r="BXR1" s="301"/>
      <c r="BXS1" s="301"/>
      <c r="BXT1" s="301"/>
      <c r="BXU1" s="301"/>
      <c r="BXV1" s="301"/>
      <c r="BXW1" s="301"/>
      <c r="BXX1" s="301"/>
      <c r="BXY1" s="301"/>
      <c r="BXZ1" s="301"/>
      <c r="BYA1" s="301"/>
      <c r="BYB1" s="301"/>
      <c r="BYC1" s="301"/>
      <c r="BYD1" s="301"/>
      <c r="BYE1" s="301"/>
      <c r="BYF1" s="301"/>
      <c r="BYG1" s="301"/>
      <c r="BYH1" s="301"/>
      <c r="BYI1" s="301"/>
      <c r="BYJ1" s="301"/>
      <c r="BYK1" s="301"/>
      <c r="BYL1" s="301"/>
      <c r="BYM1" s="301"/>
      <c r="BYN1" s="301"/>
      <c r="BYO1" s="301"/>
      <c r="BYP1" s="301"/>
      <c r="BYQ1" s="301"/>
      <c r="BYR1" s="301"/>
      <c r="BYS1" s="301"/>
      <c r="BYT1" s="301"/>
      <c r="BYU1" s="301"/>
      <c r="BYV1" s="301"/>
      <c r="BYW1" s="301"/>
      <c r="BYX1" s="301"/>
      <c r="BYY1" s="301"/>
      <c r="BYZ1" s="301"/>
      <c r="BZA1" s="301"/>
      <c r="BZB1" s="301"/>
      <c r="BZC1" s="301"/>
      <c r="BZD1" s="301"/>
      <c r="BZE1" s="301"/>
      <c r="BZF1" s="301"/>
      <c r="BZG1" s="301"/>
      <c r="BZH1" s="301"/>
      <c r="BZI1" s="301"/>
      <c r="BZJ1" s="301"/>
      <c r="BZK1" s="301"/>
      <c r="BZL1" s="301"/>
      <c r="BZM1" s="301"/>
      <c r="BZN1" s="301"/>
      <c r="BZO1" s="301"/>
      <c r="BZP1" s="301"/>
      <c r="BZQ1" s="301"/>
      <c r="BZR1" s="301"/>
      <c r="BZS1" s="301"/>
      <c r="BZT1" s="301"/>
      <c r="BZU1" s="301"/>
      <c r="BZV1" s="301"/>
      <c r="BZW1" s="301"/>
      <c r="BZX1" s="301"/>
      <c r="BZY1" s="301"/>
      <c r="BZZ1" s="301"/>
      <c r="CAA1" s="301"/>
      <c r="CAB1" s="301"/>
      <c r="CAC1" s="301"/>
      <c r="CAD1" s="301"/>
      <c r="CAE1" s="301"/>
      <c r="CAF1" s="301"/>
      <c r="CAG1" s="301"/>
      <c r="CAH1" s="301"/>
      <c r="CAI1" s="301"/>
      <c r="CAJ1" s="301"/>
      <c r="CAK1" s="301"/>
      <c r="CAL1" s="301"/>
      <c r="CAM1" s="301"/>
      <c r="CAN1" s="301"/>
      <c r="CAO1" s="301"/>
      <c r="CAP1" s="301"/>
      <c r="CAQ1" s="301"/>
      <c r="CAR1" s="301"/>
      <c r="CAS1" s="301"/>
      <c r="CAT1" s="301"/>
      <c r="CAU1" s="301"/>
      <c r="CAV1" s="301"/>
      <c r="CAW1" s="301"/>
      <c r="CAX1" s="301"/>
      <c r="CAY1" s="301"/>
      <c r="CAZ1" s="301"/>
      <c r="CBA1" s="301"/>
      <c r="CBB1" s="301"/>
      <c r="CBC1" s="301"/>
      <c r="CBD1" s="301"/>
      <c r="CBE1" s="301"/>
      <c r="CBF1" s="301"/>
      <c r="CBG1" s="301"/>
      <c r="CBH1" s="301"/>
      <c r="CBI1" s="301"/>
      <c r="CBJ1" s="301"/>
      <c r="CBK1" s="301"/>
      <c r="CBL1" s="301"/>
      <c r="CBM1" s="301"/>
      <c r="CBN1" s="301"/>
      <c r="CBO1" s="301"/>
      <c r="CBP1" s="301"/>
      <c r="CBQ1" s="301"/>
      <c r="CBR1" s="301"/>
      <c r="CBS1" s="301"/>
      <c r="CBT1" s="301"/>
      <c r="CBU1" s="301"/>
      <c r="CBV1" s="301"/>
      <c r="CBW1" s="301"/>
      <c r="CBX1" s="301"/>
      <c r="CBY1" s="301"/>
      <c r="CBZ1" s="301"/>
      <c r="CCA1" s="301"/>
      <c r="CCB1" s="301"/>
      <c r="CCC1" s="301"/>
      <c r="CCD1" s="301"/>
      <c r="CCE1" s="301"/>
      <c r="CCF1" s="301"/>
      <c r="CCG1" s="301"/>
      <c r="CCH1" s="301"/>
      <c r="CCI1" s="301"/>
      <c r="CCJ1" s="301"/>
      <c r="CCK1" s="301"/>
      <c r="CCL1" s="301"/>
      <c r="CCM1" s="301"/>
      <c r="CCN1" s="301"/>
      <c r="CCO1" s="301"/>
      <c r="CCP1" s="301"/>
      <c r="CCQ1" s="301"/>
      <c r="CCR1" s="301"/>
      <c r="CCS1" s="301"/>
      <c r="CCT1" s="301"/>
      <c r="CCU1" s="301"/>
      <c r="CCV1" s="301"/>
      <c r="CCW1" s="301"/>
      <c r="CCX1" s="301"/>
      <c r="CCY1" s="301"/>
      <c r="CCZ1" s="301"/>
      <c r="CDA1" s="301"/>
      <c r="CDB1" s="301"/>
      <c r="CDC1" s="301"/>
      <c r="CDD1" s="301"/>
      <c r="CDE1" s="301"/>
      <c r="CDF1" s="301"/>
      <c r="CDG1" s="301"/>
      <c r="CDH1" s="301"/>
      <c r="CDI1" s="301"/>
      <c r="CDJ1" s="301"/>
      <c r="CDK1" s="301"/>
      <c r="CDL1" s="301"/>
      <c r="CDM1" s="301"/>
      <c r="CDN1" s="301"/>
      <c r="CDO1" s="301"/>
      <c r="CDP1" s="301"/>
      <c r="CDQ1" s="301"/>
      <c r="CDR1" s="301"/>
      <c r="CDS1" s="301"/>
      <c r="CDT1" s="301"/>
      <c r="CDU1" s="301"/>
      <c r="CDV1" s="301"/>
      <c r="CDW1" s="301"/>
      <c r="CDX1" s="301"/>
      <c r="CDY1" s="301"/>
      <c r="CDZ1" s="301"/>
      <c r="CEA1" s="301"/>
      <c r="CEB1" s="301"/>
      <c r="CEC1" s="301"/>
      <c r="CED1" s="301"/>
      <c r="CEE1" s="301"/>
      <c r="CEF1" s="301"/>
      <c r="CEG1" s="301"/>
      <c r="CEH1" s="301"/>
      <c r="CEI1" s="301"/>
      <c r="CEJ1" s="301"/>
      <c r="CEK1" s="301"/>
      <c r="CEL1" s="301"/>
      <c r="CEM1" s="301"/>
      <c r="CEN1" s="301"/>
      <c r="CEO1" s="301"/>
      <c r="CEP1" s="301"/>
      <c r="CEQ1" s="301"/>
      <c r="CER1" s="301"/>
      <c r="CES1" s="301"/>
      <c r="CET1" s="301"/>
      <c r="CEU1" s="301"/>
      <c r="CEV1" s="301"/>
      <c r="CEW1" s="301"/>
      <c r="CEX1" s="301"/>
      <c r="CEY1" s="301"/>
      <c r="CEZ1" s="301"/>
      <c r="CFA1" s="301"/>
      <c r="CFB1" s="301"/>
      <c r="CFC1" s="301"/>
      <c r="CFD1" s="301"/>
      <c r="CFE1" s="301"/>
      <c r="CFF1" s="301"/>
      <c r="CFG1" s="301"/>
      <c r="CFH1" s="301"/>
      <c r="CFI1" s="301"/>
      <c r="CFJ1" s="301"/>
      <c r="CFK1" s="301"/>
      <c r="CFL1" s="301"/>
      <c r="CFM1" s="301"/>
      <c r="CFN1" s="301"/>
      <c r="CFO1" s="301"/>
      <c r="CFP1" s="301"/>
      <c r="CFQ1" s="301"/>
      <c r="CFR1" s="301"/>
      <c r="CFS1" s="301"/>
      <c r="CFT1" s="301"/>
      <c r="CFU1" s="301"/>
      <c r="CFV1" s="301"/>
      <c r="CFW1" s="301"/>
      <c r="CFX1" s="301"/>
      <c r="CFY1" s="301"/>
      <c r="CFZ1" s="301"/>
      <c r="CGA1" s="301"/>
      <c r="CGB1" s="301"/>
      <c r="CGC1" s="301"/>
      <c r="CGD1" s="301"/>
      <c r="CGE1" s="301"/>
      <c r="CGF1" s="301"/>
      <c r="CGG1" s="301"/>
      <c r="CGH1" s="301"/>
      <c r="CGI1" s="301"/>
      <c r="CGJ1" s="301"/>
      <c r="CGK1" s="301"/>
      <c r="CGL1" s="301"/>
      <c r="CGM1" s="301"/>
      <c r="CGN1" s="301"/>
      <c r="CGO1" s="301"/>
      <c r="CGP1" s="301"/>
      <c r="CGQ1" s="301"/>
      <c r="CGR1" s="301"/>
      <c r="CGS1" s="301"/>
      <c r="CGT1" s="301"/>
      <c r="CGU1" s="301"/>
      <c r="CGV1" s="301"/>
      <c r="CGW1" s="301"/>
      <c r="CGX1" s="301"/>
      <c r="CGY1" s="301"/>
      <c r="CGZ1" s="301"/>
      <c r="CHA1" s="301"/>
      <c r="CHB1" s="301"/>
      <c r="CHC1" s="301"/>
      <c r="CHD1" s="301"/>
      <c r="CHE1" s="301"/>
      <c r="CHF1" s="301"/>
      <c r="CHG1" s="301"/>
      <c r="CHH1" s="301"/>
      <c r="CHI1" s="301"/>
      <c r="CHJ1" s="301"/>
      <c r="CHK1" s="301"/>
      <c r="CHL1" s="301"/>
      <c r="CHM1" s="301"/>
      <c r="CHN1" s="301"/>
      <c r="CHO1" s="301"/>
      <c r="CHP1" s="301"/>
      <c r="CHQ1" s="301"/>
      <c r="CHR1" s="301"/>
      <c r="CHS1" s="301"/>
      <c r="CHT1" s="301"/>
      <c r="CHU1" s="301"/>
      <c r="CHV1" s="301"/>
      <c r="CHW1" s="301"/>
      <c r="CHX1" s="301"/>
      <c r="CHY1" s="301"/>
      <c r="CHZ1" s="301"/>
      <c r="CIA1" s="301"/>
      <c r="CIB1" s="301"/>
      <c r="CIC1" s="301"/>
      <c r="CID1" s="301"/>
      <c r="CIE1" s="301"/>
      <c r="CIF1" s="301"/>
      <c r="CIG1" s="301"/>
      <c r="CIH1" s="301"/>
      <c r="CII1" s="301"/>
      <c r="CIJ1" s="301"/>
      <c r="CIK1" s="301"/>
      <c r="CIL1" s="301"/>
      <c r="CIM1" s="301"/>
      <c r="CIN1" s="301"/>
      <c r="CIO1" s="301"/>
      <c r="CIP1" s="301"/>
      <c r="CIQ1" s="301"/>
      <c r="CIR1" s="301"/>
      <c r="CIS1" s="301"/>
      <c r="CIT1" s="301"/>
      <c r="CIU1" s="301"/>
      <c r="CIV1" s="301"/>
      <c r="CIW1" s="301"/>
      <c r="CIX1" s="301"/>
      <c r="CIY1" s="301"/>
      <c r="CIZ1" s="301"/>
      <c r="CJA1" s="301"/>
      <c r="CJB1" s="301"/>
      <c r="CJC1" s="301"/>
      <c r="CJD1" s="301"/>
      <c r="CJE1" s="301"/>
      <c r="CJF1" s="301"/>
      <c r="CJG1" s="301"/>
      <c r="CJH1" s="301"/>
      <c r="CJI1" s="301"/>
      <c r="CJJ1" s="301"/>
      <c r="CJK1" s="301"/>
      <c r="CJL1" s="301"/>
      <c r="CJM1" s="301"/>
      <c r="CJN1" s="301"/>
      <c r="CJO1" s="301"/>
      <c r="CJP1" s="301"/>
      <c r="CJQ1" s="301"/>
      <c r="CJR1" s="301"/>
      <c r="CJS1" s="301"/>
      <c r="CJT1" s="301"/>
      <c r="CJU1" s="301"/>
      <c r="CJV1" s="301"/>
      <c r="CJW1" s="301"/>
      <c r="CJX1" s="301"/>
      <c r="CJY1" s="301"/>
      <c r="CJZ1" s="301"/>
      <c r="CKA1" s="301"/>
      <c r="CKB1" s="301"/>
      <c r="CKC1" s="301"/>
      <c r="CKD1" s="301"/>
      <c r="CKE1" s="301"/>
      <c r="CKF1" s="301"/>
      <c r="CKG1" s="301"/>
      <c r="CKH1" s="301"/>
      <c r="CKI1" s="301"/>
      <c r="CKJ1" s="301"/>
      <c r="CKK1" s="301"/>
      <c r="CKL1" s="301"/>
      <c r="CKM1" s="301"/>
      <c r="CKN1" s="301"/>
      <c r="CKO1" s="301"/>
      <c r="CKP1" s="301"/>
      <c r="CKQ1" s="301"/>
      <c r="CKR1" s="301"/>
      <c r="CKS1" s="301"/>
      <c r="CKT1" s="301"/>
      <c r="CKU1" s="301"/>
      <c r="CKV1" s="301"/>
      <c r="CKW1" s="301"/>
      <c r="CKX1" s="301"/>
      <c r="CKY1" s="301"/>
      <c r="CKZ1" s="301"/>
      <c r="CLA1" s="301"/>
      <c r="CLB1" s="301"/>
      <c r="CLC1" s="301"/>
      <c r="CLD1" s="301"/>
      <c r="CLE1" s="301"/>
      <c r="CLF1" s="301"/>
      <c r="CLG1" s="301"/>
      <c r="CLH1" s="301"/>
      <c r="CLI1" s="301"/>
      <c r="CLJ1" s="301"/>
      <c r="CLK1" s="301"/>
      <c r="CLL1" s="301"/>
      <c r="CLM1" s="301"/>
      <c r="CLN1" s="301"/>
      <c r="CLO1" s="301"/>
      <c r="CLP1" s="301"/>
      <c r="CLQ1" s="301"/>
      <c r="CLR1" s="301"/>
      <c r="CLS1" s="301"/>
      <c r="CLT1" s="301"/>
      <c r="CLU1" s="301"/>
      <c r="CLV1" s="301"/>
      <c r="CLW1" s="301"/>
      <c r="CLX1" s="301"/>
      <c r="CLY1" s="301"/>
      <c r="CLZ1" s="301"/>
      <c r="CMA1" s="301"/>
      <c r="CMB1" s="301"/>
      <c r="CMC1" s="301"/>
      <c r="CMD1" s="301"/>
      <c r="CME1" s="301"/>
      <c r="CMF1" s="301"/>
      <c r="CMG1" s="301"/>
      <c r="CMH1" s="301"/>
      <c r="CMI1" s="301"/>
      <c r="CMJ1" s="301"/>
      <c r="CMK1" s="301"/>
      <c r="CML1" s="301"/>
      <c r="CMM1" s="301"/>
      <c r="CMN1" s="301"/>
      <c r="CMO1" s="301"/>
      <c r="CMP1" s="301"/>
      <c r="CMQ1" s="301"/>
      <c r="CMR1" s="301"/>
      <c r="CMS1" s="301"/>
      <c r="CMT1" s="301"/>
      <c r="CMU1" s="301"/>
      <c r="CMV1" s="301"/>
      <c r="CMW1" s="301"/>
      <c r="CMX1" s="301"/>
      <c r="CMY1" s="301"/>
      <c r="CMZ1" s="301"/>
      <c r="CNA1" s="301"/>
      <c r="CNB1" s="301"/>
      <c r="CNC1" s="301"/>
      <c r="CND1" s="301"/>
      <c r="CNE1" s="301"/>
      <c r="CNF1" s="301"/>
      <c r="CNG1" s="301"/>
      <c r="CNH1" s="301"/>
      <c r="CNI1" s="301"/>
      <c r="CNJ1" s="301"/>
      <c r="CNK1" s="301"/>
      <c r="CNL1" s="301"/>
      <c r="CNM1" s="301"/>
      <c r="CNN1" s="301"/>
      <c r="CNO1" s="301"/>
      <c r="CNP1" s="301"/>
      <c r="CNQ1" s="301"/>
      <c r="CNR1" s="301"/>
      <c r="CNS1" s="301"/>
      <c r="CNT1" s="301"/>
      <c r="CNU1" s="301"/>
      <c r="CNV1" s="301"/>
      <c r="CNW1" s="301"/>
      <c r="CNX1" s="301"/>
      <c r="CNY1" s="301"/>
      <c r="CNZ1" s="301"/>
      <c r="COA1" s="301"/>
      <c r="COB1" s="301"/>
      <c r="COC1" s="301"/>
      <c r="COD1" s="301"/>
      <c r="COE1" s="301"/>
      <c r="COF1" s="301"/>
      <c r="COG1" s="301"/>
      <c r="COH1" s="301"/>
      <c r="COI1" s="301"/>
      <c r="COJ1" s="301"/>
      <c r="COK1" s="301"/>
      <c r="COL1" s="301"/>
      <c r="COM1" s="301"/>
      <c r="CON1" s="301"/>
      <c r="COO1" s="301"/>
      <c r="COP1" s="301"/>
      <c r="COQ1" s="301"/>
      <c r="COR1" s="301"/>
      <c r="COS1" s="301"/>
      <c r="COT1" s="301"/>
      <c r="COU1" s="301"/>
      <c r="COV1" s="301"/>
      <c r="COW1" s="301"/>
      <c r="COX1" s="301"/>
      <c r="COY1" s="301"/>
      <c r="COZ1" s="301"/>
      <c r="CPA1" s="301"/>
      <c r="CPB1" s="301"/>
      <c r="CPC1" s="301"/>
      <c r="CPD1" s="301"/>
      <c r="CPE1" s="301"/>
      <c r="CPF1" s="301"/>
      <c r="CPG1" s="301"/>
      <c r="CPH1" s="301"/>
      <c r="CPI1" s="301"/>
      <c r="CPJ1" s="301"/>
      <c r="CPK1" s="301"/>
      <c r="CPL1" s="301"/>
      <c r="CPM1" s="301"/>
      <c r="CPN1" s="301"/>
      <c r="CPO1" s="301"/>
      <c r="CPP1" s="301"/>
      <c r="CPQ1" s="301"/>
      <c r="CPR1" s="301"/>
      <c r="CPS1" s="301"/>
      <c r="CPT1" s="301"/>
      <c r="CPU1" s="301"/>
      <c r="CPV1" s="301"/>
      <c r="CPW1" s="301"/>
      <c r="CPX1" s="301"/>
      <c r="CPY1" s="301"/>
      <c r="CPZ1" s="301"/>
      <c r="CQA1" s="301"/>
      <c r="CQB1" s="301"/>
      <c r="CQC1" s="301"/>
      <c r="CQD1" s="301"/>
      <c r="CQE1" s="301"/>
      <c r="CQF1" s="301"/>
      <c r="CQG1" s="301"/>
      <c r="CQH1" s="301"/>
      <c r="CQI1" s="301"/>
      <c r="CQJ1" s="301"/>
      <c r="CQK1" s="301"/>
      <c r="CQL1" s="301"/>
      <c r="CQM1" s="301"/>
      <c r="CQN1" s="301"/>
      <c r="CQO1" s="301"/>
      <c r="CQP1" s="301"/>
      <c r="CQQ1" s="301"/>
      <c r="CQR1" s="301"/>
      <c r="CQS1" s="301"/>
      <c r="CQT1" s="301"/>
      <c r="CQU1" s="301"/>
      <c r="CQV1" s="301"/>
      <c r="CQW1" s="301"/>
      <c r="CQX1" s="301"/>
      <c r="CQY1" s="301"/>
      <c r="CQZ1" s="301"/>
      <c r="CRA1" s="301"/>
      <c r="CRB1" s="301"/>
      <c r="CRC1" s="301"/>
      <c r="CRD1" s="301"/>
      <c r="CRE1" s="301"/>
      <c r="CRF1" s="301"/>
      <c r="CRG1" s="301"/>
      <c r="CRH1" s="301"/>
      <c r="CRI1" s="301"/>
      <c r="CRJ1" s="301"/>
      <c r="CRK1" s="301"/>
      <c r="CRL1" s="301"/>
      <c r="CRM1" s="301"/>
      <c r="CRN1" s="301"/>
      <c r="CRO1" s="301"/>
      <c r="CRP1" s="301"/>
      <c r="CRQ1" s="301"/>
      <c r="CRR1" s="301"/>
      <c r="CRS1" s="301"/>
      <c r="CRT1" s="301"/>
      <c r="CRU1" s="301"/>
      <c r="CRV1" s="301"/>
      <c r="CRW1" s="301"/>
      <c r="CRX1" s="301"/>
      <c r="CRY1" s="301"/>
      <c r="CRZ1" s="301"/>
      <c r="CSA1" s="301"/>
      <c r="CSB1" s="301"/>
      <c r="CSC1" s="301"/>
      <c r="CSD1" s="301"/>
      <c r="CSE1" s="301"/>
      <c r="CSF1" s="301"/>
      <c r="CSG1" s="301"/>
      <c r="CSH1" s="301"/>
      <c r="CSI1" s="301"/>
      <c r="CSJ1" s="301"/>
      <c r="CSK1" s="301"/>
      <c r="CSL1" s="301"/>
      <c r="CSM1" s="301"/>
      <c r="CSN1" s="301"/>
      <c r="CSO1" s="301"/>
      <c r="CSP1" s="301"/>
      <c r="CSQ1" s="301"/>
      <c r="CSR1" s="301"/>
      <c r="CSS1" s="301"/>
      <c r="CST1" s="301"/>
      <c r="CSU1" s="301"/>
      <c r="CSV1" s="301"/>
      <c r="CSW1" s="301"/>
      <c r="CSX1" s="301"/>
      <c r="CSY1" s="301"/>
      <c r="CSZ1" s="301"/>
      <c r="CTA1" s="301"/>
      <c r="CTB1" s="301"/>
      <c r="CTC1" s="301"/>
      <c r="CTD1" s="301"/>
      <c r="CTE1" s="301"/>
      <c r="CTF1" s="301"/>
      <c r="CTG1" s="301"/>
      <c r="CTH1" s="301"/>
      <c r="CTI1" s="301"/>
      <c r="CTJ1" s="301"/>
      <c r="CTK1" s="301"/>
      <c r="CTL1" s="301"/>
      <c r="CTM1" s="301"/>
      <c r="CTN1" s="301"/>
      <c r="CTO1" s="301"/>
      <c r="CTP1" s="301"/>
      <c r="CTQ1" s="301"/>
      <c r="CTR1" s="301"/>
      <c r="CTS1" s="301"/>
      <c r="CTT1" s="301"/>
      <c r="CTU1" s="301"/>
      <c r="CTV1" s="301"/>
      <c r="CTW1" s="301"/>
      <c r="CTX1" s="301"/>
      <c r="CTY1" s="301"/>
      <c r="CTZ1" s="301"/>
      <c r="CUA1" s="301"/>
      <c r="CUB1" s="301"/>
      <c r="CUC1" s="301"/>
      <c r="CUD1" s="301"/>
      <c r="CUE1" s="301"/>
      <c r="CUF1" s="301"/>
      <c r="CUG1" s="301"/>
      <c r="CUH1" s="301"/>
      <c r="CUI1" s="301"/>
      <c r="CUJ1" s="301"/>
      <c r="CUK1" s="301"/>
      <c r="CUL1" s="301"/>
      <c r="CUM1" s="301"/>
      <c r="CUN1" s="301"/>
      <c r="CUO1" s="301"/>
      <c r="CUP1" s="301"/>
      <c r="CUQ1" s="301"/>
      <c r="CUR1" s="301"/>
      <c r="CUS1" s="301"/>
      <c r="CUT1" s="301"/>
      <c r="CUU1" s="301"/>
      <c r="CUV1" s="301"/>
      <c r="CUW1" s="301"/>
      <c r="CUX1" s="301"/>
      <c r="CUY1" s="301"/>
      <c r="CUZ1" s="301"/>
      <c r="CVA1" s="301"/>
      <c r="CVB1" s="301"/>
      <c r="CVC1" s="301"/>
      <c r="CVD1" s="301"/>
      <c r="CVE1" s="301"/>
      <c r="CVF1" s="301"/>
      <c r="CVG1" s="301"/>
      <c r="CVH1" s="301"/>
      <c r="CVI1" s="301"/>
      <c r="CVJ1" s="301"/>
      <c r="CVK1" s="301"/>
      <c r="CVL1" s="301"/>
      <c r="CVM1" s="301"/>
      <c r="CVN1" s="301"/>
      <c r="CVO1" s="301"/>
      <c r="CVP1" s="301"/>
      <c r="CVQ1" s="301"/>
      <c r="CVR1" s="301"/>
      <c r="CVS1" s="301"/>
      <c r="CVT1" s="301"/>
      <c r="CVU1" s="301"/>
      <c r="CVV1" s="301"/>
      <c r="CVW1" s="301"/>
      <c r="CVX1" s="301"/>
      <c r="CVY1" s="301"/>
      <c r="CVZ1" s="301"/>
      <c r="CWA1" s="301"/>
      <c r="CWB1" s="301"/>
      <c r="CWC1" s="301"/>
      <c r="CWD1" s="301"/>
      <c r="CWE1" s="301"/>
      <c r="CWF1" s="301"/>
      <c r="CWG1" s="301"/>
      <c r="CWH1" s="301"/>
      <c r="CWI1" s="301"/>
      <c r="CWJ1" s="301"/>
      <c r="CWK1" s="301"/>
      <c r="CWL1" s="301"/>
      <c r="CWM1" s="301"/>
      <c r="CWN1" s="301"/>
      <c r="CWO1" s="301"/>
      <c r="CWP1" s="301"/>
      <c r="CWQ1" s="301"/>
      <c r="CWR1" s="301"/>
      <c r="CWS1" s="301"/>
      <c r="CWT1" s="301"/>
      <c r="CWU1" s="301"/>
      <c r="CWV1" s="301"/>
      <c r="CWW1" s="301"/>
      <c r="CWX1" s="301"/>
      <c r="CWY1" s="301"/>
      <c r="CWZ1" s="301"/>
      <c r="CXA1" s="301"/>
      <c r="CXB1" s="301"/>
      <c r="CXC1" s="301"/>
      <c r="CXD1" s="301"/>
      <c r="CXE1" s="301"/>
      <c r="CXF1" s="301"/>
      <c r="CXG1" s="301"/>
      <c r="CXH1" s="301"/>
      <c r="CXI1" s="301"/>
      <c r="CXJ1" s="301"/>
      <c r="CXK1" s="301"/>
      <c r="CXL1" s="301"/>
      <c r="CXM1" s="301"/>
      <c r="CXN1" s="301"/>
      <c r="CXO1" s="301"/>
      <c r="CXP1" s="301"/>
      <c r="CXQ1" s="301"/>
      <c r="CXR1" s="301"/>
      <c r="CXS1" s="301"/>
      <c r="CXT1" s="301"/>
      <c r="CXU1" s="301"/>
      <c r="CXV1" s="301"/>
      <c r="CXW1" s="301"/>
      <c r="CXX1" s="301"/>
      <c r="CXY1" s="301"/>
      <c r="CXZ1" s="301"/>
      <c r="CYA1" s="301"/>
      <c r="CYB1" s="301"/>
      <c r="CYC1" s="301"/>
      <c r="CYD1" s="301"/>
      <c r="CYE1" s="301"/>
      <c r="CYF1" s="301"/>
      <c r="CYG1" s="301"/>
      <c r="CYH1" s="301"/>
      <c r="CYI1" s="301"/>
      <c r="CYJ1" s="301"/>
      <c r="CYK1" s="301"/>
      <c r="CYL1" s="301"/>
      <c r="CYM1" s="301"/>
      <c r="CYN1" s="301"/>
      <c r="CYO1" s="301"/>
      <c r="CYP1" s="301"/>
      <c r="CYQ1" s="301"/>
      <c r="CYR1" s="301"/>
      <c r="CYS1" s="301"/>
      <c r="CYT1" s="301"/>
      <c r="CYU1" s="301"/>
      <c r="CYV1" s="301"/>
      <c r="CYW1" s="301"/>
      <c r="CYX1" s="301"/>
      <c r="CYY1" s="301"/>
      <c r="CYZ1" s="301"/>
      <c r="CZA1" s="301"/>
      <c r="CZB1" s="301"/>
      <c r="CZC1" s="301"/>
      <c r="CZD1" s="301"/>
      <c r="CZE1" s="301"/>
      <c r="CZF1" s="301"/>
      <c r="CZG1" s="301"/>
      <c r="CZH1" s="301"/>
      <c r="CZI1" s="301"/>
      <c r="CZJ1" s="301"/>
      <c r="CZK1" s="301"/>
      <c r="CZL1" s="301"/>
      <c r="CZM1" s="301"/>
      <c r="CZN1" s="301"/>
      <c r="CZO1" s="301"/>
      <c r="CZP1" s="301"/>
      <c r="CZQ1" s="301"/>
      <c r="CZR1" s="301"/>
      <c r="CZS1" s="301"/>
      <c r="CZT1" s="301"/>
      <c r="CZU1" s="301"/>
      <c r="CZV1" s="301"/>
      <c r="CZW1" s="301"/>
      <c r="CZX1" s="301"/>
      <c r="CZY1" s="301"/>
      <c r="CZZ1" s="301"/>
      <c r="DAA1" s="301"/>
      <c r="DAB1" s="301"/>
      <c r="DAC1" s="301"/>
      <c r="DAD1" s="301"/>
      <c r="DAE1" s="301"/>
      <c r="DAF1" s="301"/>
      <c r="DAG1" s="301"/>
      <c r="DAH1" s="301"/>
      <c r="DAI1" s="301"/>
      <c r="DAJ1" s="301"/>
      <c r="DAK1" s="301"/>
      <c r="DAL1" s="301"/>
      <c r="DAM1" s="301"/>
      <c r="DAN1" s="301"/>
      <c r="DAO1" s="301"/>
      <c r="DAP1" s="301"/>
      <c r="DAQ1" s="301"/>
      <c r="DAR1" s="301"/>
      <c r="DAS1" s="301"/>
      <c r="DAT1" s="301"/>
      <c r="DAU1" s="301"/>
      <c r="DAV1" s="301"/>
      <c r="DAW1" s="301"/>
      <c r="DAX1" s="301"/>
      <c r="DAY1" s="301"/>
      <c r="DAZ1" s="301"/>
      <c r="DBA1" s="301"/>
      <c r="DBB1" s="301"/>
      <c r="DBC1" s="301"/>
      <c r="DBD1" s="301"/>
      <c r="DBE1" s="301"/>
      <c r="DBF1" s="301"/>
      <c r="DBG1" s="301"/>
      <c r="DBH1" s="301"/>
      <c r="DBI1" s="301"/>
      <c r="DBJ1" s="301"/>
      <c r="DBK1" s="301"/>
      <c r="DBL1" s="301"/>
      <c r="DBM1" s="301"/>
      <c r="DBN1" s="301"/>
      <c r="DBO1" s="301"/>
      <c r="DBP1" s="301"/>
      <c r="DBQ1" s="301"/>
      <c r="DBR1" s="301"/>
      <c r="DBS1" s="301"/>
      <c r="DBT1" s="301"/>
      <c r="DBU1" s="301"/>
      <c r="DBV1" s="301"/>
      <c r="DBW1" s="301"/>
      <c r="DBX1" s="301"/>
      <c r="DBY1" s="301"/>
      <c r="DBZ1" s="301"/>
      <c r="DCA1" s="301"/>
      <c r="DCB1" s="301"/>
      <c r="DCC1" s="301"/>
      <c r="DCD1" s="301"/>
      <c r="DCE1" s="301"/>
      <c r="DCF1" s="301"/>
      <c r="DCG1" s="301"/>
      <c r="DCH1" s="301"/>
      <c r="DCI1" s="301"/>
      <c r="DCJ1" s="301"/>
      <c r="DCK1" s="301"/>
      <c r="DCL1" s="301"/>
      <c r="DCM1" s="301"/>
      <c r="DCN1" s="301"/>
      <c r="DCO1" s="301"/>
      <c r="DCP1" s="301"/>
      <c r="DCQ1" s="301"/>
      <c r="DCR1" s="301"/>
      <c r="DCS1" s="301"/>
      <c r="DCT1" s="301"/>
      <c r="DCU1" s="301"/>
      <c r="DCV1" s="301"/>
      <c r="DCW1" s="301"/>
      <c r="DCX1" s="301"/>
      <c r="DCY1" s="301"/>
      <c r="DCZ1" s="301"/>
      <c r="DDA1" s="301"/>
      <c r="DDB1" s="301"/>
      <c r="DDC1" s="301"/>
      <c r="DDD1" s="301"/>
      <c r="DDE1" s="301"/>
      <c r="DDF1" s="301"/>
      <c r="DDG1" s="301"/>
      <c r="DDH1" s="301"/>
      <c r="DDI1" s="301"/>
      <c r="DDJ1" s="301"/>
      <c r="DDK1" s="301"/>
      <c r="DDL1" s="301"/>
      <c r="DDM1" s="301"/>
      <c r="DDN1" s="301"/>
      <c r="DDO1" s="301"/>
      <c r="DDP1" s="301"/>
      <c r="DDQ1" s="301"/>
      <c r="DDR1" s="301"/>
      <c r="DDS1" s="301"/>
      <c r="DDT1" s="301"/>
      <c r="DDU1" s="301"/>
      <c r="DDV1" s="301"/>
      <c r="DDW1" s="301"/>
      <c r="DDX1" s="301"/>
      <c r="DDY1" s="301"/>
      <c r="DDZ1" s="301"/>
      <c r="DEA1" s="301"/>
      <c r="DEB1" s="301"/>
      <c r="DEC1" s="301"/>
      <c r="DED1" s="301"/>
      <c r="DEE1" s="301"/>
      <c r="DEF1" s="301"/>
      <c r="DEG1" s="301"/>
      <c r="DEH1" s="301"/>
      <c r="DEI1" s="301"/>
      <c r="DEJ1" s="301"/>
      <c r="DEK1" s="301"/>
      <c r="DEL1" s="301"/>
      <c r="DEM1" s="301"/>
      <c r="DEN1" s="301"/>
      <c r="DEO1" s="301"/>
      <c r="DEP1" s="301"/>
      <c r="DEQ1" s="301"/>
      <c r="DER1" s="301"/>
      <c r="DES1" s="301"/>
      <c r="DET1" s="301"/>
      <c r="DEU1" s="301"/>
      <c r="DEV1" s="301"/>
      <c r="DEW1" s="301"/>
      <c r="DEX1" s="301"/>
      <c r="DEY1" s="301"/>
      <c r="DEZ1" s="301"/>
      <c r="DFA1" s="301"/>
      <c r="DFB1" s="301"/>
      <c r="DFC1" s="301"/>
      <c r="DFD1" s="301"/>
      <c r="DFE1" s="301"/>
      <c r="DFF1" s="301"/>
      <c r="DFG1" s="301"/>
      <c r="DFH1" s="301"/>
      <c r="DFI1" s="301"/>
      <c r="DFJ1" s="301"/>
      <c r="DFK1" s="301"/>
      <c r="DFL1" s="301"/>
      <c r="DFM1" s="301"/>
      <c r="DFN1" s="301"/>
      <c r="DFO1" s="301"/>
      <c r="DFP1" s="301"/>
      <c r="DFQ1" s="301"/>
      <c r="DFR1" s="301"/>
      <c r="DFS1" s="301"/>
      <c r="DFT1" s="301"/>
      <c r="DFU1" s="301"/>
      <c r="DFV1" s="301"/>
      <c r="DFW1" s="301"/>
      <c r="DFX1" s="301"/>
      <c r="DFY1" s="301"/>
      <c r="DFZ1" s="301"/>
      <c r="DGA1" s="301"/>
      <c r="DGB1" s="301"/>
      <c r="DGC1" s="301"/>
      <c r="DGD1" s="301"/>
      <c r="DGE1" s="301"/>
      <c r="DGF1" s="301"/>
      <c r="DGG1" s="301"/>
      <c r="DGH1" s="301"/>
      <c r="DGI1" s="301"/>
      <c r="DGJ1" s="301"/>
      <c r="DGK1" s="301"/>
      <c r="DGL1" s="301"/>
      <c r="DGM1" s="301"/>
      <c r="DGN1" s="301"/>
      <c r="DGO1" s="301"/>
      <c r="DGP1" s="301"/>
      <c r="DGQ1" s="301"/>
      <c r="DGR1" s="301"/>
      <c r="DGS1" s="301"/>
      <c r="DGT1" s="301"/>
      <c r="DGU1" s="301"/>
      <c r="DGV1" s="301"/>
      <c r="DGW1" s="301"/>
      <c r="DGX1" s="301"/>
      <c r="DGY1" s="301"/>
      <c r="DGZ1" s="301"/>
      <c r="DHA1" s="301"/>
      <c r="DHB1" s="301"/>
      <c r="DHC1" s="301"/>
      <c r="DHD1" s="301"/>
      <c r="DHE1" s="301"/>
      <c r="DHF1" s="301"/>
      <c r="DHG1" s="301"/>
      <c r="DHH1" s="301"/>
      <c r="DHI1" s="301"/>
      <c r="DHJ1" s="301"/>
      <c r="DHK1" s="301"/>
      <c r="DHL1" s="301"/>
      <c r="DHM1" s="301"/>
      <c r="DHN1" s="301"/>
      <c r="DHO1" s="301"/>
      <c r="DHP1" s="301"/>
      <c r="DHQ1" s="301"/>
      <c r="DHR1" s="301"/>
      <c r="DHS1" s="301"/>
      <c r="DHT1" s="301"/>
      <c r="DHU1" s="301"/>
      <c r="DHV1" s="301"/>
      <c r="DHW1" s="301"/>
      <c r="DHX1" s="301"/>
      <c r="DHY1" s="301"/>
      <c r="DHZ1" s="301"/>
      <c r="DIA1" s="301"/>
      <c r="DIB1" s="301"/>
      <c r="DIC1" s="301"/>
      <c r="DID1" s="301"/>
      <c r="DIE1" s="301"/>
      <c r="DIF1" s="301"/>
      <c r="DIG1" s="301"/>
      <c r="DIH1" s="301"/>
      <c r="DII1" s="301"/>
      <c r="DIJ1" s="301"/>
      <c r="DIK1" s="301"/>
      <c r="DIL1" s="301"/>
      <c r="DIM1" s="301"/>
      <c r="DIN1" s="301"/>
      <c r="DIO1" s="301"/>
      <c r="DIP1" s="301"/>
      <c r="DIQ1" s="301"/>
      <c r="DIR1" s="301"/>
      <c r="DIS1" s="301"/>
      <c r="DIT1" s="301"/>
      <c r="DIU1" s="301"/>
      <c r="DIV1" s="301"/>
      <c r="DIW1" s="301"/>
      <c r="DIX1" s="301"/>
      <c r="DIY1" s="301"/>
      <c r="DIZ1" s="301"/>
      <c r="DJA1" s="301"/>
      <c r="DJB1" s="301"/>
      <c r="DJC1" s="301"/>
      <c r="DJD1" s="301"/>
      <c r="DJE1" s="301"/>
      <c r="DJF1" s="301"/>
      <c r="DJG1" s="301"/>
      <c r="DJH1" s="301"/>
      <c r="DJI1" s="301"/>
      <c r="DJJ1" s="301"/>
      <c r="DJK1" s="301"/>
      <c r="DJL1" s="301"/>
      <c r="DJM1" s="301"/>
      <c r="DJN1" s="301"/>
      <c r="DJO1" s="301"/>
      <c r="DJP1" s="301"/>
      <c r="DJQ1" s="301"/>
      <c r="DJR1" s="301"/>
      <c r="DJS1" s="301"/>
      <c r="DJT1" s="301"/>
      <c r="DJU1" s="301"/>
      <c r="DJV1" s="301"/>
      <c r="DJW1" s="301"/>
      <c r="DJX1" s="301"/>
      <c r="DJY1" s="301"/>
      <c r="DJZ1" s="301"/>
      <c r="DKA1" s="301"/>
      <c r="DKB1" s="301"/>
      <c r="DKC1" s="301"/>
      <c r="DKD1" s="301"/>
      <c r="DKE1" s="301"/>
      <c r="DKF1" s="301"/>
      <c r="DKG1" s="301"/>
      <c r="DKH1" s="301"/>
      <c r="DKI1" s="301"/>
      <c r="DKJ1" s="301"/>
      <c r="DKK1" s="301"/>
      <c r="DKL1" s="301"/>
      <c r="DKM1" s="301"/>
      <c r="DKN1" s="301"/>
      <c r="DKO1" s="301"/>
      <c r="DKP1" s="301"/>
      <c r="DKQ1" s="301"/>
      <c r="DKR1" s="301"/>
      <c r="DKS1" s="301"/>
      <c r="DKT1" s="301"/>
      <c r="DKU1" s="301"/>
      <c r="DKV1" s="301"/>
      <c r="DKW1" s="301"/>
      <c r="DKX1" s="301"/>
      <c r="DKY1" s="301"/>
      <c r="DKZ1" s="301"/>
      <c r="DLA1" s="301"/>
      <c r="DLB1" s="301"/>
      <c r="DLC1" s="301"/>
      <c r="DLD1" s="301"/>
      <c r="DLE1" s="301"/>
      <c r="DLF1" s="301"/>
      <c r="DLG1" s="301"/>
      <c r="DLH1" s="301"/>
      <c r="DLI1" s="301"/>
      <c r="DLJ1" s="301"/>
      <c r="DLK1" s="301"/>
      <c r="DLL1" s="301"/>
      <c r="DLM1" s="301"/>
      <c r="DLN1" s="301"/>
      <c r="DLO1" s="301"/>
      <c r="DLP1" s="301"/>
      <c r="DLQ1" s="301"/>
      <c r="DLR1" s="301"/>
      <c r="DLS1" s="301"/>
      <c r="DLT1" s="301"/>
      <c r="DLU1" s="301"/>
      <c r="DLV1" s="301"/>
      <c r="DLW1" s="301"/>
      <c r="DLX1" s="301"/>
      <c r="DLY1" s="301"/>
      <c r="DLZ1" s="301"/>
      <c r="DMA1" s="301"/>
      <c r="DMB1" s="301"/>
      <c r="DMC1" s="301"/>
      <c r="DMD1" s="301"/>
      <c r="DME1" s="301"/>
      <c r="DMF1" s="301"/>
      <c r="DMG1" s="301"/>
      <c r="DMH1" s="301"/>
      <c r="DMI1" s="301"/>
      <c r="DMJ1" s="301"/>
      <c r="DMK1" s="301"/>
      <c r="DML1" s="301"/>
      <c r="DMM1" s="301"/>
      <c r="DMN1" s="301"/>
      <c r="DMO1" s="301"/>
      <c r="DMP1" s="301"/>
      <c r="DMQ1" s="301"/>
      <c r="DMR1" s="301"/>
      <c r="DMS1" s="301"/>
      <c r="DMT1" s="301"/>
      <c r="DMU1" s="301"/>
      <c r="DMV1" s="301"/>
      <c r="DMW1" s="301"/>
      <c r="DMX1" s="301"/>
      <c r="DMY1" s="301"/>
      <c r="DMZ1" s="301"/>
      <c r="DNA1" s="301"/>
      <c r="DNB1" s="301"/>
      <c r="DNC1" s="301"/>
      <c r="DND1" s="301"/>
      <c r="DNE1" s="301"/>
      <c r="DNF1" s="301"/>
      <c r="DNG1" s="301"/>
      <c r="DNH1" s="301"/>
      <c r="DNI1" s="301"/>
      <c r="DNJ1" s="301"/>
      <c r="DNK1" s="301"/>
      <c r="DNL1" s="301"/>
      <c r="DNM1" s="301"/>
      <c r="DNN1" s="301"/>
      <c r="DNO1" s="301"/>
      <c r="DNP1" s="301"/>
      <c r="DNQ1" s="301"/>
      <c r="DNR1" s="301"/>
      <c r="DNS1" s="301"/>
      <c r="DNT1" s="301"/>
      <c r="DNU1" s="301"/>
      <c r="DNV1" s="301"/>
      <c r="DNW1" s="301"/>
      <c r="DNX1" s="301"/>
      <c r="DNY1" s="301"/>
      <c r="DNZ1" s="301"/>
      <c r="DOA1" s="301"/>
      <c r="DOB1" s="301"/>
      <c r="DOC1" s="301"/>
      <c r="DOD1" s="301"/>
      <c r="DOE1" s="301"/>
      <c r="DOF1" s="301"/>
      <c r="DOG1" s="301"/>
      <c r="DOH1" s="301"/>
      <c r="DOI1" s="301"/>
      <c r="DOJ1" s="301"/>
      <c r="DOK1" s="301"/>
      <c r="DOL1" s="301"/>
      <c r="DOM1" s="301"/>
      <c r="DON1" s="301"/>
      <c r="DOO1" s="301"/>
      <c r="DOP1" s="301"/>
      <c r="DOQ1" s="301"/>
      <c r="DOR1" s="301"/>
      <c r="DOS1" s="301"/>
      <c r="DOT1" s="301"/>
      <c r="DOU1" s="301"/>
      <c r="DOV1" s="301"/>
      <c r="DOW1" s="301"/>
      <c r="DOX1" s="301"/>
      <c r="DOY1" s="301"/>
      <c r="DOZ1" s="301"/>
      <c r="DPA1" s="301"/>
      <c r="DPB1" s="301"/>
      <c r="DPC1" s="301"/>
      <c r="DPD1" s="301"/>
      <c r="DPE1" s="301"/>
      <c r="DPF1" s="301"/>
      <c r="DPG1" s="301"/>
      <c r="DPH1" s="301"/>
      <c r="DPI1" s="301"/>
      <c r="DPJ1" s="301"/>
      <c r="DPK1" s="301"/>
      <c r="DPL1" s="301"/>
      <c r="DPM1" s="301"/>
      <c r="DPN1" s="301"/>
      <c r="DPO1" s="301"/>
      <c r="DPP1" s="301"/>
      <c r="DPQ1" s="301"/>
      <c r="DPR1" s="301"/>
      <c r="DPS1" s="301"/>
      <c r="DPT1" s="301"/>
      <c r="DPU1" s="301"/>
      <c r="DPV1" s="301"/>
      <c r="DPW1" s="301"/>
      <c r="DPX1" s="301"/>
      <c r="DPY1" s="301"/>
      <c r="DPZ1" s="301"/>
      <c r="DQA1" s="301"/>
      <c r="DQB1" s="301"/>
      <c r="DQC1" s="301"/>
      <c r="DQD1" s="301"/>
      <c r="DQE1" s="301"/>
      <c r="DQF1" s="301"/>
      <c r="DQG1" s="301"/>
      <c r="DQH1" s="301"/>
      <c r="DQI1" s="301"/>
      <c r="DQJ1" s="301"/>
      <c r="DQK1" s="301"/>
      <c r="DQL1" s="301"/>
      <c r="DQM1" s="301"/>
      <c r="DQN1" s="301"/>
      <c r="DQO1" s="301"/>
      <c r="DQP1" s="301"/>
      <c r="DQQ1" s="301"/>
      <c r="DQR1" s="301"/>
      <c r="DQS1" s="301"/>
      <c r="DQT1" s="301"/>
      <c r="DQU1" s="301"/>
      <c r="DQV1" s="301"/>
      <c r="DQW1" s="301"/>
      <c r="DQX1" s="301"/>
      <c r="DQY1" s="301"/>
      <c r="DQZ1" s="301"/>
      <c r="DRA1" s="301"/>
      <c r="DRB1" s="301"/>
      <c r="DRC1" s="301"/>
      <c r="DRD1" s="301"/>
      <c r="DRE1" s="301"/>
      <c r="DRF1" s="301"/>
      <c r="DRG1" s="301"/>
      <c r="DRH1" s="301"/>
      <c r="DRI1" s="301"/>
      <c r="DRJ1" s="301"/>
      <c r="DRK1" s="301"/>
      <c r="DRL1" s="301"/>
      <c r="DRM1" s="301"/>
      <c r="DRN1" s="301"/>
      <c r="DRO1" s="301"/>
      <c r="DRP1" s="301"/>
      <c r="DRQ1" s="301"/>
      <c r="DRR1" s="301"/>
      <c r="DRS1" s="301"/>
      <c r="DRT1" s="301"/>
      <c r="DRU1" s="301"/>
      <c r="DRV1" s="301"/>
      <c r="DRW1" s="301"/>
      <c r="DRX1" s="301"/>
      <c r="DRY1" s="301"/>
      <c r="DRZ1" s="301"/>
      <c r="DSA1" s="301"/>
      <c r="DSB1" s="301"/>
      <c r="DSC1" s="301"/>
      <c r="DSD1" s="301"/>
      <c r="DSE1" s="301"/>
      <c r="DSF1" s="301"/>
      <c r="DSG1" s="301"/>
      <c r="DSH1" s="301"/>
      <c r="DSI1" s="301"/>
      <c r="DSJ1" s="301"/>
      <c r="DSK1" s="301"/>
      <c r="DSL1" s="301"/>
      <c r="DSM1" s="301"/>
      <c r="DSN1" s="301"/>
      <c r="DSO1" s="301"/>
      <c r="DSP1" s="301"/>
      <c r="DSQ1" s="301"/>
      <c r="DSR1" s="301"/>
      <c r="DSS1" s="301"/>
      <c r="DST1" s="301"/>
      <c r="DSU1" s="301"/>
      <c r="DSV1" s="301"/>
      <c r="DSW1" s="301"/>
      <c r="DSX1" s="301"/>
      <c r="DSY1" s="301"/>
      <c r="DSZ1" s="301"/>
      <c r="DTA1" s="301"/>
      <c r="DTB1" s="301"/>
      <c r="DTC1" s="301"/>
      <c r="DTD1" s="301"/>
      <c r="DTE1" s="301"/>
      <c r="DTF1" s="301"/>
      <c r="DTG1" s="301"/>
      <c r="DTH1" s="301"/>
      <c r="DTI1" s="301"/>
      <c r="DTJ1" s="301"/>
      <c r="DTK1" s="301"/>
      <c r="DTL1" s="301"/>
      <c r="DTM1" s="301"/>
      <c r="DTN1" s="301"/>
      <c r="DTO1" s="301"/>
      <c r="DTP1" s="301"/>
      <c r="DTQ1" s="301"/>
      <c r="DTR1" s="301"/>
      <c r="DTS1" s="301"/>
      <c r="DTT1" s="301"/>
      <c r="DTU1" s="301"/>
      <c r="DTV1" s="301"/>
      <c r="DTW1" s="301"/>
      <c r="DTX1" s="301"/>
      <c r="DTY1" s="301"/>
      <c r="DTZ1" s="301"/>
      <c r="DUA1" s="301"/>
      <c r="DUB1" s="301"/>
      <c r="DUC1" s="301"/>
      <c r="DUD1" s="301"/>
      <c r="DUE1" s="301"/>
      <c r="DUF1" s="301"/>
      <c r="DUG1" s="301"/>
      <c r="DUH1" s="301"/>
      <c r="DUI1" s="301"/>
      <c r="DUJ1" s="301"/>
      <c r="DUK1" s="301"/>
      <c r="DUL1" s="301"/>
      <c r="DUM1" s="301"/>
      <c r="DUN1" s="301"/>
      <c r="DUO1" s="301"/>
      <c r="DUP1" s="301"/>
      <c r="DUQ1" s="301"/>
      <c r="DUR1" s="301"/>
      <c r="DUS1" s="301"/>
      <c r="DUT1" s="301"/>
      <c r="DUU1" s="301"/>
      <c r="DUV1" s="301"/>
      <c r="DUW1" s="301"/>
      <c r="DUX1" s="301"/>
      <c r="DUY1" s="301"/>
      <c r="DUZ1" s="301"/>
      <c r="DVA1" s="301"/>
      <c r="DVB1" s="301"/>
      <c r="DVC1" s="301"/>
      <c r="DVD1" s="301"/>
      <c r="DVE1" s="301"/>
      <c r="DVF1" s="301"/>
      <c r="DVG1" s="301"/>
      <c r="DVH1" s="301"/>
      <c r="DVI1" s="301"/>
      <c r="DVJ1" s="301"/>
      <c r="DVK1" s="301"/>
      <c r="DVL1" s="301"/>
      <c r="DVM1" s="301"/>
      <c r="DVN1" s="301"/>
      <c r="DVO1" s="301"/>
      <c r="DVP1" s="301"/>
      <c r="DVQ1" s="301"/>
      <c r="DVR1" s="301"/>
      <c r="DVS1" s="301"/>
      <c r="DVT1" s="301"/>
      <c r="DVU1" s="301"/>
      <c r="DVV1" s="301"/>
      <c r="DVW1" s="301"/>
      <c r="DVX1" s="301"/>
      <c r="DVY1" s="301"/>
      <c r="DVZ1" s="301"/>
      <c r="DWA1" s="301"/>
      <c r="DWB1" s="301"/>
      <c r="DWC1" s="301"/>
      <c r="DWD1" s="301"/>
      <c r="DWE1" s="301"/>
      <c r="DWF1" s="301"/>
      <c r="DWG1" s="301"/>
      <c r="DWH1" s="301"/>
      <c r="DWI1" s="301"/>
      <c r="DWJ1" s="301"/>
      <c r="DWK1" s="301"/>
      <c r="DWL1" s="301"/>
      <c r="DWM1" s="301"/>
      <c r="DWN1" s="301"/>
      <c r="DWO1" s="301"/>
      <c r="DWP1" s="301"/>
      <c r="DWQ1" s="301"/>
      <c r="DWR1" s="301"/>
      <c r="DWS1" s="301"/>
      <c r="DWT1" s="301"/>
      <c r="DWU1" s="301"/>
      <c r="DWV1" s="301"/>
      <c r="DWW1" s="301"/>
      <c r="DWX1" s="301"/>
      <c r="DWY1" s="301"/>
      <c r="DWZ1" s="301"/>
      <c r="DXA1" s="301"/>
      <c r="DXB1" s="301"/>
      <c r="DXC1" s="301"/>
      <c r="DXD1" s="301"/>
      <c r="DXE1" s="301"/>
      <c r="DXF1" s="301"/>
      <c r="DXG1" s="301"/>
      <c r="DXH1" s="301"/>
      <c r="DXI1" s="301"/>
      <c r="DXJ1" s="301"/>
      <c r="DXK1" s="301"/>
      <c r="DXL1" s="301"/>
      <c r="DXM1" s="301"/>
      <c r="DXN1" s="301"/>
      <c r="DXO1" s="301"/>
      <c r="DXP1" s="301"/>
      <c r="DXQ1" s="301"/>
      <c r="DXR1" s="301"/>
      <c r="DXS1" s="301"/>
      <c r="DXT1" s="301"/>
      <c r="DXU1" s="301"/>
      <c r="DXV1" s="301"/>
      <c r="DXW1" s="301"/>
      <c r="DXX1" s="301"/>
      <c r="DXY1" s="301"/>
      <c r="DXZ1" s="301"/>
      <c r="DYA1" s="301"/>
      <c r="DYB1" s="301"/>
      <c r="DYC1" s="301"/>
      <c r="DYD1" s="301"/>
      <c r="DYE1" s="301"/>
      <c r="DYF1" s="301"/>
      <c r="DYG1" s="301"/>
      <c r="DYH1" s="301"/>
      <c r="DYI1" s="301"/>
      <c r="DYJ1" s="301"/>
      <c r="DYK1" s="301"/>
      <c r="DYL1" s="301"/>
      <c r="DYM1" s="301"/>
      <c r="DYN1" s="301"/>
      <c r="DYO1" s="301"/>
      <c r="DYP1" s="301"/>
      <c r="DYQ1" s="301"/>
      <c r="DYR1" s="301"/>
      <c r="DYS1" s="301"/>
      <c r="DYT1" s="301"/>
      <c r="DYU1" s="301"/>
      <c r="DYV1" s="301"/>
      <c r="DYW1" s="301"/>
      <c r="DYX1" s="301"/>
      <c r="DYY1" s="301"/>
      <c r="DYZ1" s="301"/>
      <c r="DZA1" s="301"/>
      <c r="DZB1" s="301"/>
      <c r="DZC1" s="301"/>
      <c r="DZD1" s="301"/>
      <c r="DZE1" s="301"/>
      <c r="DZF1" s="301"/>
      <c r="DZG1" s="301"/>
      <c r="DZH1" s="301"/>
      <c r="DZI1" s="301"/>
      <c r="DZJ1" s="301"/>
      <c r="DZK1" s="301"/>
      <c r="DZL1" s="301"/>
      <c r="DZM1" s="301"/>
      <c r="DZN1" s="301"/>
      <c r="DZO1" s="301"/>
      <c r="DZP1" s="301"/>
      <c r="DZQ1" s="301"/>
      <c r="DZR1" s="301"/>
      <c r="DZS1" s="301"/>
      <c r="DZT1" s="301"/>
      <c r="DZU1" s="301"/>
      <c r="DZV1" s="301"/>
      <c r="DZW1" s="301"/>
      <c r="DZX1" s="301"/>
      <c r="DZY1" s="301"/>
      <c r="DZZ1" s="301"/>
      <c r="EAA1" s="301"/>
      <c r="EAB1" s="301"/>
      <c r="EAC1" s="301"/>
      <c r="EAD1" s="301"/>
      <c r="EAE1" s="301"/>
      <c r="EAF1" s="301"/>
      <c r="EAG1" s="301"/>
      <c r="EAH1" s="301"/>
      <c r="EAI1" s="301"/>
      <c r="EAJ1" s="301"/>
      <c r="EAK1" s="301"/>
      <c r="EAL1" s="301"/>
      <c r="EAM1" s="301"/>
      <c r="EAN1" s="301"/>
      <c r="EAO1" s="301"/>
      <c r="EAP1" s="301"/>
      <c r="EAQ1" s="301"/>
      <c r="EAR1" s="301"/>
      <c r="EAS1" s="301"/>
      <c r="EAT1" s="301"/>
      <c r="EAU1" s="301"/>
      <c r="EAV1" s="301"/>
      <c r="EAW1" s="301"/>
      <c r="EAX1" s="301"/>
      <c r="EAY1" s="301"/>
      <c r="EAZ1" s="301"/>
      <c r="EBA1" s="301"/>
      <c r="EBB1" s="301"/>
      <c r="EBC1" s="301"/>
      <c r="EBD1" s="301"/>
      <c r="EBE1" s="301"/>
      <c r="EBF1" s="301"/>
      <c r="EBG1" s="301"/>
      <c r="EBH1" s="301"/>
      <c r="EBI1" s="301"/>
      <c r="EBJ1" s="301"/>
      <c r="EBK1" s="301"/>
      <c r="EBL1" s="301"/>
      <c r="EBM1" s="301"/>
      <c r="EBN1" s="301"/>
      <c r="EBO1" s="301"/>
      <c r="EBP1" s="301"/>
      <c r="EBQ1" s="301"/>
      <c r="EBR1" s="301"/>
      <c r="EBS1" s="301"/>
      <c r="EBT1" s="301"/>
      <c r="EBU1" s="301"/>
      <c r="EBV1" s="301"/>
      <c r="EBW1" s="301"/>
      <c r="EBX1" s="301"/>
      <c r="EBY1" s="301"/>
      <c r="EBZ1" s="301"/>
      <c r="ECA1" s="301"/>
      <c r="ECB1" s="301"/>
      <c r="ECC1" s="301"/>
      <c r="ECD1" s="301"/>
      <c r="ECE1" s="301"/>
      <c r="ECF1" s="301"/>
      <c r="ECG1" s="301"/>
      <c r="ECH1" s="301"/>
      <c r="ECI1" s="301"/>
      <c r="ECJ1" s="301"/>
      <c r="ECK1" s="301"/>
      <c r="ECL1" s="301"/>
      <c r="ECM1" s="301"/>
      <c r="ECN1" s="301"/>
      <c r="ECO1" s="301"/>
      <c r="ECP1" s="301"/>
      <c r="ECQ1" s="301"/>
      <c r="ECR1" s="301"/>
      <c r="ECS1" s="301"/>
      <c r="ECT1" s="301"/>
      <c r="ECU1" s="301"/>
      <c r="ECV1" s="301"/>
      <c r="ECW1" s="301"/>
      <c r="ECX1" s="301"/>
      <c r="ECY1" s="301"/>
      <c r="ECZ1" s="301"/>
      <c r="EDA1" s="301"/>
      <c r="EDB1" s="301"/>
      <c r="EDC1" s="301"/>
      <c r="EDD1" s="301"/>
      <c r="EDE1" s="301"/>
      <c r="EDF1" s="301"/>
      <c r="EDG1" s="301"/>
      <c r="EDH1" s="301"/>
      <c r="EDI1" s="301"/>
      <c r="EDJ1" s="301"/>
      <c r="EDK1" s="301"/>
      <c r="EDL1" s="301"/>
      <c r="EDM1" s="301"/>
      <c r="EDN1" s="301"/>
      <c r="EDO1" s="301"/>
      <c r="EDP1" s="301"/>
      <c r="EDQ1" s="301"/>
      <c r="EDR1" s="301"/>
      <c r="EDS1" s="301"/>
      <c r="EDT1" s="301"/>
      <c r="EDU1" s="301"/>
      <c r="EDV1" s="301"/>
      <c r="EDW1" s="301"/>
      <c r="EDX1" s="301"/>
      <c r="EDY1" s="301"/>
      <c r="EDZ1" s="301"/>
      <c r="EEA1" s="301"/>
      <c r="EEB1" s="301"/>
      <c r="EEC1" s="301"/>
      <c r="EED1" s="301"/>
      <c r="EEE1" s="301"/>
      <c r="EEF1" s="301"/>
      <c r="EEG1" s="301"/>
      <c r="EEH1" s="301"/>
      <c r="EEI1" s="301"/>
      <c r="EEJ1" s="301"/>
      <c r="EEK1" s="301"/>
      <c r="EEL1" s="301"/>
      <c r="EEM1" s="301"/>
      <c r="EEN1" s="301"/>
      <c r="EEO1" s="301"/>
      <c r="EEP1" s="301"/>
      <c r="EEQ1" s="301"/>
      <c r="EER1" s="301"/>
      <c r="EES1" s="301"/>
      <c r="EET1" s="301"/>
      <c r="EEU1" s="301"/>
      <c r="EEV1" s="301"/>
      <c r="EEW1" s="301"/>
      <c r="EEX1" s="301"/>
      <c r="EEY1" s="301"/>
      <c r="EEZ1" s="301"/>
      <c r="EFA1" s="301"/>
      <c r="EFB1" s="301"/>
      <c r="EFC1" s="301"/>
      <c r="EFD1" s="301"/>
      <c r="EFE1" s="301"/>
      <c r="EFF1" s="301"/>
      <c r="EFG1" s="301"/>
      <c r="EFH1" s="301"/>
      <c r="EFI1" s="301"/>
      <c r="EFJ1" s="301"/>
      <c r="EFK1" s="301"/>
      <c r="EFL1" s="301"/>
      <c r="EFM1" s="301"/>
      <c r="EFN1" s="301"/>
      <c r="EFO1" s="301"/>
      <c r="EFP1" s="301"/>
      <c r="EFQ1" s="301"/>
      <c r="EFR1" s="301"/>
      <c r="EFS1" s="301"/>
      <c r="EFT1" s="301"/>
      <c r="EFU1" s="301"/>
      <c r="EFV1" s="301"/>
      <c r="EFW1" s="301"/>
      <c r="EFX1" s="301"/>
      <c r="EFY1" s="301"/>
      <c r="EFZ1" s="301"/>
      <c r="EGA1" s="301"/>
      <c r="EGB1" s="301"/>
      <c r="EGC1" s="301"/>
      <c r="EGD1" s="301"/>
      <c r="EGE1" s="301"/>
      <c r="EGF1" s="301"/>
      <c r="EGG1" s="301"/>
      <c r="EGH1" s="301"/>
      <c r="EGI1" s="301"/>
      <c r="EGJ1" s="301"/>
      <c r="EGK1" s="301"/>
      <c r="EGL1" s="301"/>
      <c r="EGM1" s="301"/>
      <c r="EGN1" s="301"/>
      <c r="EGO1" s="301"/>
      <c r="EGP1" s="301"/>
      <c r="EGQ1" s="301"/>
      <c r="EGR1" s="301"/>
      <c r="EGS1" s="301"/>
      <c r="EGT1" s="301"/>
      <c r="EGU1" s="301"/>
      <c r="EGV1" s="301"/>
      <c r="EGW1" s="301"/>
      <c r="EGX1" s="301"/>
      <c r="EGY1" s="301"/>
      <c r="EGZ1" s="301"/>
      <c r="EHA1" s="301"/>
      <c r="EHB1" s="301"/>
      <c r="EHC1" s="301"/>
      <c r="EHD1" s="301"/>
      <c r="EHE1" s="301"/>
      <c r="EHF1" s="301"/>
      <c r="EHG1" s="301"/>
      <c r="EHH1" s="301"/>
      <c r="EHI1" s="301"/>
      <c r="EHJ1" s="301"/>
      <c r="EHK1" s="301"/>
      <c r="EHL1" s="301"/>
      <c r="EHM1" s="301"/>
      <c r="EHN1" s="301"/>
      <c r="EHO1" s="301"/>
      <c r="EHP1" s="301"/>
      <c r="EHQ1" s="301"/>
      <c r="EHR1" s="301"/>
      <c r="EHS1" s="301"/>
      <c r="EHT1" s="301"/>
      <c r="EHU1" s="301"/>
      <c r="EHV1" s="301"/>
      <c r="EHW1" s="301"/>
      <c r="EHX1" s="301"/>
      <c r="EHY1" s="301"/>
      <c r="EHZ1" s="301"/>
      <c r="EIA1" s="301"/>
      <c r="EIB1" s="301"/>
      <c r="EIC1" s="301"/>
      <c r="EID1" s="301"/>
      <c r="EIE1" s="301"/>
      <c r="EIF1" s="301"/>
      <c r="EIG1" s="301"/>
      <c r="EIH1" s="301"/>
      <c r="EII1" s="301"/>
      <c r="EIJ1" s="301"/>
      <c r="EIK1" s="301"/>
      <c r="EIL1" s="301"/>
      <c r="EIM1" s="301"/>
      <c r="EIN1" s="301"/>
      <c r="EIO1" s="301"/>
      <c r="EIP1" s="301"/>
      <c r="EIQ1" s="301"/>
      <c r="EIR1" s="301"/>
      <c r="EIS1" s="301"/>
      <c r="EIT1" s="301"/>
      <c r="EIU1" s="301"/>
      <c r="EIV1" s="301"/>
      <c r="EIW1" s="301"/>
      <c r="EIX1" s="301"/>
      <c r="EIY1" s="301"/>
      <c r="EIZ1" s="301"/>
      <c r="EJA1" s="301"/>
      <c r="EJB1" s="301"/>
      <c r="EJC1" s="301"/>
      <c r="EJD1" s="301"/>
      <c r="EJE1" s="301"/>
      <c r="EJF1" s="301"/>
      <c r="EJG1" s="301"/>
      <c r="EJH1" s="301"/>
      <c r="EJI1" s="301"/>
      <c r="EJJ1" s="301"/>
      <c r="EJK1" s="301"/>
      <c r="EJL1" s="301"/>
      <c r="EJM1" s="301"/>
      <c r="EJN1" s="301"/>
      <c r="EJO1" s="301"/>
      <c r="EJP1" s="301"/>
      <c r="EJQ1" s="301"/>
      <c r="EJR1" s="301"/>
      <c r="EJS1" s="301"/>
      <c r="EJT1" s="301"/>
      <c r="EJU1" s="301"/>
      <c r="EJV1" s="301"/>
      <c r="EJW1" s="301"/>
      <c r="EJX1" s="301"/>
      <c r="EJY1" s="301"/>
      <c r="EJZ1" s="301"/>
      <c r="EKA1" s="301"/>
      <c r="EKB1" s="301"/>
      <c r="EKC1" s="301"/>
      <c r="EKD1" s="301"/>
      <c r="EKE1" s="301"/>
      <c r="EKF1" s="301"/>
      <c r="EKG1" s="301"/>
      <c r="EKH1" s="301"/>
      <c r="EKI1" s="301"/>
      <c r="EKJ1" s="301"/>
      <c r="EKK1" s="301"/>
      <c r="EKL1" s="301"/>
      <c r="EKM1" s="301"/>
      <c r="EKN1" s="301"/>
      <c r="EKO1" s="301"/>
      <c r="EKP1" s="301"/>
      <c r="EKQ1" s="301"/>
      <c r="EKR1" s="301"/>
      <c r="EKS1" s="301"/>
      <c r="EKT1" s="301"/>
      <c r="EKU1" s="301"/>
      <c r="EKV1" s="301"/>
      <c r="EKW1" s="301"/>
      <c r="EKX1" s="301"/>
      <c r="EKY1" s="301"/>
      <c r="EKZ1" s="301"/>
      <c r="ELA1" s="301"/>
      <c r="ELB1" s="301"/>
      <c r="ELC1" s="301"/>
      <c r="ELD1" s="301"/>
      <c r="ELE1" s="301"/>
      <c r="ELF1" s="301"/>
      <c r="ELG1" s="301"/>
      <c r="ELH1" s="301"/>
      <c r="ELI1" s="301"/>
      <c r="ELJ1" s="301"/>
      <c r="ELK1" s="301"/>
      <c r="ELL1" s="301"/>
      <c r="ELM1" s="301"/>
      <c r="ELN1" s="301"/>
      <c r="ELO1" s="301"/>
      <c r="ELP1" s="301"/>
      <c r="ELQ1" s="301"/>
      <c r="ELR1" s="301"/>
      <c r="ELS1" s="301"/>
      <c r="ELT1" s="301"/>
      <c r="ELU1" s="301"/>
      <c r="ELV1" s="301"/>
      <c r="ELW1" s="301"/>
      <c r="ELX1" s="301"/>
      <c r="ELY1" s="301"/>
      <c r="ELZ1" s="301"/>
      <c r="EMA1" s="301"/>
      <c r="EMB1" s="301"/>
      <c r="EMC1" s="301"/>
      <c r="EMD1" s="301"/>
      <c r="EME1" s="301"/>
      <c r="EMF1" s="301"/>
      <c r="EMG1" s="301"/>
      <c r="EMH1" s="301"/>
      <c r="EMI1" s="301"/>
      <c r="EMJ1" s="301"/>
      <c r="EMK1" s="301"/>
      <c r="EML1" s="301"/>
      <c r="EMM1" s="301"/>
      <c r="EMN1" s="301"/>
      <c r="EMO1" s="301"/>
      <c r="EMP1" s="301"/>
      <c r="EMQ1" s="301"/>
      <c r="EMR1" s="301"/>
      <c r="EMS1" s="301"/>
      <c r="EMT1" s="301"/>
      <c r="EMU1" s="301"/>
      <c r="EMV1" s="301"/>
      <c r="EMW1" s="301"/>
      <c r="EMX1" s="301"/>
      <c r="EMY1" s="301"/>
      <c r="EMZ1" s="301"/>
      <c r="ENA1" s="301"/>
      <c r="ENB1" s="301"/>
      <c r="ENC1" s="301"/>
      <c r="END1" s="301"/>
      <c r="ENE1" s="301"/>
      <c r="ENF1" s="301"/>
      <c r="ENG1" s="301"/>
      <c r="ENH1" s="301"/>
      <c r="ENI1" s="301"/>
      <c r="ENJ1" s="301"/>
      <c r="ENK1" s="301"/>
      <c r="ENL1" s="301"/>
      <c r="ENM1" s="301"/>
      <c r="ENN1" s="301"/>
      <c r="ENO1" s="301"/>
      <c r="ENP1" s="301"/>
      <c r="ENQ1" s="301"/>
      <c r="ENR1" s="301"/>
      <c r="ENS1" s="301"/>
      <c r="ENT1" s="301"/>
      <c r="ENU1" s="301"/>
      <c r="ENV1" s="301"/>
      <c r="ENW1" s="301"/>
      <c r="ENX1" s="301"/>
      <c r="ENY1" s="301"/>
      <c r="ENZ1" s="301"/>
      <c r="EOA1" s="301"/>
      <c r="EOB1" s="301"/>
      <c r="EOC1" s="301"/>
      <c r="EOD1" s="301"/>
      <c r="EOE1" s="301"/>
      <c r="EOF1" s="301"/>
      <c r="EOG1" s="301"/>
      <c r="EOH1" s="301"/>
      <c r="EOI1" s="301"/>
      <c r="EOJ1" s="301"/>
      <c r="EOK1" s="301"/>
      <c r="EOL1" s="301"/>
      <c r="EOM1" s="301"/>
      <c r="EON1" s="301"/>
      <c r="EOO1" s="301"/>
      <c r="EOP1" s="301"/>
      <c r="EOQ1" s="301"/>
      <c r="EOR1" s="301"/>
      <c r="EOS1" s="301"/>
      <c r="EOT1" s="301"/>
      <c r="EOU1" s="301"/>
      <c r="EOV1" s="301"/>
      <c r="EOW1" s="301"/>
      <c r="EOX1" s="301"/>
      <c r="EOY1" s="301"/>
      <c r="EOZ1" s="301"/>
      <c r="EPA1" s="301"/>
      <c r="EPB1" s="301"/>
      <c r="EPC1" s="301"/>
      <c r="EPD1" s="301"/>
      <c r="EPE1" s="301"/>
      <c r="EPF1" s="301"/>
      <c r="EPG1" s="301"/>
      <c r="EPH1" s="301"/>
      <c r="EPI1" s="301"/>
      <c r="EPJ1" s="301"/>
      <c r="EPK1" s="301"/>
      <c r="EPL1" s="301"/>
      <c r="EPM1" s="301"/>
      <c r="EPN1" s="301"/>
      <c r="EPO1" s="301"/>
      <c r="EPP1" s="301"/>
      <c r="EPQ1" s="301"/>
      <c r="EPR1" s="301"/>
      <c r="EPS1" s="301"/>
      <c r="EPT1" s="301"/>
      <c r="EPU1" s="301"/>
      <c r="EPV1" s="301"/>
      <c r="EPW1" s="301"/>
      <c r="EPX1" s="301"/>
      <c r="EPY1" s="301"/>
      <c r="EPZ1" s="301"/>
      <c r="EQA1" s="301"/>
      <c r="EQB1" s="301"/>
      <c r="EQC1" s="301"/>
      <c r="EQD1" s="301"/>
      <c r="EQE1" s="301"/>
      <c r="EQF1" s="301"/>
      <c r="EQG1" s="301"/>
      <c r="EQH1" s="301"/>
      <c r="EQI1" s="301"/>
      <c r="EQJ1" s="301"/>
      <c r="EQK1" s="301"/>
      <c r="EQL1" s="301"/>
      <c r="EQM1" s="301"/>
      <c r="EQN1" s="301"/>
      <c r="EQO1" s="301"/>
      <c r="EQP1" s="301"/>
      <c r="EQQ1" s="301"/>
      <c r="EQR1" s="301"/>
      <c r="EQS1" s="301"/>
      <c r="EQT1" s="301"/>
      <c r="EQU1" s="301"/>
      <c r="EQV1" s="301"/>
      <c r="EQW1" s="301"/>
      <c r="EQX1" s="301"/>
      <c r="EQY1" s="301"/>
      <c r="EQZ1" s="301"/>
      <c r="ERA1" s="301"/>
      <c r="ERB1" s="301"/>
      <c r="ERC1" s="301"/>
      <c r="ERD1" s="301"/>
      <c r="ERE1" s="301"/>
      <c r="ERF1" s="301"/>
      <c r="ERG1" s="301"/>
      <c r="ERH1" s="301"/>
      <c r="ERI1" s="301"/>
      <c r="ERJ1" s="301"/>
      <c r="ERK1" s="301"/>
      <c r="ERL1" s="301"/>
      <c r="ERM1" s="301"/>
      <c r="ERN1" s="301"/>
      <c r="ERO1" s="301"/>
      <c r="ERP1" s="301"/>
      <c r="ERQ1" s="301"/>
      <c r="ERR1" s="301"/>
      <c r="ERS1" s="301"/>
      <c r="ERT1" s="301"/>
      <c r="ERU1" s="301"/>
      <c r="ERV1" s="301"/>
      <c r="ERW1" s="301"/>
      <c r="ERX1" s="301"/>
      <c r="ERY1" s="301"/>
      <c r="ERZ1" s="301"/>
      <c r="ESA1" s="301"/>
      <c r="ESB1" s="301"/>
      <c r="ESC1" s="301"/>
      <c r="ESD1" s="301"/>
      <c r="ESE1" s="301"/>
      <c r="ESF1" s="301"/>
      <c r="ESG1" s="301"/>
      <c r="ESH1" s="301"/>
      <c r="ESI1" s="301"/>
      <c r="ESJ1" s="301"/>
      <c r="ESK1" s="301"/>
      <c r="ESL1" s="301"/>
      <c r="ESM1" s="301"/>
      <c r="ESN1" s="301"/>
      <c r="ESO1" s="301"/>
      <c r="ESP1" s="301"/>
      <c r="ESQ1" s="301"/>
      <c r="ESR1" s="301"/>
      <c r="ESS1" s="301"/>
      <c r="EST1" s="301"/>
      <c r="ESU1" s="301"/>
      <c r="ESV1" s="301"/>
      <c r="ESW1" s="301"/>
      <c r="ESX1" s="301"/>
      <c r="ESY1" s="301"/>
      <c r="ESZ1" s="301"/>
      <c r="ETA1" s="301"/>
      <c r="ETB1" s="301"/>
      <c r="ETC1" s="301"/>
      <c r="ETD1" s="301"/>
      <c r="ETE1" s="301"/>
      <c r="ETF1" s="301"/>
      <c r="ETG1" s="301"/>
      <c r="ETH1" s="301"/>
      <c r="ETI1" s="301"/>
      <c r="ETJ1" s="301"/>
      <c r="ETK1" s="301"/>
      <c r="ETL1" s="301"/>
      <c r="ETM1" s="301"/>
      <c r="ETN1" s="301"/>
      <c r="ETO1" s="301"/>
      <c r="ETP1" s="301"/>
      <c r="ETQ1" s="301"/>
      <c r="ETR1" s="301"/>
      <c r="ETS1" s="301"/>
      <c r="ETT1" s="301"/>
      <c r="ETU1" s="301"/>
      <c r="ETV1" s="301"/>
      <c r="ETW1" s="301"/>
      <c r="ETX1" s="301"/>
      <c r="ETY1" s="301"/>
      <c r="ETZ1" s="301"/>
      <c r="EUA1" s="301"/>
      <c r="EUB1" s="301"/>
      <c r="EUC1" s="301"/>
      <c r="EUD1" s="301"/>
      <c r="EUE1" s="301"/>
      <c r="EUF1" s="301"/>
      <c r="EUG1" s="301"/>
      <c r="EUH1" s="301"/>
      <c r="EUI1" s="301"/>
      <c r="EUJ1" s="301"/>
      <c r="EUK1" s="301"/>
      <c r="EUL1" s="301"/>
      <c r="EUM1" s="301"/>
      <c r="EUN1" s="301"/>
      <c r="EUO1" s="301"/>
      <c r="EUP1" s="301"/>
      <c r="EUQ1" s="301"/>
      <c r="EUR1" s="301"/>
      <c r="EUS1" s="301"/>
      <c r="EUT1" s="301"/>
      <c r="EUU1" s="301"/>
      <c r="EUV1" s="301"/>
      <c r="EUW1" s="301"/>
      <c r="EUX1" s="301"/>
      <c r="EUY1" s="301"/>
      <c r="EUZ1" s="301"/>
      <c r="EVA1" s="301"/>
      <c r="EVB1" s="301"/>
      <c r="EVC1" s="301"/>
      <c r="EVD1" s="301"/>
      <c r="EVE1" s="301"/>
      <c r="EVF1" s="301"/>
      <c r="EVG1" s="301"/>
      <c r="EVH1" s="301"/>
      <c r="EVI1" s="301"/>
      <c r="EVJ1" s="301"/>
      <c r="EVK1" s="301"/>
      <c r="EVL1" s="301"/>
      <c r="EVM1" s="301"/>
      <c r="EVN1" s="301"/>
      <c r="EVO1" s="301"/>
      <c r="EVP1" s="301"/>
      <c r="EVQ1" s="301"/>
      <c r="EVR1" s="301"/>
      <c r="EVS1" s="301"/>
      <c r="EVT1" s="301"/>
      <c r="EVU1" s="301"/>
      <c r="EVV1" s="301"/>
      <c r="EVW1" s="301"/>
      <c r="EVX1" s="301"/>
      <c r="EVY1" s="301"/>
      <c r="EVZ1" s="301"/>
      <c r="EWA1" s="301"/>
      <c r="EWB1" s="301"/>
      <c r="EWC1" s="301"/>
      <c r="EWD1" s="301"/>
      <c r="EWE1" s="301"/>
      <c r="EWF1" s="301"/>
      <c r="EWG1" s="301"/>
      <c r="EWH1" s="301"/>
      <c r="EWI1" s="301"/>
      <c r="EWJ1" s="301"/>
      <c r="EWK1" s="301"/>
      <c r="EWL1" s="301"/>
      <c r="EWM1" s="301"/>
      <c r="EWN1" s="301"/>
      <c r="EWO1" s="301"/>
      <c r="EWP1" s="301"/>
      <c r="EWQ1" s="301"/>
      <c r="EWR1" s="301"/>
      <c r="EWS1" s="301"/>
      <c r="EWT1" s="301"/>
      <c r="EWU1" s="301"/>
      <c r="EWV1" s="301"/>
      <c r="EWW1" s="301"/>
      <c r="EWX1" s="301"/>
      <c r="EWY1" s="301"/>
      <c r="EWZ1" s="301"/>
      <c r="EXA1" s="301"/>
      <c r="EXB1" s="301"/>
      <c r="EXC1" s="301"/>
      <c r="EXD1" s="301"/>
      <c r="EXE1" s="301"/>
      <c r="EXF1" s="301"/>
      <c r="EXG1" s="301"/>
      <c r="EXH1" s="301"/>
      <c r="EXI1" s="301"/>
      <c r="EXJ1" s="301"/>
      <c r="EXK1" s="301"/>
      <c r="EXL1" s="301"/>
      <c r="EXM1" s="301"/>
      <c r="EXN1" s="301"/>
      <c r="EXO1" s="301"/>
      <c r="EXP1" s="301"/>
      <c r="EXQ1" s="301"/>
      <c r="EXR1" s="301"/>
      <c r="EXS1" s="301"/>
      <c r="EXT1" s="301"/>
      <c r="EXU1" s="301"/>
      <c r="EXV1" s="301"/>
      <c r="EXW1" s="301"/>
      <c r="EXX1" s="301"/>
      <c r="EXY1" s="301"/>
      <c r="EXZ1" s="301"/>
      <c r="EYA1" s="301"/>
      <c r="EYB1" s="301"/>
      <c r="EYC1" s="301"/>
      <c r="EYD1" s="301"/>
      <c r="EYE1" s="301"/>
      <c r="EYF1" s="301"/>
      <c r="EYG1" s="301"/>
      <c r="EYH1" s="301"/>
      <c r="EYI1" s="301"/>
      <c r="EYJ1" s="301"/>
      <c r="EYK1" s="301"/>
      <c r="EYL1" s="301"/>
      <c r="EYM1" s="301"/>
      <c r="EYN1" s="301"/>
      <c r="EYO1" s="301"/>
      <c r="EYP1" s="301"/>
      <c r="EYQ1" s="301"/>
      <c r="EYR1" s="301"/>
      <c r="EYS1" s="301"/>
      <c r="EYT1" s="301"/>
      <c r="EYU1" s="301"/>
      <c r="EYV1" s="301"/>
      <c r="EYW1" s="301"/>
      <c r="EYX1" s="301"/>
      <c r="EYY1" s="301"/>
      <c r="EYZ1" s="301"/>
      <c r="EZA1" s="301"/>
      <c r="EZB1" s="301"/>
      <c r="EZC1" s="301"/>
      <c r="EZD1" s="301"/>
      <c r="EZE1" s="301"/>
      <c r="EZF1" s="301"/>
      <c r="EZG1" s="301"/>
      <c r="EZH1" s="301"/>
      <c r="EZI1" s="301"/>
      <c r="EZJ1" s="301"/>
      <c r="EZK1" s="301"/>
      <c r="EZL1" s="301"/>
      <c r="EZM1" s="301"/>
      <c r="EZN1" s="301"/>
      <c r="EZO1" s="301"/>
      <c r="EZP1" s="301"/>
      <c r="EZQ1" s="301"/>
      <c r="EZR1" s="301"/>
      <c r="EZS1" s="301"/>
      <c r="EZT1" s="301"/>
      <c r="EZU1" s="301"/>
      <c r="EZV1" s="301"/>
      <c r="EZW1" s="301"/>
      <c r="EZX1" s="301"/>
      <c r="EZY1" s="301"/>
      <c r="EZZ1" s="301"/>
      <c r="FAA1" s="301"/>
      <c r="FAB1" s="301"/>
      <c r="FAC1" s="301"/>
      <c r="FAD1" s="301"/>
      <c r="FAE1" s="301"/>
      <c r="FAF1" s="301"/>
      <c r="FAG1" s="301"/>
      <c r="FAH1" s="301"/>
      <c r="FAI1" s="301"/>
      <c r="FAJ1" s="301"/>
      <c r="FAK1" s="301"/>
      <c r="FAL1" s="301"/>
      <c r="FAM1" s="301"/>
      <c r="FAN1" s="301"/>
      <c r="FAO1" s="301"/>
      <c r="FAP1" s="301"/>
      <c r="FAQ1" s="301"/>
      <c r="FAR1" s="301"/>
      <c r="FAS1" s="301"/>
      <c r="FAT1" s="301"/>
      <c r="FAU1" s="301"/>
      <c r="FAV1" s="301"/>
      <c r="FAW1" s="301"/>
      <c r="FAX1" s="301"/>
      <c r="FAY1" s="301"/>
      <c r="FAZ1" s="301"/>
      <c r="FBA1" s="301"/>
      <c r="FBB1" s="301"/>
      <c r="FBC1" s="301"/>
      <c r="FBD1" s="301"/>
      <c r="FBE1" s="301"/>
      <c r="FBF1" s="301"/>
      <c r="FBG1" s="301"/>
      <c r="FBH1" s="301"/>
      <c r="FBI1" s="301"/>
      <c r="FBJ1" s="301"/>
      <c r="FBK1" s="301"/>
      <c r="FBL1" s="301"/>
      <c r="FBM1" s="301"/>
      <c r="FBN1" s="301"/>
      <c r="FBO1" s="301"/>
      <c r="FBP1" s="301"/>
      <c r="FBQ1" s="301"/>
      <c r="FBR1" s="301"/>
      <c r="FBS1" s="301"/>
      <c r="FBT1" s="301"/>
      <c r="FBU1" s="301"/>
      <c r="FBV1" s="301"/>
      <c r="FBW1" s="301"/>
      <c r="FBX1" s="301"/>
      <c r="FBY1" s="301"/>
      <c r="FBZ1" s="301"/>
      <c r="FCA1" s="301"/>
      <c r="FCB1" s="301"/>
      <c r="FCC1" s="301"/>
      <c r="FCD1" s="301"/>
      <c r="FCE1" s="301"/>
      <c r="FCF1" s="301"/>
      <c r="FCG1" s="301"/>
      <c r="FCH1" s="301"/>
      <c r="FCI1" s="301"/>
      <c r="FCJ1" s="301"/>
      <c r="FCK1" s="301"/>
      <c r="FCL1" s="301"/>
      <c r="FCM1" s="301"/>
      <c r="FCN1" s="301"/>
      <c r="FCO1" s="301"/>
      <c r="FCP1" s="301"/>
      <c r="FCQ1" s="301"/>
      <c r="FCR1" s="301"/>
      <c r="FCS1" s="301"/>
      <c r="FCT1" s="301"/>
      <c r="FCU1" s="301"/>
      <c r="FCV1" s="301"/>
      <c r="FCW1" s="301"/>
      <c r="FCX1" s="301"/>
      <c r="FCY1" s="301"/>
      <c r="FCZ1" s="301"/>
      <c r="FDA1" s="301"/>
      <c r="FDB1" s="301"/>
      <c r="FDC1" s="301"/>
      <c r="FDD1" s="301"/>
      <c r="FDE1" s="301"/>
      <c r="FDF1" s="301"/>
      <c r="FDG1" s="301"/>
      <c r="FDH1" s="301"/>
      <c r="FDI1" s="301"/>
      <c r="FDJ1" s="301"/>
      <c r="FDK1" s="301"/>
      <c r="FDL1" s="301"/>
      <c r="FDM1" s="301"/>
      <c r="FDN1" s="301"/>
      <c r="FDO1" s="301"/>
      <c r="FDP1" s="301"/>
      <c r="FDQ1" s="301"/>
      <c r="FDR1" s="301"/>
      <c r="FDS1" s="301"/>
      <c r="FDT1" s="301"/>
      <c r="FDU1" s="301"/>
      <c r="FDV1" s="301"/>
      <c r="FDW1" s="301"/>
      <c r="FDX1" s="301"/>
      <c r="FDY1" s="301"/>
      <c r="FDZ1" s="301"/>
      <c r="FEA1" s="301"/>
      <c r="FEB1" s="301"/>
      <c r="FEC1" s="301"/>
      <c r="FED1" s="301"/>
      <c r="FEE1" s="301"/>
      <c r="FEF1" s="301"/>
      <c r="FEG1" s="301"/>
      <c r="FEH1" s="301"/>
      <c r="FEI1" s="301"/>
      <c r="FEJ1" s="301"/>
      <c r="FEK1" s="301"/>
      <c r="FEL1" s="301"/>
      <c r="FEM1" s="301"/>
      <c r="FEN1" s="301"/>
      <c r="FEO1" s="301"/>
      <c r="FEP1" s="301"/>
      <c r="FEQ1" s="301"/>
      <c r="FER1" s="301"/>
      <c r="FES1" s="301"/>
      <c r="FET1" s="301"/>
      <c r="FEU1" s="301"/>
      <c r="FEV1" s="301"/>
      <c r="FEW1" s="301"/>
      <c r="FEX1" s="301"/>
      <c r="FEY1" s="301"/>
      <c r="FEZ1" s="301"/>
      <c r="FFA1" s="301"/>
      <c r="FFB1" s="301"/>
      <c r="FFC1" s="301"/>
      <c r="FFD1" s="301"/>
      <c r="FFE1" s="301"/>
      <c r="FFF1" s="301"/>
      <c r="FFG1" s="301"/>
      <c r="FFH1" s="301"/>
      <c r="FFI1" s="301"/>
      <c r="FFJ1" s="301"/>
      <c r="FFK1" s="301"/>
      <c r="FFL1" s="301"/>
      <c r="FFM1" s="301"/>
      <c r="FFN1" s="301"/>
      <c r="FFO1" s="301"/>
      <c r="FFP1" s="301"/>
      <c r="FFQ1" s="301"/>
      <c r="FFR1" s="301"/>
      <c r="FFS1" s="301"/>
      <c r="FFT1" s="301"/>
      <c r="FFU1" s="301"/>
      <c r="FFV1" s="301"/>
      <c r="FFW1" s="301"/>
      <c r="FFX1" s="301"/>
      <c r="FFY1" s="301"/>
      <c r="FFZ1" s="301"/>
      <c r="FGA1" s="301"/>
      <c r="FGB1" s="301"/>
      <c r="FGC1" s="301"/>
      <c r="FGD1" s="301"/>
      <c r="FGE1" s="301"/>
      <c r="FGF1" s="301"/>
      <c r="FGG1" s="301"/>
      <c r="FGH1" s="301"/>
      <c r="FGI1" s="301"/>
      <c r="FGJ1" s="301"/>
      <c r="FGK1" s="301"/>
      <c r="FGL1" s="301"/>
      <c r="FGM1" s="301"/>
      <c r="FGN1" s="301"/>
      <c r="FGO1" s="301"/>
      <c r="FGP1" s="301"/>
      <c r="FGQ1" s="301"/>
      <c r="FGR1" s="301"/>
      <c r="FGS1" s="301"/>
      <c r="FGT1" s="301"/>
      <c r="FGU1" s="301"/>
      <c r="FGV1" s="301"/>
      <c r="FGW1" s="301"/>
      <c r="FGX1" s="301"/>
      <c r="FGY1" s="301"/>
      <c r="FGZ1" s="301"/>
      <c r="FHA1" s="301"/>
      <c r="FHB1" s="301"/>
      <c r="FHC1" s="301"/>
      <c r="FHD1" s="301"/>
      <c r="FHE1" s="301"/>
      <c r="FHF1" s="301"/>
      <c r="FHG1" s="301"/>
      <c r="FHH1" s="301"/>
      <c r="FHI1" s="301"/>
      <c r="FHJ1" s="301"/>
      <c r="FHK1" s="301"/>
      <c r="FHL1" s="301"/>
      <c r="FHM1" s="301"/>
      <c r="FHN1" s="301"/>
      <c r="FHO1" s="301"/>
      <c r="FHP1" s="301"/>
      <c r="FHQ1" s="301"/>
      <c r="FHR1" s="301"/>
      <c r="FHS1" s="301"/>
      <c r="FHT1" s="301"/>
      <c r="FHU1" s="301"/>
      <c r="FHV1" s="301"/>
      <c r="FHW1" s="301"/>
      <c r="FHX1" s="301"/>
      <c r="FHY1" s="301"/>
      <c r="FHZ1" s="301"/>
      <c r="FIA1" s="301"/>
      <c r="FIB1" s="301"/>
      <c r="FIC1" s="301"/>
      <c r="FID1" s="301"/>
      <c r="FIE1" s="301"/>
      <c r="FIF1" s="301"/>
      <c r="FIG1" s="301"/>
      <c r="FIH1" s="301"/>
      <c r="FII1" s="301"/>
      <c r="FIJ1" s="301"/>
      <c r="FIK1" s="301"/>
      <c r="FIL1" s="301"/>
      <c r="FIM1" s="301"/>
      <c r="FIN1" s="301"/>
      <c r="FIO1" s="301"/>
      <c r="FIP1" s="301"/>
      <c r="FIQ1" s="301"/>
      <c r="FIR1" s="301"/>
      <c r="FIS1" s="301"/>
      <c r="FIT1" s="301"/>
      <c r="FIU1" s="301"/>
      <c r="FIV1" s="301"/>
      <c r="FIW1" s="301"/>
      <c r="FIX1" s="301"/>
      <c r="FIY1" s="301"/>
      <c r="FIZ1" s="301"/>
      <c r="FJA1" s="301"/>
      <c r="FJB1" s="301"/>
      <c r="FJC1" s="301"/>
      <c r="FJD1" s="301"/>
      <c r="FJE1" s="301"/>
      <c r="FJF1" s="301"/>
      <c r="FJG1" s="301"/>
      <c r="FJH1" s="301"/>
      <c r="FJI1" s="301"/>
      <c r="FJJ1" s="301"/>
      <c r="FJK1" s="301"/>
      <c r="FJL1" s="301"/>
      <c r="FJM1" s="301"/>
      <c r="FJN1" s="301"/>
      <c r="FJO1" s="301"/>
      <c r="FJP1" s="301"/>
      <c r="FJQ1" s="301"/>
      <c r="FJR1" s="301"/>
      <c r="FJS1" s="301"/>
      <c r="FJT1" s="301"/>
      <c r="FJU1" s="301"/>
      <c r="FJV1" s="301"/>
      <c r="FJW1" s="301"/>
      <c r="FJX1" s="301"/>
      <c r="FJY1" s="301"/>
      <c r="FJZ1" s="301"/>
      <c r="FKA1" s="301"/>
      <c r="FKB1" s="301"/>
      <c r="FKC1" s="301"/>
      <c r="FKD1" s="301"/>
      <c r="FKE1" s="301"/>
      <c r="FKF1" s="301"/>
      <c r="FKG1" s="301"/>
      <c r="FKH1" s="301"/>
      <c r="FKI1" s="301"/>
      <c r="FKJ1" s="301"/>
      <c r="FKK1" s="301"/>
      <c r="FKL1" s="301"/>
      <c r="FKM1" s="301"/>
      <c r="FKN1" s="301"/>
      <c r="FKO1" s="301"/>
      <c r="FKP1" s="301"/>
      <c r="FKQ1" s="301"/>
      <c r="FKR1" s="301"/>
      <c r="FKS1" s="301"/>
      <c r="FKT1" s="301"/>
      <c r="FKU1" s="301"/>
      <c r="FKV1" s="301"/>
      <c r="FKW1" s="301"/>
      <c r="FKX1" s="301"/>
      <c r="FKY1" s="301"/>
      <c r="FKZ1" s="301"/>
      <c r="FLA1" s="301"/>
      <c r="FLB1" s="301"/>
      <c r="FLC1" s="301"/>
      <c r="FLD1" s="301"/>
      <c r="FLE1" s="301"/>
      <c r="FLF1" s="301"/>
      <c r="FLG1" s="301"/>
      <c r="FLH1" s="301"/>
      <c r="FLI1" s="301"/>
      <c r="FLJ1" s="301"/>
      <c r="FLK1" s="301"/>
      <c r="FLL1" s="301"/>
      <c r="FLM1" s="301"/>
      <c r="FLN1" s="301"/>
      <c r="FLO1" s="301"/>
      <c r="FLP1" s="301"/>
      <c r="FLQ1" s="301"/>
      <c r="FLR1" s="301"/>
      <c r="FLS1" s="301"/>
      <c r="FLT1" s="301"/>
      <c r="FLU1" s="301"/>
      <c r="FLV1" s="301"/>
      <c r="FLW1" s="301"/>
      <c r="FLX1" s="301"/>
      <c r="FLY1" s="301"/>
      <c r="FLZ1" s="301"/>
      <c r="FMA1" s="301"/>
      <c r="FMB1" s="301"/>
      <c r="FMC1" s="301"/>
      <c r="FMD1" s="301"/>
      <c r="FME1" s="301"/>
      <c r="FMF1" s="301"/>
      <c r="FMG1" s="301"/>
      <c r="FMH1" s="301"/>
      <c r="FMI1" s="301"/>
      <c r="FMJ1" s="301"/>
      <c r="FMK1" s="301"/>
      <c r="FML1" s="301"/>
      <c r="FMM1" s="301"/>
      <c r="FMN1" s="301"/>
      <c r="FMO1" s="301"/>
      <c r="FMP1" s="301"/>
      <c r="FMQ1" s="301"/>
      <c r="FMR1" s="301"/>
      <c r="FMS1" s="301"/>
      <c r="FMT1" s="301"/>
      <c r="FMU1" s="301"/>
      <c r="FMV1" s="301"/>
      <c r="FMW1" s="301"/>
      <c r="FMX1" s="301"/>
      <c r="FMY1" s="301"/>
      <c r="FMZ1" s="301"/>
      <c r="FNA1" s="301"/>
      <c r="FNB1" s="301"/>
      <c r="FNC1" s="301"/>
      <c r="FND1" s="301"/>
      <c r="FNE1" s="301"/>
      <c r="FNF1" s="301"/>
      <c r="FNG1" s="301"/>
      <c r="FNH1" s="301"/>
      <c r="FNI1" s="301"/>
      <c r="FNJ1" s="301"/>
      <c r="FNK1" s="301"/>
      <c r="FNL1" s="301"/>
      <c r="FNM1" s="301"/>
      <c r="FNN1" s="301"/>
      <c r="FNO1" s="301"/>
      <c r="FNP1" s="301"/>
      <c r="FNQ1" s="301"/>
      <c r="FNR1" s="301"/>
      <c r="FNS1" s="301"/>
      <c r="FNT1" s="301"/>
      <c r="FNU1" s="301"/>
      <c r="FNV1" s="301"/>
      <c r="FNW1" s="301"/>
      <c r="FNX1" s="301"/>
      <c r="FNY1" s="301"/>
      <c r="FNZ1" s="301"/>
      <c r="FOA1" s="301"/>
      <c r="FOB1" s="301"/>
      <c r="FOC1" s="301"/>
      <c r="FOD1" s="301"/>
      <c r="FOE1" s="301"/>
      <c r="FOF1" s="301"/>
      <c r="FOG1" s="301"/>
      <c r="FOH1" s="301"/>
      <c r="FOI1" s="301"/>
      <c r="FOJ1" s="301"/>
      <c r="FOK1" s="301"/>
      <c r="FOL1" s="301"/>
      <c r="FOM1" s="301"/>
      <c r="FON1" s="301"/>
      <c r="FOO1" s="301"/>
      <c r="FOP1" s="301"/>
      <c r="FOQ1" s="301"/>
      <c r="FOR1" s="301"/>
      <c r="FOS1" s="301"/>
      <c r="FOT1" s="301"/>
      <c r="FOU1" s="301"/>
      <c r="FOV1" s="301"/>
      <c r="FOW1" s="301"/>
      <c r="FOX1" s="301"/>
      <c r="FOY1" s="301"/>
      <c r="FOZ1" s="301"/>
      <c r="FPA1" s="301"/>
      <c r="FPB1" s="301"/>
      <c r="FPC1" s="301"/>
      <c r="FPD1" s="301"/>
      <c r="FPE1" s="301"/>
      <c r="FPF1" s="301"/>
      <c r="FPG1" s="301"/>
      <c r="FPH1" s="301"/>
      <c r="FPI1" s="301"/>
      <c r="FPJ1" s="301"/>
      <c r="FPK1" s="301"/>
      <c r="FPL1" s="301"/>
      <c r="FPM1" s="301"/>
      <c r="FPN1" s="301"/>
      <c r="FPO1" s="301"/>
      <c r="FPP1" s="301"/>
      <c r="FPQ1" s="301"/>
      <c r="FPR1" s="301"/>
      <c r="FPS1" s="301"/>
      <c r="FPT1" s="301"/>
      <c r="FPU1" s="301"/>
      <c r="FPV1" s="301"/>
      <c r="FPW1" s="301"/>
      <c r="FPX1" s="301"/>
      <c r="FPY1" s="301"/>
      <c r="FPZ1" s="301"/>
      <c r="FQA1" s="301"/>
      <c r="FQB1" s="301"/>
      <c r="FQC1" s="301"/>
      <c r="FQD1" s="301"/>
      <c r="FQE1" s="301"/>
      <c r="FQF1" s="301"/>
      <c r="FQG1" s="301"/>
      <c r="FQH1" s="301"/>
      <c r="FQI1" s="301"/>
      <c r="FQJ1" s="301"/>
      <c r="FQK1" s="301"/>
      <c r="FQL1" s="301"/>
      <c r="FQM1" s="301"/>
      <c r="FQN1" s="301"/>
      <c r="FQO1" s="301"/>
      <c r="FQP1" s="301"/>
      <c r="FQQ1" s="301"/>
      <c r="FQR1" s="301"/>
      <c r="FQS1" s="301"/>
      <c r="FQT1" s="301"/>
      <c r="FQU1" s="301"/>
      <c r="FQV1" s="301"/>
      <c r="FQW1" s="301"/>
      <c r="FQX1" s="301"/>
      <c r="FQY1" s="301"/>
      <c r="FQZ1" s="301"/>
      <c r="FRA1" s="301"/>
      <c r="FRB1" s="301"/>
      <c r="FRC1" s="301"/>
      <c r="FRD1" s="301"/>
      <c r="FRE1" s="301"/>
      <c r="FRF1" s="301"/>
      <c r="FRG1" s="301"/>
      <c r="FRH1" s="301"/>
      <c r="FRI1" s="301"/>
      <c r="FRJ1" s="301"/>
      <c r="FRK1" s="301"/>
      <c r="FRL1" s="301"/>
      <c r="FRM1" s="301"/>
      <c r="FRN1" s="301"/>
      <c r="FRO1" s="301"/>
      <c r="FRP1" s="301"/>
      <c r="FRQ1" s="301"/>
      <c r="FRR1" s="301"/>
      <c r="FRS1" s="301"/>
      <c r="FRT1" s="301"/>
      <c r="FRU1" s="301"/>
      <c r="FRV1" s="301"/>
      <c r="FRW1" s="301"/>
      <c r="FRX1" s="301"/>
      <c r="FRY1" s="301"/>
      <c r="FRZ1" s="301"/>
      <c r="FSA1" s="301"/>
      <c r="FSB1" s="301"/>
      <c r="FSC1" s="301"/>
      <c r="FSD1" s="301"/>
      <c r="FSE1" s="301"/>
      <c r="FSF1" s="301"/>
      <c r="FSG1" s="301"/>
      <c r="FSH1" s="301"/>
      <c r="FSI1" s="301"/>
      <c r="FSJ1" s="301"/>
      <c r="FSK1" s="301"/>
      <c r="FSL1" s="301"/>
      <c r="FSM1" s="301"/>
      <c r="FSN1" s="301"/>
      <c r="FSO1" s="301"/>
      <c r="FSP1" s="301"/>
      <c r="FSQ1" s="301"/>
      <c r="FSR1" s="301"/>
      <c r="FSS1" s="301"/>
      <c r="FST1" s="301"/>
      <c r="FSU1" s="301"/>
      <c r="FSV1" s="301"/>
      <c r="FSW1" s="301"/>
      <c r="FSX1" s="301"/>
      <c r="FSY1" s="301"/>
      <c r="FSZ1" s="301"/>
      <c r="FTA1" s="301"/>
      <c r="FTB1" s="301"/>
      <c r="FTC1" s="301"/>
      <c r="FTD1" s="301"/>
      <c r="FTE1" s="301"/>
      <c r="FTF1" s="301"/>
      <c r="FTG1" s="301"/>
      <c r="FTH1" s="301"/>
      <c r="FTI1" s="301"/>
      <c r="FTJ1" s="301"/>
      <c r="FTK1" s="301"/>
      <c r="FTL1" s="301"/>
      <c r="FTM1" s="301"/>
      <c r="FTN1" s="301"/>
      <c r="FTO1" s="301"/>
      <c r="FTP1" s="301"/>
      <c r="FTQ1" s="301"/>
      <c r="FTR1" s="301"/>
      <c r="FTS1" s="301"/>
      <c r="FTT1" s="301"/>
      <c r="FTU1" s="301"/>
      <c r="FTV1" s="301"/>
      <c r="FTW1" s="301"/>
      <c r="FTX1" s="301"/>
      <c r="FTY1" s="301"/>
      <c r="FTZ1" s="301"/>
      <c r="FUA1" s="301"/>
      <c r="FUB1" s="301"/>
      <c r="FUC1" s="301"/>
      <c r="FUD1" s="301"/>
      <c r="FUE1" s="301"/>
      <c r="FUF1" s="301"/>
      <c r="FUG1" s="301"/>
      <c r="FUH1" s="301"/>
      <c r="FUI1" s="301"/>
      <c r="FUJ1" s="301"/>
      <c r="FUK1" s="301"/>
      <c r="FUL1" s="301"/>
      <c r="FUM1" s="301"/>
      <c r="FUN1" s="301"/>
      <c r="FUO1" s="301"/>
      <c r="FUP1" s="301"/>
      <c r="FUQ1" s="301"/>
      <c r="FUR1" s="301"/>
      <c r="FUS1" s="301"/>
      <c r="FUT1" s="301"/>
      <c r="FUU1" s="301"/>
      <c r="FUV1" s="301"/>
      <c r="FUW1" s="301"/>
      <c r="FUX1" s="301"/>
      <c r="FUY1" s="301"/>
      <c r="FUZ1" s="301"/>
      <c r="FVA1" s="301"/>
      <c r="FVB1" s="301"/>
      <c r="FVC1" s="301"/>
      <c r="FVD1" s="301"/>
      <c r="FVE1" s="301"/>
      <c r="FVF1" s="301"/>
      <c r="FVG1" s="301"/>
      <c r="FVH1" s="301"/>
      <c r="FVI1" s="301"/>
      <c r="FVJ1" s="301"/>
      <c r="FVK1" s="301"/>
      <c r="FVL1" s="301"/>
      <c r="FVM1" s="301"/>
      <c r="FVN1" s="301"/>
      <c r="FVO1" s="301"/>
      <c r="FVP1" s="301"/>
      <c r="FVQ1" s="301"/>
      <c r="FVR1" s="301"/>
      <c r="FVS1" s="301"/>
      <c r="FVT1" s="301"/>
      <c r="FVU1" s="301"/>
      <c r="FVV1" s="301"/>
      <c r="FVW1" s="301"/>
      <c r="FVX1" s="301"/>
      <c r="FVY1" s="301"/>
      <c r="FVZ1" s="301"/>
      <c r="FWA1" s="301"/>
      <c r="FWB1" s="301"/>
      <c r="FWC1" s="301"/>
      <c r="FWD1" s="301"/>
      <c r="FWE1" s="301"/>
      <c r="FWF1" s="301"/>
      <c r="FWG1" s="301"/>
      <c r="FWH1" s="301"/>
      <c r="FWI1" s="301"/>
      <c r="FWJ1" s="301"/>
      <c r="FWK1" s="301"/>
      <c r="FWL1" s="301"/>
      <c r="FWM1" s="301"/>
      <c r="FWN1" s="301"/>
      <c r="FWO1" s="301"/>
      <c r="FWP1" s="301"/>
      <c r="FWQ1" s="301"/>
      <c r="FWR1" s="301"/>
      <c r="FWS1" s="301"/>
      <c r="FWT1" s="301"/>
      <c r="FWU1" s="301"/>
      <c r="FWV1" s="301"/>
      <c r="FWW1" s="301"/>
      <c r="FWX1" s="301"/>
      <c r="FWY1" s="301"/>
      <c r="FWZ1" s="301"/>
      <c r="FXA1" s="301"/>
      <c r="FXB1" s="301"/>
      <c r="FXC1" s="301"/>
      <c r="FXD1" s="301"/>
      <c r="FXE1" s="301"/>
      <c r="FXF1" s="301"/>
      <c r="FXG1" s="301"/>
      <c r="FXH1" s="301"/>
      <c r="FXI1" s="301"/>
      <c r="FXJ1" s="301"/>
      <c r="FXK1" s="301"/>
      <c r="FXL1" s="301"/>
      <c r="FXM1" s="301"/>
      <c r="FXN1" s="301"/>
      <c r="FXO1" s="301"/>
      <c r="FXP1" s="301"/>
      <c r="FXQ1" s="301"/>
      <c r="FXR1" s="301"/>
      <c r="FXS1" s="301"/>
      <c r="FXT1" s="301"/>
      <c r="FXU1" s="301"/>
      <c r="FXV1" s="301"/>
      <c r="FXW1" s="301"/>
      <c r="FXX1" s="301"/>
      <c r="FXY1" s="301"/>
      <c r="FXZ1" s="301"/>
      <c r="FYA1" s="301"/>
      <c r="FYB1" s="301"/>
      <c r="FYC1" s="301"/>
      <c r="FYD1" s="301"/>
      <c r="FYE1" s="301"/>
      <c r="FYF1" s="301"/>
      <c r="FYG1" s="301"/>
      <c r="FYH1" s="301"/>
      <c r="FYI1" s="301"/>
      <c r="FYJ1" s="301"/>
      <c r="FYK1" s="301"/>
      <c r="FYL1" s="301"/>
      <c r="FYM1" s="301"/>
      <c r="FYN1" s="301"/>
      <c r="FYO1" s="301"/>
      <c r="FYP1" s="301"/>
      <c r="FYQ1" s="301"/>
      <c r="FYR1" s="301"/>
      <c r="FYS1" s="301"/>
      <c r="FYT1" s="301"/>
      <c r="FYU1" s="301"/>
      <c r="FYV1" s="301"/>
      <c r="FYW1" s="301"/>
      <c r="FYX1" s="301"/>
      <c r="FYY1" s="301"/>
      <c r="FYZ1" s="301"/>
      <c r="FZA1" s="301"/>
      <c r="FZB1" s="301"/>
      <c r="FZC1" s="301"/>
      <c r="FZD1" s="301"/>
      <c r="FZE1" s="301"/>
      <c r="FZF1" s="301"/>
      <c r="FZG1" s="301"/>
      <c r="FZH1" s="301"/>
      <c r="FZI1" s="301"/>
      <c r="FZJ1" s="301"/>
      <c r="FZK1" s="301"/>
      <c r="FZL1" s="301"/>
      <c r="FZM1" s="301"/>
      <c r="FZN1" s="301"/>
      <c r="FZO1" s="301"/>
      <c r="FZP1" s="301"/>
      <c r="FZQ1" s="301"/>
      <c r="FZR1" s="301"/>
      <c r="FZS1" s="301"/>
      <c r="FZT1" s="301"/>
      <c r="FZU1" s="301"/>
      <c r="FZV1" s="301"/>
      <c r="FZW1" s="301"/>
      <c r="FZX1" s="301"/>
      <c r="FZY1" s="301"/>
      <c r="FZZ1" s="301"/>
      <c r="GAA1" s="301"/>
      <c r="GAB1" s="301"/>
      <c r="GAC1" s="301"/>
      <c r="GAD1" s="301"/>
      <c r="GAE1" s="301"/>
      <c r="GAF1" s="301"/>
      <c r="GAG1" s="301"/>
      <c r="GAH1" s="301"/>
      <c r="GAI1" s="301"/>
      <c r="GAJ1" s="301"/>
      <c r="GAK1" s="301"/>
      <c r="GAL1" s="301"/>
      <c r="GAM1" s="301"/>
      <c r="GAN1" s="301"/>
      <c r="GAO1" s="301"/>
      <c r="GAP1" s="301"/>
      <c r="GAQ1" s="301"/>
      <c r="GAR1" s="301"/>
      <c r="GAS1" s="301"/>
      <c r="GAT1" s="301"/>
      <c r="GAU1" s="301"/>
      <c r="GAV1" s="301"/>
      <c r="GAW1" s="301"/>
      <c r="GAX1" s="301"/>
      <c r="GAY1" s="301"/>
      <c r="GAZ1" s="301"/>
      <c r="GBA1" s="301"/>
      <c r="GBB1" s="301"/>
      <c r="GBC1" s="301"/>
      <c r="GBD1" s="301"/>
      <c r="GBE1" s="301"/>
      <c r="GBF1" s="301"/>
      <c r="GBG1" s="301"/>
      <c r="GBH1" s="301"/>
      <c r="GBI1" s="301"/>
      <c r="GBJ1" s="301"/>
      <c r="GBK1" s="301"/>
      <c r="GBL1" s="301"/>
      <c r="GBM1" s="301"/>
      <c r="GBN1" s="301"/>
      <c r="GBO1" s="301"/>
      <c r="GBP1" s="301"/>
      <c r="GBQ1" s="301"/>
      <c r="GBR1" s="301"/>
      <c r="GBS1" s="301"/>
      <c r="GBT1" s="301"/>
      <c r="GBU1" s="301"/>
      <c r="GBV1" s="301"/>
      <c r="GBW1" s="301"/>
      <c r="GBX1" s="301"/>
      <c r="GBY1" s="301"/>
      <c r="GBZ1" s="301"/>
      <c r="GCA1" s="301"/>
      <c r="GCB1" s="301"/>
      <c r="GCC1" s="301"/>
      <c r="GCD1" s="301"/>
      <c r="GCE1" s="301"/>
      <c r="GCF1" s="301"/>
      <c r="GCG1" s="301"/>
      <c r="GCH1" s="301"/>
      <c r="GCI1" s="301"/>
      <c r="GCJ1" s="301"/>
      <c r="GCK1" s="301"/>
      <c r="GCL1" s="301"/>
      <c r="GCM1" s="301"/>
      <c r="GCN1" s="301"/>
      <c r="GCO1" s="301"/>
      <c r="GCP1" s="301"/>
      <c r="GCQ1" s="301"/>
      <c r="GCR1" s="301"/>
      <c r="GCS1" s="301"/>
      <c r="GCT1" s="301"/>
      <c r="GCU1" s="301"/>
      <c r="GCV1" s="301"/>
      <c r="GCW1" s="301"/>
      <c r="GCX1" s="301"/>
      <c r="GCY1" s="301"/>
      <c r="GCZ1" s="301"/>
      <c r="GDA1" s="301"/>
      <c r="GDB1" s="301"/>
      <c r="GDC1" s="301"/>
      <c r="GDD1" s="301"/>
      <c r="GDE1" s="301"/>
      <c r="GDF1" s="301"/>
      <c r="GDG1" s="301"/>
      <c r="GDH1" s="301"/>
      <c r="GDI1" s="301"/>
      <c r="GDJ1" s="301"/>
      <c r="GDK1" s="301"/>
      <c r="GDL1" s="301"/>
      <c r="GDM1" s="301"/>
      <c r="GDN1" s="301"/>
      <c r="GDO1" s="301"/>
      <c r="GDP1" s="301"/>
      <c r="GDQ1" s="301"/>
      <c r="GDR1" s="301"/>
      <c r="GDS1" s="301"/>
      <c r="GDT1" s="301"/>
      <c r="GDU1" s="301"/>
      <c r="GDV1" s="301"/>
      <c r="GDW1" s="301"/>
      <c r="GDX1" s="301"/>
      <c r="GDY1" s="301"/>
      <c r="GDZ1" s="301"/>
      <c r="GEA1" s="301"/>
      <c r="GEB1" s="301"/>
      <c r="GEC1" s="301"/>
      <c r="GED1" s="301"/>
      <c r="GEE1" s="301"/>
      <c r="GEF1" s="301"/>
      <c r="GEG1" s="301"/>
      <c r="GEH1" s="301"/>
      <c r="GEI1" s="301"/>
      <c r="GEJ1" s="301"/>
      <c r="GEK1" s="301"/>
      <c r="GEL1" s="301"/>
      <c r="GEM1" s="301"/>
      <c r="GEN1" s="301"/>
      <c r="GEO1" s="301"/>
      <c r="GEP1" s="301"/>
      <c r="GEQ1" s="301"/>
      <c r="GER1" s="301"/>
      <c r="GES1" s="301"/>
      <c r="GET1" s="301"/>
      <c r="GEU1" s="301"/>
      <c r="GEV1" s="301"/>
      <c r="GEW1" s="301"/>
      <c r="GEX1" s="301"/>
      <c r="GEY1" s="301"/>
      <c r="GEZ1" s="301"/>
      <c r="GFA1" s="301"/>
      <c r="GFB1" s="301"/>
      <c r="GFC1" s="301"/>
      <c r="GFD1" s="301"/>
      <c r="GFE1" s="301"/>
      <c r="GFF1" s="301"/>
      <c r="GFG1" s="301"/>
      <c r="GFH1" s="301"/>
      <c r="GFI1" s="301"/>
      <c r="GFJ1" s="301"/>
      <c r="GFK1" s="301"/>
      <c r="GFL1" s="301"/>
      <c r="GFM1" s="301"/>
      <c r="GFN1" s="301"/>
      <c r="GFO1" s="301"/>
      <c r="GFP1" s="301"/>
      <c r="GFQ1" s="301"/>
      <c r="GFR1" s="301"/>
      <c r="GFS1" s="301"/>
      <c r="GFT1" s="301"/>
      <c r="GFU1" s="301"/>
      <c r="GFV1" s="301"/>
      <c r="GFW1" s="301"/>
      <c r="GFX1" s="301"/>
      <c r="GFY1" s="301"/>
      <c r="GFZ1" s="301"/>
      <c r="GGA1" s="301"/>
      <c r="GGB1" s="301"/>
      <c r="GGC1" s="301"/>
      <c r="GGD1" s="301"/>
      <c r="GGE1" s="301"/>
      <c r="GGF1" s="301"/>
      <c r="GGG1" s="301"/>
      <c r="GGH1" s="301"/>
      <c r="GGI1" s="301"/>
      <c r="GGJ1" s="301"/>
      <c r="GGK1" s="301"/>
      <c r="GGL1" s="301"/>
      <c r="GGM1" s="301"/>
      <c r="GGN1" s="301"/>
      <c r="GGO1" s="301"/>
      <c r="GGP1" s="301"/>
      <c r="GGQ1" s="301"/>
      <c r="GGR1" s="301"/>
      <c r="GGS1" s="301"/>
      <c r="GGT1" s="301"/>
      <c r="GGU1" s="301"/>
      <c r="GGV1" s="301"/>
      <c r="GGW1" s="301"/>
      <c r="GGX1" s="301"/>
      <c r="GGY1" s="301"/>
      <c r="GGZ1" s="301"/>
      <c r="GHA1" s="301"/>
      <c r="GHB1" s="301"/>
      <c r="GHC1" s="301"/>
      <c r="GHD1" s="301"/>
      <c r="GHE1" s="301"/>
      <c r="GHF1" s="301"/>
      <c r="GHG1" s="301"/>
      <c r="GHH1" s="301"/>
      <c r="GHI1" s="301"/>
      <c r="GHJ1" s="301"/>
      <c r="GHK1" s="301"/>
      <c r="GHL1" s="301"/>
      <c r="GHM1" s="301"/>
      <c r="GHN1" s="301"/>
      <c r="GHO1" s="301"/>
      <c r="GHP1" s="301"/>
      <c r="GHQ1" s="301"/>
      <c r="GHR1" s="301"/>
      <c r="GHS1" s="301"/>
      <c r="GHT1" s="301"/>
      <c r="GHU1" s="301"/>
      <c r="GHV1" s="301"/>
      <c r="GHW1" s="301"/>
      <c r="GHX1" s="301"/>
      <c r="GHY1" s="301"/>
      <c r="GHZ1" s="301"/>
      <c r="GIA1" s="301"/>
      <c r="GIB1" s="301"/>
      <c r="GIC1" s="301"/>
      <c r="GID1" s="301"/>
      <c r="GIE1" s="301"/>
      <c r="GIF1" s="301"/>
      <c r="GIG1" s="301"/>
      <c r="GIH1" s="301"/>
      <c r="GII1" s="301"/>
      <c r="GIJ1" s="301"/>
      <c r="GIK1" s="301"/>
      <c r="GIL1" s="301"/>
      <c r="GIM1" s="301"/>
      <c r="GIN1" s="301"/>
      <c r="GIO1" s="301"/>
      <c r="GIP1" s="301"/>
      <c r="GIQ1" s="301"/>
      <c r="GIR1" s="301"/>
      <c r="GIS1" s="301"/>
      <c r="GIT1" s="301"/>
      <c r="GIU1" s="301"/>
      <c r="GIV1" s="301"/>
      <c r="GIW1" s="301"/>
      <c r="GIX1" s="301"/>
      <c r="GIY1" s="301"/>
      <c r="GIZ1" s="301"/>
      <c r="GJA1" s="301"/>
      <c r="GJB1" s="301"/>
      <c r="GJC1" s="301"/>
      <c r="GJD1" s="301"/>
      <c r="GJE1" s="301"/>
      <c r="GJF1" s="301"/>
      <c r="GJG1" s="301"/>
      <c r="GJH1" s="301"/>
      <c r="GJI1" s="301"/>
      <c r="GJJ1" s="301"/>
      <c r="GJK1" s="301"/>
      <c r="GJL1" s="301"/>
      <c r="GJM1" s="301"/>
      <c r="GJN1" s="301"/>
      <c r="GJO1" s="301"/>
      <c r="GJP1" s="301"/>
      <c r="GJQ1" s="301"/>
      <c r="GJR1" s="301"/>
      <c r="GJS1" s="301"/>
      <c r="GJT1" s="301"/>
      <c r="GJU1" s="301"/>
      <c r="GJV1" s="301"/>
      <c r="GJW1" s="301"/>
      <c r="GJX1" s="301"/>
      <c r="GJY1" s="301"/>
      <c r="GJZ1" s="301"/>
      <c r="GKA1" s="301"/>
      <c r="GKB1" s="301"/>
      <c r="GKC1" s="301"/>
      <c r="GKD1" s="301"/>
      <c r="GKE1" s="301"/>
      <c r="GKF1" s="301"/>
      <c r="GKG1" s="301"/>
      <c r="GKH1" s="301"/>
      <c r="GKI1" s="301"/>
      <c r="GKJ1" s="301"/>
      <c r="GKK1" s="301"/>
      <c r="GKL1" s="301"/>
      <c r="GKM1" s="301"/>
      <c r="GKN1" s="301"/>
      <c r="GKO1" s="301"/>
      <c r="GKP1" s="301"/>
      <c r="GKQ1" s="301"/>
      <c r="GKR1" s="301"/>
      <c r="GKS1" s="301"/>
      <c r="GKT1" s="301"/>
      <c r="GKU1" s="301"/>
      <c r="GKV1" s="301"/>
      <c r="GKW1" s="301"/>
      <c r="GKX1" s="301"/>
      <c r="GKY1" s="301"/>
      <c r="GKZ1" s="301"/>
      <c r="GLA1" s="301"/>
      <c r="GLB1" s="301"/>
      <c r="GLC1" s="301"/>
      <c r="GLD1" s="301"/>
      <c r="GLE1" s="301"/>
      <c r="GLF1" s="301"/>
      <c r="GLG1" s="301"/>
      <c r="GLH1" s="301"/>
      <c r="GLI1" s="301"/>
      <c r="GLJ1" s="301"/>
      <c r="GLK1" s="301"/>
      <c r="GLL1" s="301"/>
      <c r="GLM1" s="301"/>
      <c r="GLN1" s="301"/>
      <c r="GLO1" s="301"/>
      <c r="GLP1" s="301"/>
      <c r="GLQ1" s="301"/>
      <c r="GLR1" s="301"/>
      <c r="GLS1" s="301"/>
      <c r="GLT1" s="301"/>
      <c r="GLU1" s="301"/>
      <c r="GLV1" s="301"/>
      <c r="GLW1" s="301"/>
      <c r="GLX1" s="301"/>
      <c r="GLY1" s="301"/>
      <c r="GLZ1" s="301"/>
      <c r="GMA1" s="301"/>
      <c r="GMB1" s="301"/>
      <c r="GMC1" s="301"/>
      <c r="GMD1" s="301"/>
      <c r="GME1" s="301"/>
      <c r="GMF1" s="301"/>
      <c r="GMG1" s="301"/>
      <c r="GMH1" s="301"/>
      <c r="GMI1" s="301"/>
      <c r="GMJ1" s="301"/>
      <c r="GMK1" s="301"/>
      <c r="GML1" s="301"/>
      <c r="GMM1" s="301"/>
      <c r="GMN1" s="301"/>
      <c r="GMO1" s="301"/>
      <c r="GMP1" s="301"/>
      <c r="GMQ1" s="301"/>
      <c r="GMR1" s="301"/>
      <c r="GMS1" s="301"/>
      <c r="GMT1" s="301"/>
      <c r="GMU1" s="301"/>
      <c r="GMV1" s="301"/>
      <c r="GMW1" s="301"/>
      <c r="GMX1" s="301"/>
      <c r="GMY1" s="301"/>
      <c r="GMZ1" s="301"/>
      <c r="GNA1" s="301"/>
      <c r="GNB1" s="301"/>
      <c r="GNC1" s="301"/>
      <c r="GND1" s="301"/>
      <c r="GNE1" s="301"/>
      <c r="GNF1" s="301"/>
      <c r="GNG1" s="301"/>
      <c r="GNH1" s="301"/>
      <c r="GNI1" s="301"/>
      <c r="GNJ1" s="301"/>
      <c r="GNK1" s="301"/>
      <c r="GNL1" s="301"/>
      <c r="GNM1" s="301"/>
      <c r="GNN1" s="301"/>
      <c r="GNO1" s="301"/>
      <c r="GNP1" s="301"/>
      <c r="GNQ1" s="301"/>
      <c r="GNR1" s="301"/>
      <c r="GNS1" s="301"/>
      <c r="GNT1" s="301"/>
      <c r="GNU1" s="301"/>
      <c r="GNV1" s="301"/>
      <c r="GNW1" s="301"/>
      <c r="GNX1" s="301"/>
      <c r="GNY1" s="301"/>
      <c r="GNZ1" s="301"/>
      <c r="GOA1" s="301"/>
      <c r="GOB1" s="301"/>
      <c r="GOC1" s="301"/>
      <c r="GOD1" s="301"/>
      <c r="GOE1" s="301"/>
      <c r="GOF1" s="301"/>
      <c r="GOG1" s="301"/>
      <c r="GOH1" s="301"/>
      <c r="GOI1" s="301"/>
      <c r="GOJ1" s="301"/>
      <c r="GOK1" s="301"/>
      <c r="GOL1" s="301"/>
      <c r="GOM1" s="301"/>
      <c r="GON1" s="301"/>
      <c r="GOO1" s="301"/>
      <c r="GOP1" s="301"/>
      <c r="GOQ1" s="301"/>
      <c r="GOR1" s="301"/>
      <c r="GOS1" s="301"/>
      <c r="GOT1" s="301"/>
      <c r="GOU1" s="301"/>
      <c r="GOV1" s="301"/>
      <c r="GOW1" s="301"/>
      <c r="GOX1" s="301"/>
      <c r="GOY1" s="301"/>
      <c r="GOZ1" s="301"/>
      <c r="GPA1" s="301"/>
      <c r="GPB1" s="301"/>
      <c r="GPC1" s="301"/>
      <c r="GPD1" s="301"/>
      <c r="GPE1" s="301"/>
      <c r="GPF1" s="301"/>
      <c r="GPG1" s="301"/>
      <c r="GPH1" s="301"/>
      <c r="GPI1" s="301"/>
      <c r="GPJ1" s="301"/>
      <c r="GPK1" s="301"/>
      <c r="GPL1" s="301"/>
      <c r="GPM1" s="301"/>
      <c r="GPN1" s="301"/>
      <c r="GPO1" s="301"/>
      <c r="GPP1" s="301"/>
      <c r="GPQ1" s="301"/>
      <c r="GPR1" s="301"/>
      <c r="GPS1" s="301"/>
      <c r="GPT1" s="301"/>
      <c r="GPU1" s="301"/>
      <c r="GPV1" s="301"/>
      <c r="GPW1" s="301"/>
      <c r="GPX1" s="301"/>
      <c r="GPY1" s="301"/>
      <c r="GPZ1" s="301"/>
      <c r="GQA1" s="301"/>
      <c r="GQB1" s="301"/>
      <c r="GQC1" s="301"/>
      <c r="GQD1" s="301"/>
      <c r="GQE1" s="301"/>
      <c r="GQF1" s="301"/>
      <c r="GQG1" s="301"/>
      <c r="GQH1" s="301"/>
      <c r="GQI1" s="301"/>
      <c r="GQJ1" s="301"/>
      <c r="GQK1" s="301"/>
      <c r="GQL1" s="301"/>
      <c r="GQM1" s="301"/>
      <c r="GQN1" s="301"/>
      <c r="GQO1" s="301"/>
      <c r="GQP1" s="301"/>
      <c r="GQQ1" s="301"/>
      <c r="GQR1" s="301"/>
      <c r="GQS1" s="301"/>
      <c r="GQT1" s="301"/>
      <c r="GQU1" s="301"/>
      <c r="GQV1" s="301"/>
      <c r="GQW1" s="301"/>
      <c r="GQX1" s="301"/>
      <c r="GQY1" s="301"/>
      <c r="GQZ1" s="301"/>
      <c r="GRA1" s="301"/>
      <c r="GRB1" s="301"/>
      <c r="GRC1" s="301"/>
      <c r="GRD1" s="301"/>
      <c r="GRE1" s="301"/>
      <c r="GRF1" s="301"/>
      <c r="GRG1" s="301"/>
      <c r="GRH1" s="301"/>
      <c r="GRI1" s="301"/>
      <c r="GRJ1" s="301"/>
      <c r="GRK1" s="301"/>
      <c r="GRL1" s="301"/>
      <c r="GRM1" s="301"/>
      <c r="GRN1" s="301"/>
      <c r="GRO1" s="301"/>
      <c r="GRP1" s="301"/>
      <c r="GRQ1" s="301"/>
      <c r="GRR1" s="301"/>
      <c r="GRS1" s="301"/>
      <c r="GRT1" s="301"/>
      <c r="GRU1" s="301"/>
      <c r="GRV1" s="301"/>
      <c r="GRW1" s="301"/>
      <c r="GRX1" s="301"/>
      <c r="GRY1" s="301"/>
      <c r="GRZ1" s="301"/>
      <c r="GSA1" s="301"/>
      <c r="GSB1" s="301"/>
      <c r="GSC1" s="301"/>
      <c r="GSD1" s="301"/>
      <c r="GSE1" s="301"/>
      <c r="GSF1" s="301"/>
      <c r="GSG1" s="301"/>
      <c r="GSH1" s="301"/>
      <c r="GSI1" s="301"/>
      <c r="GSJ1" s="301"/>
      <c r="GSK1" s="301"/>
      <c r="GSL1" s="301"/>
      <c r="GSM1" s="301"/>
      <c r="GSN1" s="301"/>
      <c r="GSO1" s="301"/>
      <c r="GSP1" s="301"/>
      <c r="GSQ1" s="301"/>
      <c r="GSR1" s="301"/>
      <c r="GSS1" s="301"/>
      <c r="GST1" s="301"/>
      <c r="GSU1" s="301"/>
      <c r="GSV1" s="301"/>
      <c r="GSW1" s="301"/>
      <c r="GSX1" s="301"/>
      <c r="GSY1" s="301"/>
      <c r="GSZ1" s="301"/>
      <c r="GTA1" s="301"/>
      <c r="GTB1" s="301"/>
      <c r="GTC1" s="301"/>
      <c r="GTD1" s="301"/>
      <c r="GTE1" s="301"/>
      <c r="GTF1" s="301"/>
      <c r="GTG1" s="301"/>
      <c r="GTH1" s="301"/>
      <c r="GTI1" s="301"/>
      <c r="GTJ1" s="301"/>
      <c r="GTK1" s="301"/>
      <c r="GTL1" s="301"/>
      <c r="GTM1" s="301"/>
      <c r="GTN1" s="301"/>
      <c r="GTO1" s="301"/>
      <c r="GTP1" s="301"/>
      <c r="GTQ1" s="301"/>
      <c r="GTR1" s="301"/>
      <c r="GTS1" s="301"/>
      <c r="GTT1" s="301"/>
      <c r="GTU1" s="301"/>
      <c r="GTV1" s="301"/>
      <c r="GTW1" s="301"/>
      <c r="GTX1" s="301"/>
      <c r="GTY1" s="301"/>
      <c r="GTZ1" s="301"/>
      <c r="GUA1" s="301"/>
      <c r="GUB1" s="301"/>
      <c r="GUC1" s="301"/>
      <c r="GUD1" s="301"/>
      <c r="GUE1" s="301"/>
      <c r="GUF1" s="301"/>
      <c r="GUG1" s="301"/>
      <c r="GUH1" s="301"/>
      <c r="GUI1" s="301"/>
      <c r="GUJ1" s="301"/>
      <c r="GUK1" s="301"/>
      <c r="GUL1" s="301"/>
      <c r="GUM1" s="301"/>
      <c r="GUN1" s="301"/>
      <c r="GUO1" s="301"/>
      <c r="GUP1" s="301"/>
      <c r="GUQ1" s="301"/>
      <c r="GUR1" s="301"/>
      <c r="GUS1" s="301"/>
      <c r="GUT1" s="301"/>
      <c r="GUU1" s="301"/>
      <c r="GUV1" s="301"/>
      <c r="GUW1" s="301"/>
      <c r="GUX1" s="301"/>
      <c r="GUY1" s="301"/>
      <c r="GUZ1" s="301"/>
      <c r="GVA1" s="301"/>
      <c r="GVB1" s="301"/>
      <c r="GVC1" s="301"/>
      <c r="GVD1" s="301"/>
      <c r="GVE1" s="301"/>
      <c r="GVF1" s="301"/>
      <c r="GVG1" s="301"/>
      <c r="GVH1" s="301"/>
      <c r="GVI1" s="301"/>
      <c r="GVJ1" s="301"/>
      <c r="GVK1" s="301"/>
      <c r="GVL1" s="301"/>
      <c r="GVM1" s="301"/>
      <c r="GVN1" s="301"/>
      <c r="GVO1" s="301"/>
      <c r="GVP1" s="301"/>
      <c r="GVQ1" s="301"/>
      <c r="GVR1" s="301"/>
      <c r="GVS1" s="301"/>
      <c r="GVT1" s="301"/>
      <c r="GVU1" s="301"/>
      <c r="GVV1" s="301"/>
      <c r="GVW1" s="301"/>
      <c r="GVX1" s="301"/>
      <c r="GVY1" s="301"/>
      <c r="GVZ1" s="301"/>
      <c r="GWA1" s="301"/>
      <c r="GWB1" s="301"/>
      <c r="GWC1" s="301"/>
      <c r="GWD1" s="301"/>
      <c r="GWE1" s="301"/>
      <c r="GWF1" s="301"/>
      <c r="GWG1" s="301"/>
      <c r="GWH1" s="301"/>
      <c r="GWI1" s="301"/>
      <c r="GWJ1" s="301"/>
      <c r="GWK1" s="301"/>
      <c r="GWL1" s="301"/>
      <c r="GWM1" s="301"/>
      <c r="GWN1" s="301"/>
      <c r="GWO1" s="301"/>
      <c r="GWP1" s="301"/>
      <c r="GWQ1" s="301"/>
      <c r="GWR1" s="301"/>
      <c r="GWS1" s="301"/>
      <c r="GWT1" s="301"/>
      <c r="GWU1" s="301"/>
      <c r="GWV1" s="301"/>
      <c r="GWW1" s="301"/>
      <c r="GWX1" s="301"/>
      <c r="GWY1" s="301"/>
      <c r="GWZ1" s="301"/>
      <c r="GXA1" s="301"/>
      <c r="GXB1" s="301"/>
      <c r="GXC1" s="301"/>
      <c r="GXD1" s="301"/>
      <c r="GXE1" s="301"/>
      <c r="GXF1" s="301"/>
      <c r="GXG1" s="301"/>
      <c r="GXH1" s="301"/>
      <c r="GXI1" s="301"/>
      <c r="GXJ1" s="301"/>
      <c r="GXK1" s="301"/>
      <c r="GXL1" s="301"/>
      <c r="GXM1" s="301"/>
      <c r="GXN1" s="301"/>
      <c r="GXO1" s="301"/>
      <c r="GXP1" s="301"/>
      <c r="GXQ1" s="301"/>
      <c r="GXR1" s="301"/>
      <c r="GXS1" s="301"/>
      <c r="GXT1" s="301"/>
      <c r="GXU1" s="301"/>
      <c r="GXV1" s="301"/>
      <c r="GXW1" s="301"/>
      <c r="GXX1" s="301"/>
      <c r="GXY1" s="301"/>
      <c r="GXZ1" s="301"/>
      <c r="GYA1" s="301"/>
      <c r="GYB1" s="301"/>
      <c r="GYC1" s="301"/>
      <c r="GYD1" s="301"/>
      <c r="GYE1" s="301"/>
      <c r="GYF1" s="301"/>
      <c r="GYG1" s="301"/>
      <c r="GYH1" s="301"/>
      <c r="GYI1" s="301"/>
      <c r="GYJ1" s="301"/>
      <c r="GYK1" s="301"/>
      <c r="GYL1" s="301"/>
      <c r="GYM1" s="301"/>
      <c r="GYN1" s="301"/>
      <c r="GYO1" s="301"/>
      <c r="GYP1" s="301"/>
      <c r="GYQ1" s="301"/>
      <c r="GYR1" s="301"/>
      <c r="GYS1" s="301"/>
      <c r="GYT1" s="301"/>
      <c r="GYU1" s="301"/>
      <c r="GYV1" s="301"/>
      <c r="GYW1" s="301"/>
      <c r="GYX1" s="301"/>
      <c r="GYY1" s="301"/>
      <c r="GYZ1" s="301"/>
      <c r="GZA1" s="301"/>
      <c r="GZB1" s="301"/>
      <c r="GZC1" s="301"/>
      <c r="GZD1" s="301"/>
      <c r="GZE1" s="301"/>
      <c r="GZF1" s="301"/>
      <c r="GZG1" s="301"/>
      <c r="GZH1" s="301"/>
      <c r="GZI1" s="301"/>
      <c r="GZJ1" s="301"/>
      <c r="GZK1" s="301"/>
      <c r="GZL1" s="301"/>
      <c r="GZM1" s="301"/>
      <c r="GZN1" s="301"/>
      <c r="GZO1" s="301"/>
      <c r="GZP1" s="301"/>
      <c r="GZQ1" s="301"/>
      <c r="GZR1" s="301"/>
      <c r="GZS1" s="301"/>
      <c r="GZT1" s="301"/>
      <c r="GZU1" s="301"/>
      <c r="GZV1" s="301"/>
      <c r="GZW1" s="301"/>
      <c r="GZX1" s="301"/>
      <c r="GZY1" s="301"/>
      <c r="GZZ1" s="301"/>
      <c r="HAA1" s="301"/>
      <c r="HAB1" s="301"/>
      <c r="HAC1" s="301"/>
      <c r="HAD1" s="301"/>
      <c r="HAE1" s="301"/>
      <c r="HAF1" s="301"/>
      <c r="HAG1" s="301"/>
      <c r="HAH1" s="301"/>
      <c r="HAI1" s="301"/>
      <c r="HAJ1" s="301"/>
      <c r="HAK1" s="301"/>
      <c r="HAL1" s="301"/>
      <c r="HAM1" s="301"/>
      <c r="HAN1" s="301"/>
      <c r="HAO1" s="301"/>
      <c r="HAP1" s="301"/>
      <c r="HAQ1" s="301"/>
      <c r="HAR1" s="301"/>
      <c r="HAS1" s="301"/>
      <c r="HAT1" s="301"/>
      <c r="HAU1" s="301"/>
      <c r="HAV1" s="301"/>
      <c r="HAW1" s="301"/>
      <c r="HAX1" s="301"/>
      <c r="HAY1" s="301"/>
      <c r="HAZ1" s="301"/>
      <c r="HBA1" s="301"/>
      <c r="HBB1" s="301"/>
      <c r="HBC1" s="301"/>
      <c r="HBD1" s="301"/>
      <c r="HBE1" s="301"/>
      <c r="HBF1" s="301"/>
      <c r="HBG1" s="301"/>
      <c r="HBH1" s="301"/>
      <c r="HBI1" s="301"/>
      <c r="HBJ1" s="301"/>
      <c r="HBK1" s="301"/>
      <c r="HBL1" s="301"/>
      <c r="HBM1" s="301"/>
      <c r="HBN1" s="301"/>
      <c r="HBO1" s="301"/>
      <c r="HBP1" s="301"/>
      <c r="HBQ1" s="301"/>
      <c r="HBR1" s="301"/>
      <c r="HBS1" s="301"/>
      <c r="HBT1" s="301"/>
      <c r="HBU1" s="301"/>
      <c r="HBV1" s="301"/>
      <c r="HBW1" s="301"/>
      <c r="HBX1" s="301"/>
      <c r="HBY1" s="301"/>
      <c r="HBZ1" s="301"/>
      <c r="HCA1" s="301"/>
      <c r="HCB1" s="301"/>
      <c r="HCC1" s="301"/>
      <c r="HCD1" s="301"/>
      <c r="HCE1" s="301"/>
      <c r="HCF1" s="301"/>
      <c r="HCG1" s="301"/>
      <c r="HCH1" s="301"/>
      <c r="HCI1" s="301"/>
      <c r="HCJ1" s="301"/>
      <c r="HCK1" s="301"/>
      <c r="HCL1" s="301"/>
      <c r="HCM1" s="301"/>
      <c r="HCN1" s="301"/>
      <c r="HCO1" s="301"/>
      <c r="HCP1" s="301"/>
      <c r="HCQ1" s="301"/>
      <c r="HCR1" s="301"/>
      <c r="HCS1" s="301"/>
      <c r="HCT1" s="301"/>
      <c r="HCU1" s="301"/>
      <c r="HCV1" s="301"/>
      <c r="HCW1" s="301"/>
      <c r="HCX1" s="301"/>
      <c r="HCY1" s="301"/>
      <c r="HCZ1" s="301"/>
      <c r="HDA1" s="301"/>
      <c r="HDB1" s="301"/>
      <c r="HDC1" s="301"/>
      <c r="HDD1" s="301"/>
      <c r="HDE1" s="301"/>
      <c r="HDF1" s="301"/>
      <c r="HDG1" s="301"/>
      <c r="HDH1" s="301"/>
      <c r="HDI1" s="301"/>
      <c r="HDJ1" s="301"/>
      <c r="HDK1" s="301"/>
      <c r="HDL1" s="301"/>
      <c r="HDM1" s="301"/>
      <c r="HDN1" s="301"/>
      <c r="HDO1" s="301"/>
      <c r="HDP1" s="301"/>
      <c r="HDQ1" s="301"/>
      <c r="HDR1" s="301"/>
      <c r="HDS1" s="301"/>
      <c r="HDT1" s="301"/>
      <c r="HDU1" s="301"/>
      <c r="HDV1" s="301"/>
      <c r="HDW1" s="301"/>
      <c r="HDX1" s="301"/>
      <c r="HDY1" s="301"/>
      <c r="HDZ1" s="301"/>
      <c r="HEA1" s="301"/>
      <c r="HEB1" s="301"/>
      <c r="HEC1" s="301"/>
      <c r="HED1" s="301"/>
      <c r="HEE1" s="301"/>
      <c r="HEF1" s="301"/>
      <c r="HEG1" s="301"/>
      <c r="HEH1" s="301"/>
      <c r="HEI1" s="301"/>
      <c r="HEJ1" s="301"/>
      <c r="HEK1" s="301"/>
      <c r="HEL1" s="301"/>
      <c r="HEM1" s="301"/>
      <c r="HEN1" s="301"/>
      <c r="HEO1" s="301"/>
      <c r="HEP1" s="301"/>
      <c r="HEQ1" s="301"/>
      <c r="HER1" s="301"/>
      <c r="HES1" s="301"/>
      <c r="HET1" s="301"/>
      <c r="HEU1" s="301"/>
      <c r="HEV1" s="301"/>
      <c r="HEW1" s="301"/>
      <c r="HEX1" s="301"/>
      <c r="HEY1" s="301"/>
      <c r="HEZ1" s="301"/>
      <c r="HFA1" s="301"/>
      <c r="HFB1" s="301"/>
      <c r="HFC1" s="301"/>
      <c r="HFD1" s="301"/>
      <c r="HFE1" s="301"/>
      <c r="HFF1" s="301"/>
      <c r="HFG1" s="301"/>
      <c r="HFH1" s="301"/>
      <c r="HFI1" s="301"/>
      <c r="HFJ1" s="301"/>
      <c r="HFK1" s="301"/>
      <c r="HFL1" s="301"/>
      <c r="HFM1" s="301"/>
      <c r="HFN1" s="301"/>
      <c r="HFO1" s="301"/>
      <c r="HFP1" s="301"/>
      <c r="HFQ1" s="301"/>
      <c r="HFR1" s="301"/>
      <c r="HFS1" s="301"/>
      <c r="HFT1" s="301"/>
      <c r="HFU1" s="301"/>
      <c r="HFV1" s="301"/>
      <c r="HFW1" s="301"/>
      <c r="HFX1" s="301"/>
      <c r="HFY1" s="301"/>
      <c r="HFZ1" s="301"/>
      <c r="HGA1" s="301"/>
      <c r="HGB1" s="301"/>
      <c r="HGC1" s="301"/>
      <c r="HGD1" s="301"/>
      <c r="HGE1" s="301"/>
      <c r="HGF1" s="301"/>
      <c r="HGG1" s="301"/>
      <c r="HGH1" s="301"/>
      <c r="HGI1" s="301"/>
      <c r="HGJ1" s="301"/>
      <c r="HGK1" s="301"/>
      <c r="HGL1" s="301"/>
      <c r="HGM1" s="301"/>
      <c r="HGN1" s="301"/>
      <c r="HGO1" s="301"/>
      <c r="HGP1" s="301"/>
      <c r="HGQ1" s="301"/>
      <c r="HGR1" s="301"/>
      <c r="HGS1" s="301"/>
      <c r="HGT1" s="301"/>
      <c r="HGU1" s="301"/>
      <c r="HGV1" s="301"/>
      <c r="HGW1" s="301"/>
      <c r="HGX1" s="301"/>
      <c r="HGY1" s="301"/>
      <c r="HGZ1" s="301"/>
      <c r="HHA1" s="301"/>
      <c r="HHB1" s="301"/>
      <c r="HHC1" s="301"/>
      <c r="HHD1" s="301"/>
      <c r="HHE1" s="301"/>
      <c r="HHF1" s="301"/>
      <c r="HHG1" s="301"/>
      <c r="HHH1" s="301"/>
      <c r="HHI1" s="301"/>
      <c r="HHJ1" s="301"/>
      <c r="HHK1" s="301"/>
      <c r="HHL1" s="301"/>
      <c r="HHM1" s="301"/>
      <c r="HHN1" s="301"/>
      <c r="HHO1" s="301"/>
      <c r="HHP1" s="301"/>
      <c r="HHQ1" s="301"/>
      <c r="HHR1" s="301"/>
      <c r="HHS1" s="301"/>
      <c r="HHT1" s="301"/>
      <c r="HHU1" s="301"/>
      <c r="HHV1" s="301"/>
      <c r="HHW1" s="301"/>
      <c r="HHX1" s="301"/>
      <c r="HHY1" s="301"/>
      <c r="HHZ1" s="301"/>
      <c r="HIA1" s="301"/>
      <c r="HIB1" s="301"/>
      <c r="HIC1" s="301"/>
      <c r="HID1" s="301"/>
      <c r="HIE1" s="301"/>
      <c r="HIF1" s="301"/>
      <c r="HIG1" s="301"/>
      <c r="HIH1" s="301"/>
      <c r="HII1" s="301"/>
      <c r="HIJ1" s="301"/>
      <c r="HIK1" s="301"/>
      <c r="HIL1" s="301"/>
      <c r="HIM1" s="301"/>
      <c r="HIN1" s="301"/>
      <c r="HIO1" s="301"/>
      <c r="HIP1" s="301"/>
      <c r="HIQ1" s="301"/>
      <c r="HIR1" s="301"/>
      <c r="HIS1" s="301"/>
      <c r="HIT1" s="301"/>
      <c r="HIU1" s="301"/>
      <c r="HIV1" s="301"/>
      <c r="HIW1" s="301"/>
      <c r="HIX1" s="301"/>
      <c r="HIY1" s="301"/>
      <c r="HIZ1" s="301"/>
      <c r="HJA1" s="301"/>
      <c r="HJB1" s="301"/>
      <c r="HJC1" s="301"/>
      <c r="HJD1" s="301"/>
      <c r="HJE1" s="301"/>
      <c r="HJF1" s="301"/>
      <c r="HJG1" s="301"/>
      <c r="HJH1" s="301"/>
      <c r="HJI1" s="301"/>
      <c r="HJJ1" s="301"/>
      <c r="HJK1" s="301"/>
      <c r="HJL1" s="301"/>
      <c r="HJM1" s="301"/>
      <c r="HJN1" s="301"/>
      <c r="HJO1" s="301"/>
      <c r="HJP1" s="301"/>
      <c r="HJQ1" s="301"/>
      <c r="HJR1" s="301"/>
      <c r="HJS1" s="301"/>
      <c r="HJT1" s="301"/>
      <c r="HJU1" s="301"/>
      <c r="HJV1" s="301"/>
      <c r="HJW1" s="301"/>
      <c r="HJX1" s="301"/>
      <c r="HJY1" s="301"/>
      <c r="HJZ1" s="301"/>
      <c r="HKA1" s="301"/>
      <c r="HKB1" s="301"/>
      <c r="HKC1" s="301"/>
      <c r="HKD1" s="301"/>
      <c r="HKE1" s="301"/>
      <c r="HKF1" s="301"/>
      <c r="HKG1" s="301"/>
      <c r="HKH1" s="301"/>
      <c r="HKI1" s="301"/>
      <c r="HKJ1" s="301"/>
      <c r="HKK1" s="301"/>
      <c r="HKL1" s="301"/>
      <c r="HKM1" s="301"/>
      <c r="HKN1" s="301"/>
      <c r="HKO1" s="301"/>
      <c r="HKP1" s="301"/>
      <c r="HKQ1" s="301"/>
      <c r="HKR1" s="301"/>
      <c r="HKS1" s="301"/>
      <c r="HKT1" s="301"/>
      <c r="HKU1" s="301"/>
      <c r="HKV1" s="301"/>
      <c r="HKW1" s="301"/>
      <c r="HKX1" s="301"/>
      <c r="HKY1" s="301"/>
      <c r="HKZ1" s="301"/>
      <c r="HLA1" s="301"/>
      <c r="HLB1" s="301"/>
      <c r="HLC1" s="301"/>
      <c r="HLD1" s="301"/>
      <c r="HLE1" s="301"/>
      <c r="HLF1" s="301"/>
      <c r="HLG1" s="301"/>
      <c r="HLH1" s="301"/>
      <c r="HLI1" s="301"/>
      <c r="HLJ1" s="301"/>
      <c r="HLK1" s="301"/>
      <c r="HLL1" s="301"/>
      <c r="HLM1" s="301"/>
      <c r="HLN1" s="301"/>
      <c r="HLO1" s="301"/>
      <c r="HLP1" s="301"/>
      <c r="HLQ1" s="301"/>
      <c r="HLR1" s="301"/>
      <c r="HLS1" s="301"/>
      <c r="HLT1" s="301"/>
      <c r="HLU1" s="301"/>
      <c r="HLV1" s="301"/>
      <c r="HLW1" s="301"/>
      <c r="HLX1" s="301"/>
      <c r="HLY1" s="301"/>
      <c r="HLZ1" s="301"/>
      <c r="HMA1" s="301"/>
      <c r="HMB1" s="301"/>
      <c r="HMC1" s="301"/>
      <c r="HMD1" s="301"/>
      <c r="HME1" s="301"/>
      <c r="HMF1" s="301"/>
      <c r="HMG1" s="301"/>
      <c r="HMH1" s="301"/>
      <c r="HMI1" s="301"/>
      <c r="HMJ1" s="301"/>
      <c r="HMK1" s="301"/>
      <c r="HML1" s="301"/>
      <c r="HMM1" s="301"/>
      <c r="HMN1" s="301"/>
      <c r="HMO1" s="301"/>
      <c r="HMP1" s="301"/>
      <c r="HMQ1" s="301"/>
      <c r="HMR1" s="301"/>
      <c r="HMS1" s="301"/>
      <c r="HMT1" s="301"/>
      <c r="HMU1" s="301"/>
      <c r="HMV1" s="301"/>
      <c r="HMW1" s="301"/>
      <c r="HMX1" s="301"/>
      <c r="HMY1" s="301"/>
      <c r="HMZ1" s="301"/>
      <c r="HNA1" s="301"/>
      <c r="HNB1" s="301"/>
      <c r="HNC1" s="301"/>
      <c r="HND1" s="301"/>
      <c r="HNE1" s="301"/>
      <c r="HNF1" s="301"/>
      <c r="HNG1" s="301"/>
      <c r="HNH1" s="301"/>
      <c r="HNI1" s="301"/>
      <c r="HNJ1" s="301"/>
      <c r="HNK1" s="301"/>
      <c r="HNL1" s="301"/>
      <c r="HNM1" s="301"/>
      <c r="HNN1" s="301"/>
      <c r="HNO1" s="301"/>
      <c r="HNP1" s="301"/>
      <c r="HNQ1" s="301"/>
      <c r="HNR1" s="301"/>
      <c r="HNS1" s="301"/>
      <c r="HNT1" s="301"/>
      <c r="HNU1" s="301"/>
      <c r="HNV1" s="301"/>
      <c r="HNW1" s="301"/>
      <c r="HNX1" s="301"/>
      <c r="HNY1" s="301"/>
      <c r="HNZ1" s="301"/>
      <c r="HOA1" s="301"/>
      <c r="HOB1" s="301"/>
      <c r="HOC1" s="301"/>
      <c r="HOD1" s="301"/>
      <c r="HOE1" s="301"/>
      <c r="HOF1" s="301"/>
      <c r="HOG1" s="301"/>
      <c r="HOH1" s="301"/>
      <c r="HOI1" s="301"/>
      <c r="HOJ1" s="301"/>
      <c r="HOK1" s="301"/>
      <c r="HOL1" s="301"/>
      <c r="HOM1" s="301"/>
      <c r="HON1" s="301"/>
      <c r="HOO1" s="301"/>
      <c r="HOP1" s="301"/>
      <c r="HOQ1" s="301"/>
      <c r="HOR1" s="301"/>
      <c r="HOS1" s="301"/>
      <c r="HOT1" s="301"/>
      <c r="HOU1" s="301"/>
      <c r="HOV1" s="301"/>
      <c r="HOW1" s="301"/>
      <c r="HOX1" s="301"/>
      <c r="HOY1" s="301"/>
      <c r="HOZ1" s="301"/>
      <c r="HPA1" s="301"/>
      <c r="HPB1" s="301"/>
      <c r="HPC1" s="301"/>
      <c r="HPD1" s="301"/>
      <c r="HPE1" s="301"/>
      <c r="HPF1" s="301"/>
      <c r="HPG1" s="301"/>
      <c r="HPH1" s="301"/>
      <c r="HPI1" s="301"/>
      <c r="HPJ1" s="301"/>
      <c r="HPK1" s="301"/>
      <c r="HPL1" s="301"/>
      <c r="HPM1" s="301"/>
      <c r="HPN1" s="301"/>
      <c r="HPO1" s="301"/>
      <c r="HPP1" s="301"/>
      <c r="HPQ1" s="301"/>
      <c r="HPR1" s="301"/>
      <c r="HPS1" s="301"/>
      <c r="HPT1" s="301"/>
      <c r="HPU1" s="301"/>
      <c r="HPV1" s="301"/>
      <c r="HPW1" s="301"/>
      <c r="HPX1" s="301"/>
      <c r="HPY1" s="301"/>
      <c r="HPZ1" s="301"/>
      <c r="HQA1" s="301"/>
      <c r="HQB1" s="301"/>
      <c r="HQC1" s="301"/>
      <c r="HQD1" s="301"/>
      <c r="HQE1" s="301"/>
      <c r="HQF1" s="301"/>
      <c r="HQG1" s="301"/>
      <c r="HQH1" s="301"/>
      <c r="HQI1" s="301"/>
      <c r="HQJ1" s="301"/>
      <c r="HQK1" s="301"/>
      <c r="HQL1" s="301"/>
      <c r="HQM1" s="301"/>
      <c r="HQN1" s="301"/>
      <c r="HQO1" s="301"/>
      <c r="HQP1" s="301"/>
      <c r="HQQ1" s="301"/>
      <c r="HQR1" s="301"/>
      <c r="HQS1" s="301"/>
      <c r="HQT1" s="301"/>
      <c r="HQU1" s="301"/>
      <c r="HQV1" s="301"/>
      <c r="HQW1" s="301"/>
      <c r="HQX1" s="301"/>
      <c r="HQY1" s="301"/>
      <c r="HQZ1" s="301"/>
      <c r="HRA1" s="301"/>
      <c r="HRB1" s="301"/>
      <c r="HRC1" s="301"/>
      <c r="HRD1" s="301"/>
      <c r="HRE1" s="301"/>
      <c r="HRF1" s="301"/>
      <c r="HRG1" s="301"/>
      <c r="HRH1" s="301"/>
      <c r="HRI1" s="301"/>
      <c r="HRJ1" s="301"/>
      <c r="HRK1" s="301"/>
      <c r="HRL1" s="301"/>
      <c r="HRM1" s="301"/>
      <c r="HRN1" s="301"/>
      <c r="HRO1" s="301"/>
      <c r="HRP1" s="301"/>
      <c r="HRQ1" s="301"/>
      <c r="HRR1" s="301"/>
      <c r="HRS1" s="301"/>
      <c r="HRT1" s="301"/>
      <c r="HRU1" s="301"/>
      <c r="HRV1" s="301"/>
      <c r="HRW1" s="301"/>
      <c r="HRX1" s="301"/>
      <c r="HRY1" s="301"/>
      <c r="HRZ1" s="301"/>
      <c r="HSA1" s="301"/>
      <c r="HSB1" s="301"/>
      <c r="HSC1" s="301"/>
      <c r="HSD1" s="301"/>
      <c r="HSE1" s="301"/>
      <c r="HSF1" s="301"/>
      <c r="HSG1" s="301"/>
      <c r="HSH1" s="301"/>
      <c r="HSI1" s="301"/>
      <c r="HSJ1" s="301"/>
      <c r="HSK1" s="301"/>
      <c r="HSL1" s="301"/>
      <c r="HSM1" s="301"/>
      <c r="HSN1" s="301"/>
      <c r="HSO1" s="301"/>
      <c r="HSP1" s="301"/>
      <c r="HSQ1" s="301"/>
      <c r="HSR1" s="301"/>
      <c r="HSS1" s="301"/>
      <c r="HST1" s="301"/>
      <c r="HSU1" s="301"/>
      <c r="HSV1" s="301"/>
      <c r="HSW1" s="301"/>
      <c r="HSX1" s="301"/>
      <c r="HSY1" s="301"/>
      <c r="HSZ1" s="301"/>
      <c r="HTA1" s="301"/>
      <c r="HTB1" s="301"/>
      <c r="HTC1" s="301"/>
      <c r="HTD1" s="301"/>
      <c r="HTE1" s="301"/>
      <c r="HTF1" s="301"/>
      <c r="HTG1" s="301"/>
      <c r="HTH1" s="301"/>
      <c r="HTI1" s="301"/>
      <c r="HTJ1" s="301"/>
      <c r="HTK1" s="301"/>
      <c r="HTL1" s="301"/>
      <c r="HTM1" s="301"/>
      <c r="HTN1" s="301"/>
      <c r="HTO1" s="301"/>
      <c r="HTP1" s="301"/>
      <c r="HTQ1" s="301"/>
      <c r="HTR1" s="301"/>
      <c r="HTS1" s="301"/>
      <c r="HTT1" s="301"/>
      <c r="HTU1" s="301"/>
      <c r="HTV1" s="301"/>
      <c r="HTW1" s="301"/>
      <c r="HTX1" s="301"/>
      <c r="HTY1" s="301"/>
      <c r="HTZ1" s="301"/>
      <c r="HUA1" s="301"/>
      <c r="HUB1" s="301"/>
      <c r="HUC1" s="301"/>
      <c r="HUD1" s="301"/>
      <c r="HUE1" s="301"/>
      <c r="HUF1" s="301"/>
      <c r="HUG1" s="301"/>
      <c r="HUH1" s="301"/>
      <c r="HUI1" s="301"/>
      <c r="HUJ1" s="301"/>
      <c r="HUK1" s="301"/>
      <c r="HUL1" s="301"/>
      <c r="HUM1" s="301"/>
      <c r="HUN1" s="301"/>
      <c r="HUO1" s="301"/>
      <c r="HUP1" s="301"/>
      <c r="HUQ1" s="301"/>
      <c r="HUR1" s="301"/>
      <c r="HUS1" s="301"/>
      <c r="HUT1" s="301"/>
      <c r="HUU1" s="301"/>
      <c r="HUV1" s="301"/>
      <c r="HUW1" s="301"/>
      <c r="HUX1" s="301"/>
      <c r="HUY1" s="301"/>
      <c r="HUZ1" s="301"/>
      <c r="HVA1" s="301"/>
      <c r="HVB1" s="301"/>
      <c r="HVC1" s="301"/>
      <c r="HVD1" s="301"/>
      <c r="HVE1" s="301"/>
      <c r="HVF1" s="301"/>
      <c r="HVG1" s="301"/>
      <c r="HVH1" s="301"/>
      <c r="HVI1" s="301"/>
      <c r="HVJ1" s="301"/>
      <c r="HVK1" s="301"/>
      <c r="HVL1" s="301"/>
      <c r="HVM1" s="301"/>
      <c r="HVN1" s="301"/>
      <c r="HVO1" s="301"/>
      <c r="HVP1" s="301"/>
      <c r="HVQ1" s="301"/>
      <c r="HVR1" s="301"/>
      <c r="HVS1" s="301"/>
      <c r="HVT1" s="301"/>
      <c r="HVU1" s="301"/>
      <c r="HVV1" s="301"/>
      <c r="HVW1" s="301"/>
      <c r="HVX1" s="301"/>
      <c r="HVY1" s="301"/>
      <c r="HVZ1" s="301"/>
      <c r="HWA1" s="301"/>
      <c r="HWB1" s="301"/>
      <c r="HWC1" s="301"/>
      <c r="HWD1" s="301"/>
      <c r="HWE1" s="301"/>
      <c r="HWF1" s="301"/>
      <c r="HWG1" s="301"/>
      <c r="HWH1" s="301"/>
      <c r="HWI1" s="301"/>
      <c r="HWJ1" s="301"/>
      <c r="HWK1" s="301"/>
      <c r="HWL1" s="301"/>
      <c r="HWM1" s="301"/>
      <c r="HWN1" s="301"/>
      <c r="HWO1" s="301"/>
      <c r="HWP1" s="301"/>
      <c r="HWQ1" s="301"/>
      <c r="HWR1" s="301"/>
      <c r="HWS1" s="301"/>
      <c r="HWT1" s="301"/>
      <c r="HWU1" s="301"/>
      <c r="HWV1" s="301"/>
      <c r="HWW1" s="301"/>
      <c r="HWX1" s="301"/>
      <c r="HWY1" s="301"/>
      <c r="HWZ1" s="301"/>
      <c r="HXA1" s="301"/>
      <c r="HXB1" s="301"/>
      <c r="HXC1" s="301"/>
      <c r="HXD1" s="301"/>
      <c r="HXE1" s="301"/>
      <c r="HXF1" s="301"/>
      <c r="HXG1" s="301"/>
      <c r="HXH1" s="301"/>
      <c r="HXI1" s="301"/>
      <c r="HXJ1" s="301"/>
      <c r="HXK1" s="301"/>
      <c r="HXL1" s="301"/>
      <c r="HXM1" s="301"/>
      <c r="HXN1" s="301"/>
      <c r="HXO1" s="301"/>
      <c r="HXP1" s="301"/>
      <c r="HXQ1" s="301"/>
      <c r="HXR1" s="301"/>
      <c r="HXS1" s="301"/>
      <c r="HXT1" s="301"/>
      <c r="HXU1" s="301"/>
      <c r="HXV1" s="301"/>
      <c r="HXW1" s="301"/>
      <c r="HXX1" s="301"/>
      <c r="HXY1" s="301"/>
      <c r="HXZ1" s="301"/>
      <c r="HYA1" s="301"/>
      <c r="HYB1" s="301"/>
      <c r="HYC1" s="301"/>
      <c r="HYD1" s="301"/>
      <c r="HYE1" s="301"/>
      <c r="HYF1" s="301"/>
      <c r="HYG1" s="301"/>
      <c r="HYH1" s="301"/>
      <c r="HYI1" s="301"/>
      <c r="HYJ1" s="301"/>
      <c r="HYK1" s="301"/>
      <c r="HYL1" s="301"/>
      <c r="HYM1" s="301"/>
      <c r="HYN1" s="301"/>
      <c r="HYO1" s="301"/>
      <c r="HYP1" s="301"/>
      <c r="HYQ1" s="301"/>
      <c r="HYR1" s="301"/>
      <c r="HYS1" s="301"/>
      <c r="HYT1" s="301"/>
      <c r="HYU1" s="301"/>
      <c r="HYV1" s="301"/>
      <c r="HYW1" s="301"/>
      <c r="HYX1" s="301"/>
      <c r="HYY1" s="301"/>
      <c r="HYZ1" s="301"/>
      <c r="HZA1" s="301"/>
      <c r="HZB1" s="301"/>
      <c r="HZC1" s="301"/>
      <c r="HZD1" s="301"/>
      <c r="HZE1" s="301"/>
      <c r="HZF1" s="301"/>
      <c r="HZG1" s="301"/>
      <c r="HZH1" s="301"/>
      <c r="HZI1" s="301"/>
      <c r="HZJ1" s="301"/>
      <c r="HZK1" s="301"/>
      <c r="HZL1" s="301"/>
      <c r="HZM1" s="301"/>
      <c r="HZN1" s="301"/>
      <c r="HZO1" s="301"/>
      <c r="HZP1" s="301"/>
      <c r="HZQ1" s="301"/>
      <c r="HZR1" s="301"/>
      <c r="HZS1" s="301"/>
      <c r="HZT1" s="301"/>
      <c r="HZU1" s="301"/>
      <c r="HZV1" s="301"/>
      <c r="HZW1" s="301"/>
      <c r="HZX1" s="301"/>
      <c r="HZY1" s="301"/>
      <c r="HZZ1" s="301"/>
      <c r="IAA1" s="301"/>
      <c r="IAB1" s="301"/>
      <c r="IAC1" s="301"/>
      <c r="IAD1" s="301"/>
      <c r="IAE1" s="301"/>
      <c r="IAF1" s="301"/>
      <c r="IAG1" s="301"/>
      <c r="IAH1" s="301"/>
      <c r="IAI1" s="301"/>
      <c r="IAJ1" s="301"/>
      <c r="IAK1" s="301"/>
      <c r="IAL1" s="301"/>
      <c r="IAM1" s="301"/>
      <c r="IAN1" s="301"/>
      <c r="IAO1" s="301"/>
      <c r="IAP1" s="301"/>
      <c r="IAQ1" s="301"/>
      <c r="IAR1" s="301"/>
      <c r="IAS1" s="301"/>
      <c r="IAT1" s="301"/>
      <c r="IAU1" s="301"/>
      <c r="IAV1" s="301"/>
      <c r="IAW1" s="301"/>
      <c r="IAX1" s="301"/>
      <c r="IAY1" s="301"/>
      <c r="IAZ1" s="301"/>
      <c r="IBA1" s="301"/>
      <c r="IBB1" s="301"/>
      <c r="IBC1" s="301"/>
      <c r="IBD1" s="301"/>
      <c r="IBE1" s="301"/>
      <c r="IBF1" s="301"/>
      <c r="IBG1" s="301"/>
      <c r="IBH1" s="301"/>
      <c r="IBI1" s="301"/>
      <c r="IBJ1" s="301"/>
      <c r="IBK1" s="301"/>
      <c r="IBL1" s="301"/>
      <c r="IBM1" s="301"/>
      <c r="IBN1" s="301"/>
      <c r="IBO1" s="301"/>
      <c r="IBP1" s="301"/>
      <c r="IBQ1" s="301"/>
      <c r="IBR1" s="301"/>
      <c r="IBS1" s="301"/>
      <c r="IBT1" s="301"/>
      <c r="IBU1" s="301"/>
      <c r="IBV1" s="301"/>
      <c r="IBW1" s="301"/>
      <c r="IBX1" s="301"/>
      <c r="IBY1" s="301"/>
      <c r="IBZ1" s="301"/>
      <c r="ICA1" s="301"/>
      <c r="ICB1" s="301"/>
      <c r="ICC1" s="301"/>
      <c r="ICD1" s="301"/>
      <c r="ICE1" s="301"/>
      <c r="ICF1" s="301"/>
      <c r="ICG1" s="301"/>
      <c r="ICH1" s="301"/>
      <c r="ICI1" s="301"/>
      <c r="ICJ1" s="301"/>
      <c r="ICK1" s="301"/>
      <c r="ICL1" s="301"/>
      <c r="ICM1" s="301"/>
      <c r="ICN1" s="301"/>
      <c r="ICO1" s="301"/>
      <c r="ICP1" s="301"/>
      <c r="ICQ1" s="301"/>
      <c r="ICR1" s="301"/>
      <c r="ICS1" s="301"/>
      <c r="ICT1" s="301"/>
      <c r="ICU1" s="301"/>
      <c r="ICV1" s="301"/>
      <c r="ICW1" s="301"/>
      <c r="ICX1" s="301"/>
      <c r="ICY1" s="301"/>
      <c r="ICZ1" s="301"/>
      <c r="IDA1" s="301"/>
      <c r="IDB1" s="301"/>
      <c r="IDC1" s="301"/>
      <c r="IDD1" s="301"/>
      <c r="IDE1" s="301"/>
      <c r="IDF1" s="301"/>
      <c r="IDG1" s="301"/>
      <c r="IDH1" s="301"/>
      <c r="IDI1" s="301"/>
      <c r="IDJ1" s="301"/>
      <c r="IDK1" s="301"/>
      <c r="IDL1" s="301"/>
      <c r="IDM1" s="301"/>
      <c r="IDN1" s="301"/>
      <c r="IDO1" s="301"/>
      <c r="IDP1" s="301"/>
      <c r="IDQ1" s="301"/>
      <c r="IDR1" s="301"/>
      <c r="IDS1" s="301"/>
      <c r="IDT1" s="301"/>
      <c r="IDU1" s="301"/>
      <c r="IDV1" s="301"/>
      <c r="IDW1" s="301"/>
      <c r="IDX1" s="301"/>
      <c r="IDY1" s="301"/>
      <c r="IDZ1" s="301"/>
      <c r="IEA1" s="301"/>
      <c r="IEB1" s="301"/>
      <c r="IEC1" s="301"/>
      <c r="IED1" s="301"/>
      <c r="IEE1" s="301"/>
      <c r="IEF1" s="301"/>
      <c r="IEG1" s="301"/>
      <c r="IEH1" s="301"/>
      <c r="IEI1" s="301"/>
      <c r="IEJ1" s="301"/>
      <c r="IEK1" s="301"/>
      <c r="IEL1" s="301"/>
      <c r="IEM1" s="301"/>
      <c r="IEN1" s="301"/>
      <c r="IEO1" s="301"/>
      <c r="IEP1" s="301"/>
      <c r="IEQ1" s="301"/>
      <c r="IER1" s="301"/>
      <c r="IES1" s="301"/>
      <c r="IET1" s="301"/>
      <c r="IEU1" s="301"/>
      <c r="IEV1" s="301"/>
      <c r="IEW1" s="301"/>
      <c r="IEX1" s="301"/>
      <c r="IEY1" s="301"/>
      <c r="IEZ1" s="301"/>
      <c r="IFA1" s="301"/>
      <c r="IFB1" s="301"/>
      <c r="IFC1" s="301"/>
      <c r="IFD1" s="301"/>
      <c r="IFE1" s="301"/>
      <c r="IFF1" s="301"/>
      <c r="IFG1" s="301"/>
      <c r="IFH1" s="301"/>
      <c r="IFI1" s="301"/>
      <c r="IFJ1" s="301"/>
      <c r="IFK1" s="301"/>
      <c r="IFL1" s="301"/>
      <c r="IFM1" s="301"/>
      <c r="IFN1" s="301"/>
      <c r="IFO1" s="301"/>
      <c r="IFP1" s="301"/>
      <c r="IFQ1" s="301"/>
      <c r="IFR1" s="301"/>
      <c r="IFS1" s="301"/>
      <c r="IFT1" s="301"/>
      <c r="IFU1" s="301"/>
      <c r="IFV1" s="301"/>
      <c r="IFW1" s="301"/>
      <c r="IFX1" s="301"/>
      <c r="IFY1" s="301"/>
      <c r="IFZ1" s="301"/>
      <c r="IGA1" s="301"/>
      <c r="IGB1" s="301"/>
      <c r="IGC1" s="301"/>
      <c r="IGD1" s="301"/>
      <c r="IGE1" s="301"/>
      <c r="IGF1" s="301"/>
      <c r="IGG1" s="301"/>
      <c r="IGH1" s="301"/>
      <c r="IGI1" s="301"/>
      <c r="IGJ1" s="301"/>
      <c r="IGK1" s="301"/>
      <c r="IGL1" s="301"/>
      <c r="IGM1" s="301"/>
      <c r="IGN1" s="301"/>
      <c r="IGO1" s="301"/>
      <c r="IGP1" s="301"/>
      <c r="IGQ1" s="301"/>
      <c r="IGR1" s="301"/>
      <c r="IGS1" s="301"/>
      <c r="IGT1" s="301"/>
      <c r="IGU1" s="301"/>
      <c r="IGV1" s="301"/>
      <c r="IGW1" s="301"/>
      <c r="IGX1" s="301"/>
      <c r="IGY1" s="301"/>
      <c r="IGZ1" s="301"/>
      <c r="IHA1" s="301"/>
      <c r="IHB1" s="301"/>
      <c r="IHC1" s="301"/>
      <c r="IHD1" s="301"/>
      <c r="IHE1" s="301"/>
      <c r="IHF1" s="301"/>
      <c r="IHG1" s="301"/>
      <c r="IHH1" s="301"/>
      <c r="IHI1" s="301"/>
      <c r="IHJ1" s="301"/>
      <c r="IHK1" s="301"/>
      <c r="IHL1" s="301"/>
      <c r="IHM1" s="301"/>
      <c r="IHN1" s="301"/>
      <c r="IHO1" s="301"/>
      <c r="IHP1" s="301"/>
      <c r="IHQ1" s="301"/>
      <c r="IHR1" s="301"/>
      <c r="IHS1" s="301"/>
      <c r="IHT1" s="301"/>
      <c r="IHU1" s="301"/>
      <c r="IHV1" s="301"/>
      <c r="IHW1" s="301"/>
      <c r="IHX1" s="301"/>
      <c r="IHY1" s="301"/>
      <c r="IHZ1" s="301"/>
      <c r="IIA1" s="301"/>
      <c r="IIB1" s="301"/>
      <c r="IIC1" s="301"/>
      <c r="IID1" s="301"/>
      <c r="IIE1" s="301"/>
      <c r="IIF1" s="301"/>
      <c r="IIG1" s="301"/>
      <c r="IIH1" s="301"/>
      <c r="III1" s="301"/>
      <c r="IIJ1" s="301"/>
      <c r="IIK1" s="301"/>
      <c r="IIL1" s="301"/>
      <c r="IIM1" s="301"/>
      <c r="IIN1" s="301"/>
      <c r="IIO1" s="301"/>
      <c r="IIP1" s="301"/>
      <c r="IIQ1" s="301"/>
      <c r="IIR1" s="301"/>
      <c r="IIS1" s="301"/>
      <c r="IIT1" s="301"/>
      <c r="IIU1" s="301"/>
      <c r="IIV1" s="301"/>
      <c r="IIW1" s="301"/>
      <c r="IIX1" s="301"/>
      <c r="IIY1" s="301"/>
      <c r="IIZ1" s="301"/>
      <c r="IJA1" s="301"/>
      <c r="IJB1" s="301"/>
      <c r="IJC1" s="301"/>
      <c r="IJD1" s="301"/>
      <c r="IJE1" s="301"/>
      <c r="IJF1" s="301"/>
      <c r="IJG1" s="301"/>
      <c r="IJH1" s="301"/>
      <c r="IJI1" s="301"/>
      <c r="IJJ1" s="301"/>
      <c r="IJK1" s="301"/>
      <c r="IJL1" s="301"/>
      <c r="IJM1" s="301"/>
      <c r="IJN1" s="301"/>
      <c r="IJO1" s="301"/>
      <c r="IJP1" s="301"/>
      <c r="IJQ1" s="301"/>
      <c r="IJR1" s="301"/>
      <c r="IJS1" s="301"/>
      <c r="IJT1" s="301"/>
      <c r="IJU1" s="301"/>
      <c r="IJV1" s="301"/>
      <c r="IJW1" s="301"/>
      <c r="IJX1" s="301"/>
      <c r="IJY1" s="301"/>
      <c r="IJZ1" s="301"/>
      <c r="IKA1" s="301"/>
      <c r="IKB1" s="301"/>
      <c r="IKC1" s="301"/>
      <c r="IKD1" s="301"/>
      <c r="IKE1" s="301"/>
      <c r="IKF1" s="301"/>
      <c r="IKG1" s="301"/>
      <c r="IKH1" s="301"/>
      <c r="IKI1" s="301"/>
      <c r="IKJ1" s="301"/>
      <c r="IKK1" s="301"/>
      <c r="IKL1" s="301"/>
      <c r="IKM1" s="301"/>
      <c r="IKN1" s="301"/>
      <c r="IKO1" s="301"/>
      <c r="IKP1" s="301"/>
      <c r="IKQ1" s="301"/>
      <c r="IKR1" s="301"/>
      <c r="IKS1" s="301"/>
      <c r="IKT1" s="301"/>
      <c r="IKU1" s="301"/>
      <c r="IKV1" s="301"/>
      <c r="IKW1" s="301"/>
      <c r="IKX1" s="301"/>
      <c r="IKY1" s="301"/>
      <c r="IKZ1" s="301"/>
      <c r="ILA1" s="301"/>
      <c r="ILB1" s="301"/>
      <c r="ILC1" s="301"/>
      <c r="ILD1" s="301"/>
      <c r="ILE1" s="301"/>
      <c r="ILF1" s="301"/>
      <c r="ILG1" s="301"/>
      <c r="ILH1" s="301"/>
      <c r="ILI1" s="301"/>
      <c r="ILJ1" s="301"/>
      <c r="ILK1" s="301"/>
      <c r="ILL1" s="301"/>
      <c r="ILM1" s="301"/>
      <c r="ILN1" s="301"/>
      <c r="ILO1" s="301"/>
      <c r="ILP1" s="301"/>
      <c r="ILQ1" s="301"/>
      <c r="ILR1" s="301"/>
      <c r="ILS1" s="301"/>
      <c r="ILT1" s="301"/>
      <c r="ILU1" s="301"/>
      <c r="ILV1" s="301"/>
      <c r="ILW1" s="301"/>
      <c r="ILX1" s="301"/>
      <c r="ILY1" s="301"/>
      <c r="ILZ1" s="301"/>
      <c r="IMA1" s="301"/>
      <c r="IMB1" s="301"/>
      <c r="IMC1" s="301"/>
      <c r="IMD1" s="301"/>
      <c r="IME1" s="301"/>
      <c r="IMF1" s="301"/>
      <c r="IMG1" s="301"/>
      <c r="IMH1" s="301"/>
      <c r="IMI1" s="301"/>
      <c r="IMJ1" s="301"/>
      <c r="IMK1" s="301"/>
      <c r="IML1" s="301"/>
      <c r="IMM1" s="301"/>
      <c r="IMN1" s="301"/>
      <c r="IMO1" s="301"/>
      <c r="IMP1" s="301"/>
      <c r="IMQ1" s="301"/>
      <c r="IMR1" s="301"/>
      <c r="IMS1" s="301"/>
      <c r="IMT1" s="301"/>
      <c r="IMU1" s="301"/>
      <c r="IMV1" s="301"/>
      <c r="IMW1" s="301"/>
      <c r="IMX1" s="301"/>
      <c r="IMY1" s="301"/>
      <c r="IMZ1" s="301"/>
      <c r="INA1" s="301"/>
      <c r="INB1" s="301"/>
      <c r="INC1" s="301"/>
      <c r="IND1" s="301"/>
      <c r="INE1" s="301"/>
      <c r="INF1" s="301"/>
      <c r="ING1" s="301"/>
      <c r="INH1" s="301"/>
      <c r="INI1" s="301"/>
      <c r="INJ1" s="301"/>
      <c r="INK1" s="301"/>
      <c r="INL1" s="301"/>
      <c r="INM1" s="301"/>
      <c r="INN1" s="301"/>
      <c r="INO1" s="301"/>
      <c r="INP1" s="301"/>
      <c r="INQ1" s="301"/>
      <c r="INR1" s="301"/>
      <c r="INS1" s="301"/>
      <c r="INT1" s="301"/>
      <c r="INU1" s="301"/>
      <c r="INV1" s="301"/>
      <c r="INW1" s="301"/>
      <c r="INX1" s="301"/>
      <c r="INY1" s="301"/>
      <c r="INZ1" s="301"/>
      <c r="IOA1" s="301"/>
      <c r="IOB1" s="301"/>
      <c r="IOC1" s="301"/>
      <c r="IOD1" s="301"/>
      <c r="IOE1" s="301"/>
      <c r="IOF1" s="301"/>
      <c r="IOG1" s="301"/>
      <c r="IOH1" s="301"/>
      <c r="IOI1" s="301"/>
      <c r="IOJ1" s="301"/>
      <c r="IOK1" s="301"/>
      <c r="IOL1" s="301"/>
      <c r="IOM1" s="301"/>
      <c r="ION1" s="301"/>
      <c r="IOO1" s="301"/>
      <c r="IOP1" s="301"/>
      <c r="IOQ1" s="301"/>
      <c r="IOR1" s="301"/>
      <c r="IOS1" s="301"/>
      <c r="IOT1" s="301"/>
      <c r="IOU1" s="301"/>
      <c r="IOV1" s="301"/>
      <c r="IOW1" s="301"/>
      <c r="IOX1" s="301"/>
      <c r="IOY1" s="301"/>
      <c r="IOZ1" s="301"/>
      <c r="IPA1" s="301"/>
      <c r="IPB1" s="301"/>
      <c r="IPC1" s="301"/>
      <c r="IPD1" s="301"/>
      <c r="IPE1" s="301"/>
      <c r="IPF1" s="301"/>
      <c r="IPG1" s="301"/>
      <c r="IPH1" s="301"/>
      <c r="IPI1" s="301"/>
      <c r="IPJ1" s="301"/>
      <c r="IPK1" s="301"/>
      <c r="IPL1" s="301"/>
      <c r="IPM1" s="301"/>
      <c r="IPN1" s="301"/>
      <c r="IPO1" s="301"/>
      <c r="IPP1" s="301"/>
      <c r="IPQ1" s="301"/>
      <c r="IPR1" s="301"/>
      <c r="IPS1" s="301"/>
      <c r="IPT1" s="301"/>
      <c r="IPU1" s="301"/>
      <c r="IPV1" s="301"/>
      <c r="IPW1" s="301"/>
      <c r="IPX1" s="301"/>
      <c r="IPY1" s="301"/>
      <c r="IPZ1" s="301"/>
      <c r="IQA1" s="301"/>
      <c r="IQB1" s="301"/>
      <c r="IQC1" s="301"/>
      <c r="IQD1" s="301"/>
      <c r="IQE1" s="301"/>
      <c r="IQF1" s="301"/>
      <c r="IQG1" s="301"/>
      <c r="IQH1" s="301"/>
      <c r="IQI1" s="301"/>
      <c r="IQJ1" s="301"/>
      <c r="IQK1" s="301"/>
      <c r="IQL1" s="301"/>
      <c r="IQM1" s="301"/>
      <c r="IQN1" s="301"/>
      <c r="IQO1" s="301"/>
      <c r="IQP1" s="301"/>
      <c r="IQQ1" s="301"/>
      <c r="IQR1" s="301"/>
      <c r="IQS1" s="301"/>
      <c r="IQT1" s="301"/>
      <c r="IQU1" s="301"/>
      <c r="IQV1" s="301"/>
      <c r="IQW1" s="301"/>
      <c r="IQX1" s="301"/>
      <c r="IQY1" s="301"/>
      <c r="IQZ1" s="301"/>
      <c r="IRA1" s="301"/>
      <c r="IRB1" s="301"/>
      <c r="IRC1" s="301"/>
      <c r="IRD1" s="301"/>
      <c r="IRE1" s="301"/>
      <c r="IRF1" s="301"/>
      <c r="IRG1" s="301"/>
      <c r="IRH1" s="301"/>
      <c r="IRI1" s="301"/>
      <c r="IRJ1" s="301"/>
      <c r="IRK1" s="301"/>
      <c r="IRL1" s="301"/>
      <c r="IRM1" s="301"/>
      <c r="IRN1" s="301"/>
      <c r="IRO1" s="301"/>
      <c r="IRP1" s="301"/>
      <c r="IRQ1" s="301"/>
      <c r="IRR1" s="301"/>
      <c r="IRS1" s="301"/>
      <c r="IRT1" s="301"/>
      <c r="IRU1" s="301"/>
      <c r="IRV1" s="301"/>
      <c r="IRW1" s="301"/>
      <c r="IRX1" s="301"/>
      <c r="IRY1" s="301"/>
      <c r="IRZ1" s="301"/>
      <c r="ISA1" s="301"/>
      <c r="ISB1" s="301"/>
      <c r="ISC1" s="301"/>
      <c r="ISD1" s="301"/>
      <c r="ISE1" s="301"/>
      <c r="ISF1" s="301"/>
      <c r="ISG1" s="301"/>
      <c r="ISH1" s="301"/>
      <c r="ISI1" s="301"/>
      <c r="ISJ1" s="301"/>
      <c r="ISK1" s="301"/>
      <c r="ISL1" s="301"/>
      <c r="ISM1" s="301"/>
      <c r="ISN1" s="301"/>
      <c r="ISO1" s="301"/>
      <c r="ISP1" s="301"/>
      <c r="ISQ1" s="301"/>
      <c r="ISR1" s="301"/>
      <c r="ISS1" s="301"/>
      <c r="IST1" s="301"/>
      <c r="ISU1" s="301"/>
      <c r="ISV1" s="301"/>
      <c r="ISW1" s="301"/>
      <c r="ISX1" s="301"/>
      <c r="ISY1" s="301"/>
      <c r="ISZ1" s="301"/>
      <c r="ITA1" s="301"/>
      <c r="ITB1" s="301"/>
      <c r="ITC1" s="301"/>
      <c r="ITD1" s="301"/>
      <c r="ITE1" s="301"/>
      <c r="ITF1" s="301"/>
      <c r="ITG1" s="301"/>
      <c r="ITH1" s="301"/>
      <c r="ITI1" s="301"/>
      <c r="ITJ1" s="301"/>
      <c r="ITK1" s="301"/>
      <c r="ITL1" s="301"/>
      <c r="ITM1" s="301"/>
      <c r="ITN1" s="301"/>
      <c r="ITO1" s="301"/>
      <c r="ITP1" s="301"/>
      <c r="ITQ1" s="301"/>
      <c r="ITR1" s="301"/>
      <c r="ITS1" s="301"/>
      <c r="ITT1" s="301"/>
      <c r="ITU1" s="301"/>
      <c r="ITV1" s="301"/>
      <c r="ITW1" s="301"/>
      <c r="ITX1" s="301"/>
      <c r="ITY1" s="301"/>
      <c r="ITZ1" s="301"/>
      <c r="IUA1" s="301"/>
      <c r="IUB1" s="301"/>
      <c r="IUC1" s="301"/>
      <c r="IUD1" s="301"/>
      <c r="IUE1" s="301"/>
      <c r="IUF1" s="301"/>
      <c r="IUG1" s="301"/>
      <c r="IUH1" s="301"/>
      <c r="IUI1" s="301"/>
      <c r="IUJ1" s="301"/>
      <c r="IUK1" s="301"/>
      <c r="IUL1" s="301"/>
      <c r="IUM1" s="301"/>
      <c r="IUN1" s="301"/>
      <c r="IUO1" s="301"/>
      <c r="IUP1" s="301"/>
      <c r="IUQ1" s="301"/>
      <c r="IUR1" s="301"/>
      <c r="IUS1" s="301"/>
      <c r="IUT1" s="301"/>
      <c r="IUU1" s="301"/>
      <c r="IUV1" s="301"/>
      <c r="IUW1" s="301"/>
      <c r="IUX1" s="301"/>
      <c r="IUY1" s="301"/>
      <c r="IUZ1" s="301"/>
      <c r="IVA1" s="301"/>
      <c r="IVB1" s="301"/>
      <c r="IVC1" s="301"/>
      <c r="IVD1" s="301"/>
      <c r="IVE1" s="301"/>
      <c r="IVF1" s="301"/>
      <c r="IVG1" s="301"/>
      <c r="IVH1" s="301"/>
      <c r="IVI1" s="301"/>
      <c r="IVJ1" s="301"/>
      <c r="IVK1" s="301"/>
      <c r="IVL1" s="301"/>
      <c r="IVM1" s="301"/>
      <c r="IVN1" s="301"/>
      <c r="IVO1" s="301"/>
      <c r="IVP1" s="301"/>
      <c r="IVQ1" s="301"/>
      <c r="IVR1" s="301"/>
      <c r="IVS1" s="301"/>
      <c r="IVT1" s="301"/>
      <c r="IVU1" s="301"/>
      <c r="IVV1" s="301"/>
      <c r="IVW1" s="301"/>
      <c r="IVX1" s="301"/>
      <c r="IVY1" s="301"/>
      <c r="IVZ1" s="301"/>
      <c r="IWA1" s="301"/>
      <c r="IWB1" s="301"/>
      <c r="IWC1" s="301"/>
      <c r="IWD1" s="301"/>
      <c r="IWE1" s="301"/>
      <c r="IWF1" s="301"/>
      <c r="IWG1" s="301"/>
      <c r="IWH1" s="301"/>
      <c r="IWI1" s="301"/>
      <c r="IWJ1" s="301"/>
      <c r="IWK1" s="301"/>
      <c r="IWL1" s="301"/>
      <c r="IWM1" s="301"/>
      <c r="IWN1" s="301"/>
      <c r="IWO1" s="301"/>
      <c r="IWP1" s="301"/>
      <c r="IWQ1" s="301"/>
      <c r="IWR1" s="301"/>
      <c r="IWS1" s="301"/>
      <c r="IWT1" s="301"/>
      <c r="IWU1" s="301"/>
      <c r="IWV1" s="301"/>
      <c r="IWW1" s="301"/>
      <c r="IWX1" s="301"/>
      <c r="IWY1" s="301"/>
      <c r="IWZ1" s="301"/>
      <c r="IXA1" s="301"/>
      <c r="IXB1" s="301"/>
      <c r="IXC1" s="301"/>
      <c r="IXD1" s="301"/>
      <c r="IXE1" s="301"/>
      <c r="IXF1" s="301"/>
      <c r="IXG1" s="301"/>
      <c r="IXH1" s="301"/>
      <c r="IXI1" s="301"/>
      <c r="IXJ1" s="301"/>
      <c r="IXK1" s="301"/>
      <c r="IXL1" s="301"/>
      <c r="IXM1" s="301"/>
      <c r="IXN1" s="301"/>
      <c r="IXO1" s="301"/>
      <c r="IXP1" s="301"/>
      <c r="IXQ1" s="301"/>
      <c r="IXR1" s="301"/>
      <c r="IXS1" s="301"/>
      <c r="IXT1" s="301"/>
      <c r="IXU1" s="301"/>
      <c r="IXV1" s="301"/>
      <c r="IXW1" s="301"/>
      <c r="IXX1" s="301"/>
      <c r="IXY1" s="301"/>
      <c r="IXZ1" s="301"/>
      <c r="IYA1" s="301"/>
      <c r="IYB1" s="301"/>
      <c r="IYC1" s="301"/>
      <c r="IYD1" s="301"/>
      <c r="IYE1" s="301"/>
      <c r="IYF1" s="301"/>
      <c r="IYG1" s="301"/>
      <c r="IYH1" s="301"/>
      <c r="IYI1" s="301"/>
      <c r="IYJ1" s="301"/>
      <c r="IYK1" s="301"/>
      <c r="IYL1" s="301"/>
      <c r="IYM1" s="301"/>
      <c r="IYN1" s="301"/>
      <c r="IYO1" s="301"/>
      <c r="IYP1" s="301"/>
      <c r="IYQ1" s="301"/>
      <c r="IYR1" s="301"/>
      <c r="IYS1" s="301"/>
      <c r="IYT1" s="301"/>
      <c r="IYU1" s="301"/>
      <c r="IYV1" s="301"/>
      <c r="IYW1" s="301"/>
      <c r="IYX1" s="301"/>
      <c r="IYY1" s="301"/>
      <c r="IYZ1" s="301"/>
      <c r="IZA1" s="301"/>
      <c r="IZB1" s="301"/>
      <c r="IZC1" s="301"/>
      <c r="IZD1" s="301"/>
      <c r="IZE1" s="301"/>
      <c r="IZF1" s="301"/>
      <c r="IZG1" s="301"/>
      <c r="IZH1" s="301"/>
      <c r="IZI1" s="301"/>
      <c r="IZJ1" s="301"/>
      <c r="IZK1" s="301"/>
      <c r="IZL1" s="301"/>
      <c r="IZM1" s="301"/>
      <c r="IZN1" s="301"/>
      <c r="IZO1" s="301"/>
      <c r="IZP1" s="301"/>
      <c r="IZQ1" s="301"/>
      <c r="IZR1" s="301"/>
      <c r="IZS1" s="301"/>
      <c r="IZT1" s="301"/>
      <c r="IZU1" s="301"/>
      <c r="IZV1" s="301"/>
      <c r="IZW1" s="301"/>
      <c r="IZX1" s="301"/>
      <c r="IZY1" s="301"/>
      <c r="IZZ1" s="301"/>
      <c r="JAA1" s="301"/>
      <c r="JAB1" s="301"/>
      <c r="JAC1" s="301"/>
      <c r="JAD1" s="301"/>
      <c r="JAE1" s="301"/>
      <c r="JAF1" s="301"/>
      <c r="JAG1" s="301"/>
      <c r="JAH1" s="301"/>
      <c r="JAI1" s="301"/>
      <c r="JAJ1" s="301"/>
      <c r="JAK1" s="301"/>
      <c r="JAL1" s="301"/>
      <c r="JAM1" s="301"/>
      <c r="JAN1" s="301"/>
      <c r="JAO1" s="301"/>
      <c r="JAP1" s="301"/>
      <c r="JAQ1" s="301"/>
      <c r="JAR1" s="301"/>
      <c r="JAS1" s="301"/>
      <c r="JAT1" s="301"/>
      <c r="JAU1" s="301"/>
      <c r="JAV1" s="301"/>
      <c r="JAW1" s="301"/>
      <c r="JAX1" s="301"/>
      <c r="JAY1" s="301"/>
      <c r="JAZ1" s="301"/>
      <c r="JBA1" s="301"/>
      <c r="JBB1" s="301"/>
      <c r="JBC1" s="301"/>
      <c r="JBD1" s="301"/>
      <c r="JBE1" s="301"/>
      <c r="JBF1" s="301"/>
      <c r="JBG1" s="301"/>
      <c r="JBH1" s="301"/>
      <c r="JBI1" s="301"/>
      <c r="JBJ1" s="301"/>
      <c r="JBK1" s="301"/>
      <c r="JBL1" s="301"/>
      <c r="JBM1" s="301"/>
      <c r="JBN1" s="301"/>
      <c r="JBO1" s="301"/>
      <c r="JBP1" s="301"/>
      <c r="JBQ1" s="301"/>
      <c r="JBR1" s="301"/>
      <c r="JBS1" s="301"/>
      <c r="JBT1" s="301"/>
      <c r="JBU1" s="301"/>
      <c r="JBV1" s="301"/>
      <c r="JBW1" s="301"/>
      <c r="JBX1" s="301"/>
      <c r="JBY1" s="301"/>
      <c r="JBZ1" s="301"/>
      <c r="JCA1" s="301"/>
      <c r="JCB1" s="301"/>
      <c r="JCC1" s="301"/>
      <c r="JCD1" s="301"/>
      <c r="JCE1" s="301"/>
      <c r="JCF1" s="301"/>
      <c r="JCG1" s="301"/>
      <c r="JCH1" s="301"/>
      <c r="JCI1" s="301"/>
      <c r="JCJ1" s="301"/>
      <c r="JCK1" s="301"/>
      <c r="JCL1" s="301"/>
      <c r="JCM1" s="301"/>
      <c r="JCN1" s="301"/>
      <c r="JCO1" s="301"/>
      <c r="JCP1" s="301"/>
      <c r="JCQ1" s="301"/>
      <c r="JCR1" s="301"/>
      <c r="JCS1" s="301"/>
      <c r="JCT1" s="301"/>
      <c r="JCU1" s="301"/>
      <c r="JCV1" s="301"/>
      <c r="JCW1" s="301"/>
      <c r="JCX1" s="301"/>
      <c r="JCY1" s="301"/>
      <c r="JCZ1" s="301"/>
      <c r="JDA1" s="301"/>
      <c r="JDB1" s="301"/>
      <c r="JDC1" s="301"/>
      <c r="JDD1" s="301"/>
      <c r="JDE1" s="301"/>
      <c r="JDF1" s="301"/>
      <c r="JDG1" s="301"/>
      <c r="JDH1" s="301"/>
      <c r="JDI1" s="301"/>
      <c r="JDJ1" s="301"/>
      <c r="JDK1" s="301"/>
      <c r="JDL1" s="301"/>
      <c r="JDM1" s="301"/>
      <c r="JDN1" s="301"/>
      <c r="JDO1" s="301"/>
      <c r="JDP1" s="301"/>
      <c r="JDQ1" s="301"/>
      <c r="JDR1" s="301"/>
      <c r="JDS1" s="301"/>
      <c r="JDT1" s="301"/>
      <c r="JDU1" s="301"/>
      <c r="JDV1" s="301"/>
      <c r="JDW1" s="301"/>
      <c r="JDX1" s="301"/>
      <c r="JDY1" s="301"/>
      <c r="JDZ1" s="301"/>
      <c r="JEA1" s="301"/>
      <c r="JEB1" s="301"/>
      <c r="JEC1" s="301"/>
      <c r="JED1" s="301"/>
      <c r="JEE1" s="301"/>
      <c r="JEF1" s="301"/>
      <c r="JEG1" s="301"/>
      <c r="JEH1" s="301"/>
      <c r="JEI1" s="301"/>
      <c r="JEJ1" s="301"/>
      <c r="JEK1" s="301"/>
      <c r="JEL1" s="301"/>
      <c r="JEM1" s="301"/>
      <c r="JEN1" s="301"/>
      <c r="JEO1" s="301"/>
      <c r="JEP1" s="301"/>
      <c r="JEQ1" s="301"/>
      <c r="JER1" s="301"/>
      <c r="JES1" s="301"/>
      <c r="JET1" s="301"/>
      <c r="JEU1" s="301"/>
      <c r="JEV1" s="301"/>
      <c r="JEW1" s="301"/>
      <c r="JEX1" s="301"/>
      <c r="JEY1" s="301"/>
      <c r="JEZ1" s="301"/>
      <c r="JFA1" s="301"/>
      <c r="JFB1" s="301"/>
      <c r="JFC1" s="301"/>
      <c r="JFD1" s="301"/>
      <c r="JFE1" s="301"/>
      <c r="JFF1" s="301"/>
      <c r="JFG1" s="301"/>
      <c r="JFH1" s="301"/>
      <c r="JFI1" s="301"/>
      <c r="JFJ1" s="301"/>
      <c r="JFK1" s="301"/>
      <c r="JFL1" s="301"/>
      <c r="JFM1" s="301"/>
      <c r="JFN1" s="301"/>
      <c r="JFO1" s="301"/>
      <c r="JFP1" s="301"/>
      <c r="JFQ1" s="301"/>
      <c r="JFR1" s="301"/>
      <c r="JFS1" s="301"/>
      <c r="JFT1" s="301"/>
      <c r="JFU1" s="301"/>
      <c r="JFV1" s="301"/>
      <c r="JFW1" s="301"/>
      <c r="JFX1" s="301"/>
      <c r="JFY1" s="301"/>
      <c r="JFZ1" s="301"/>
      <c r="JGA1" s="301"/>
      <c r="JGB1" s="301"/>
      <c r="JGC1" s="301"/>
      <c r="JGD1" s="301"/>
      <c r="JGE1" s="301"/>
      <c r="JGF1" s="301"/>
      <c r="JGG1" s="301"/>
      <c r="JGH1" s="301"/>
      <c r="JGI1" s="301"/>
      <c r="JGJ1" s="301"/>
      <c r="JGK1" s="301"/>
      <c r="JGL1" s="301"/>
      <c r="JGM1" s="301"/>
      <c r="JGN1" s="301"/>
      <c r="JGO1" s="301"/>
      <c r="JGP1" s="301"/>
      <c r="JGQ1" s="301"/>
      <c r="JGR1" s="301"/>
      <c r="JGS1" s="301"/>
      <c r="JGT1" s="301"/>
      <c r="JGU1" s="301"/>
      <c r="JGV1" s="301"/>
      <c r="JGW1" s="301"/>
      <c r="JGX1" s="301"/>
      <c r="JGY1" s="301"/>
      <c r="JGZ1" s="301"/>
      <c r="JHA1" s="301"/>
      <c r="JHB1" s="301"/>
      <c r="JHC1" s="301"/>
      <c r="JHD1" s="301"/>
      <c r="JHE1" s="301"/>
      <c r="JHF1" s="301"/>
      <c r="JHG1" s="301"/>
      <c r="JHH1" s="301"/>
      <c r="JHI1" s="301"/>
      <c r="JHJ1" s="301"/>
      <c r="JHK1" s="301"/>
      <c r="JHL1" s="301"/>
      <c r="JHM1" s="301"/>
      <c r="JHN1" s="301"/>
      <c r="JHO1" s="301"/>
      <c r="JHP1" s="301"/>
      <c r="JHQ1" s="301"/>
      <c r="JHR1" s="301"/>
      <c r="JHS1" s="301"/>
      <c r="JHT1" s="301"/>
      <c r="JHU1" s="301"/>
      <c r="JHV1" s="301"/>
      <c r="JHW1" s="301"/>
      <c r="JHX1" s="301"/>
      <c r="JHY1" s="301"/>
      <c r="JHZ1" s="301"/>
      <c r="JIA1" s="301"/>
      <c r="JIB1" s="301"/>
      <c r="JIC1" s="301"/>
      <c r="JID1" s="301"/>
      <c r="JIE1" s="301"/>
      <c r="JIF1" s="301"/>
      <c r="JIG1" s="301"/>
      <c r="JIH1" s="301"/>
      <c r="JII1" s="301"/>
      <c r="JIJ1" s="301"/>
      <c r="JIK1" s="301"/>
      <c r="JIL1" s="301"/>
      <c r="JIM1" s="301"/>
      <c r="JIN1" s="301"/>
      <c r="JIO1" s="301"/>
      <c r="JIP1" s="301"/>
      <c r="JIQ1" s="301"/>
      <c r="JIR1" s="301"/>
      <c r="JIS1" s="301"/>
      <c r="JIT1" s="301"/>
      <c r="JIU1" s="301"/>
      <c r="JIV1" s="301"/>
      <c r="JIW1" s="301"/>
      <c r="JIX1" s="301"/>
      <c r="JIY1" s="301"/>
      <c r="JIZ1" s="301"/>
      <c r="JJA1" s="301"/>
      <c r="JJB1" s="301"/>
      <c r="JJC1" s="301"/>
      <c r="JJD1" s="301"/>
      <c r="JJE1" s="301"/>
      <c r="JJF1" s="301"/>
      <c r="JJG1" s="301"/>
      <c r="JJH1" s="301"/>
      <c r="JJI1" s="301"/>
      <c r="JJJ1" s="301"/>
      <c r="JJK1" s="301"/>
      <c r="JJL1" s="301"/>
      <c r="JJM1" s="301"/>
      <c r="JJN1" s="301"/>
      <c r="JJO1" s="301"/>
      <c r="JJP1" s="301"/>
      <c r="JJQ1" s="301"/>
      <c r="JJR1" s="301"/>
      <c r="JJS1" s="301"/>
      <c r="JJT1" s="301"/>
      <c r="JJU1" s="301"/>
      <c r="JJV1" s="301"/>
      <c r="JJW1" s="301"/>
      <c r="JJX1" s="301"/>
      <c r="JJY1" s="301"/>
      <c r="JJZ1" s="301"/>
      <c r="JKA1" s="301"/>
      <c r="JKB1" s="301"/>
      <c r="JKC1" s="301"/>
      <c r="JKD1" s="301"/>
      <c r="JKE1" s="301"/>
      <c r="JKF1" s="301"/>
      <c r="JKG1" s="301"/>
      <c r="JKH1" s="301"/>
      <c r="JKI1" s="301"/>
      <c r="JKJ1" s="301"/>
      <c r="JKK1" s="301"/>
      <c r="JKL1" s="301"/>
      <c r="JKM1" s="301"/>
      <c r="JKN1" s="301"/>
      <c r="JKO1" s="301"/>
      <c r="JKP1" s="301"/>
      <c r="JKQ1" s="301"/>
      <c r="JKR1" s="301"/>
      <c r="JKS1" s="301"/>
      <c r="JKT1" s="301"/>
      <c r="JKU1" s="301"/>
      <c r="JKV1" s="301"/>
      <c r="JKW1" s="301"/>
      <c r="JKX1" s="301"/>
      <c r="JKY1" s="301"/>
      <c r="JKZ1" s="301"/>
      <c r="JLA1" s="301"/>
      <c r="JLB1" s="301"/>
      <c r="JLC1" s="301"/>
      <c r="JLD1" s="301"/>
      <c r="JLE1" s="301"/>
      <c r="JLF1" s="301"/>
      <c r="JLG1" s="301"/>
      <c r="JLH1" s="301"/>
      <c r="JLI1" s="301"/>
      <c r="JLJ1" s="301"/>
      <c r="JLK1" s="301"/>
      <c r="JLL1" s="301"/>
      <c r="JLM1" s="301"/>
      <c r="JLN1" s="301"/>
      <c r="JLO1" s="301"/>
      <c r="JLP1" s="301"/>
      <c r="JLQ1" s="301"/>
      <c r="JLR1" s="301"/>
      <c r="JLS1" s="301"/>
      <c r="JLT1" s="301"/>
      <c r="JLU1" s="301"/>
      <c r="JLV1" s="301"/>
      <c r="JLW1" s="301"/>
      <c r="JLX1" s="301"/>
      <c r="JLY1" s="301"/>
      <c r="JLZ1" s="301"/>
      <c r="JMA1" s="301"/>
      <c r="JMB1" s="301"/>
      <c r="JMC1" s="301"/>
      <c r="JMD1" s="301"/>
      <c r="JME1" s="301"/>
      <c r="JMF1" s="301"/>
      <c r="JMG1" s="301"/>
      <c r="JMH1" s="301"/>
      <c r="JMI1" s="301"/>
      <c r="JMJ1" s="301"/>
      <c r="JMK1" s="301"/>
      <c r="JML1" s="301"/>
      <c r="JMM1" s="301"/>
      <c r="JMN1" s="301"/>
      <c r="JMO1" s="301"/>
      <c r="JMP1" s="301"/>
      <c r="JMQ1" s="301"/>
      <c r="JMR1" s="301"/>
      <c r="JMS1" s="301"/>
      <c r="JMT1" s="301"/>
      <c r="JMU1" s="301"/>
      <c r="JMV1" s="301"/>
      <c r="JMW1" s="301"/>
      <c r="JMX1" s="301"/>
      <c r="JMY1" s="301"/>
      <c r="JMZ1" s="301"/>
      <c r="JNA1" s="301"/>
      <c r="JNB1" s="301"/>
      <c r="JNC1" s="301"/>
      <c r="JND1" s="301"/>
      <c r="JNE1" s="301"/>
      <c r="JNF1" s="301"/>
      <c r="JNG1" s="301"/>
      <c r="JNH1" s="301"/>
      <c r="JNI1" s="301"/>
      <c r="JNJ1" s="301"/>
      <c r="JNK1" s="301"/>
      <c r="JNL1" s="301"/>
      <c r="JNM1" s="301"/>
      <c r="JNN1" s="301"/>
      <c r="JNO1" s="301"/>
      <c r="JNP1" s="301"/>
      <c r="JNQ1" s="301"/>
      <c r="JNR1" s="301"/>
      <c r="JNS1" s="301"/>
      <c r="JNT1" s="301"/>
      <c r="JNU1" s="301"/>
      <c r="JNV1" s="301"/>
      <c r="JNW1" s="301"/>
      <c r="JNX1" s="301"/>
      <c r="JNY1" s="301"/>
      <c r="JNZ1" s="301"/>
      <c r="JOA1" s="301"/>
      <c r="JOB1" s="301"/>
      <c r="JOC1" s="301"/>
      <c r="JOD1" s="301"/>
      <c r="JOE1" s="301"/>
      <c r="JOF1" s="301"/>
      <c r="JOG1" s="301"/>
      <c r="JOH1" s="301"/>
      <c r="JOI1" s="301"/>
      <c r="JOJ1" s="301"/>
      <c r="JOK1" s="301"/>
      <c r="JOL1" s="301"/>
      <c r="JOM1" s="301"/>
      <c r="JON1" s="301"/>
      <c r="JOO1" s="301"/>
      <c r="JOP1" s="301"/>
      <c r="JOQ1" s="301"/>
      <c r="JOR1" s="301"/>
      <c r="JOS1" s="301"/>
      <c r="JOT1" s="301"/>
      <c r="JOU1" s="301"/>
      <c r="JOV1" s="301"/>
      <c r="JOW1" s="301"/>
      <c r="JOX1" s="301"/>
      <c r="JOY1" s="301"/>
      <c r="JOZ1" s="301"/>
      <c r="JPA1" s="301"/>
      <c r="JPB1" s="301"/>
      <c r="JPC1" s="301"/>
      <c r="JPD1" s="301"/>
      <c r="JPE1" s="301"/>
      <c r="JPF1" s="301"/>
      <c r="JPG1" s="301"/>
      <c r="JPH1" s="301"/>
      <c r="JPI1" s="301"/>
      <c r="JPJ1" s="301"/>
      <c r="JPK1" s="301"/>
      <c r="JPL1" s="301"/>
      <c r="JPM1" s="301"/>
      <c r="JPN1" s="301"/>
      <c r="JPO1" s="301"/>
      <c r="JPP1" s="301"/>
      <c r="JPQ1" s="301"/>
      <c r="JPR1" s="301"/>
      <c r="JPS1" s="301"/>
      <c r="JPT1" s="301"/>
      <c r="JPU1" s="301"/>
      <c r="JPV1" s="301"/>
      <c r="JPW1" s="301"/>
      <c r="JPX1" s="301"/>
      <c r="JPY1" s="301"/>
      <c r="JPZ1" s="301"/>
      <c r="JQA1" s="301"/>
      <c r="JQB1" s="301"/>
      <c r="JQC1" s="301"/>
      <c r="JQD1" s="301"/>
      <c r="JQE1" s="301"/>
      <c r="JQF1" s="301"/>
      <c r="JQG1" s="301"/>
      <c r="JQH1" s="301"/>
      <c r="JQI1" s="301"/>
      <c r="JQJ1" s="301"/>
      <c r="JQK1" s="301"/>
      <c r="JQL1" s="301"/>
      <c r="JQM1" s="301"/>
      <c r="JQN1" s="301"/>
      <c r="JQO1" s="301"/>
      <c r="JQP1" s="301"/>
      <c r="JQQ1" s="301"/>
      <c r="JQR1" s="301"/>
      <c r="JQS1" s="301"/>
      <c r="JQT1" s="301"/>
      <c r="JQU1" s="301"/>
      <c r="JQV1" s="301"/>
      <c r="JQW1" s="301"/>
      <c r="JQX1" s="301"/>
      <c r="JQY1" s="301"/>
      <c r="JQZ1" s="301"/>
      <c r="JRA1" s="301"/>
      <c r="JRB1" s="301"/>
      <c r="JRC1" s="301"/>
      <c r="JRD1" s="301"/>
      <c r="JRE1" s="301"/>
      <c r="JRF1" s="301"/>
      <c r="JRG1" s="301"/>
      <c r="JRH1" s="301"/>
      <c r="JRI1" s="301"/>
      <c r="JRJ1" s="301"/>
      <c r="JRK1" s="301"/>
      <c r="JRL1" s="301"/>
      <c r="JRM1" s="301"/>
      <c r="JRN1" s="301"/>
      <c r="JRO1" s="301"/>
      <c r="JRP1" s="301"/>
      <c r="JRQ1" s="301"/>
      <c r="JRR1" s="301"/>
      <c r="JRS1" s="301"/>
      <c r="JRT1" s="301"/>
      <c r="JRU1" s="301"/>
      <c r="JRV1" s="301"/>
      <c r="JRW1" s="301"/>
      <c r="JRX1" s="301"/>
      <c r="JRY1" s="301"/>
      <c r="JRZ1" s="301"/>
      <c r="JSA1" s="301"/>
      <c r="JSB1" s="301"/>
      <c r="JSC1" s="301"/>
      <c r="JSD1" s="301"/>
      <c r="JSE1" s="301"/>
      <c r="JSF1" s="301"/>
      <c r="JSG1" s="301"/>
      <c r="JSH1" s="301"/>
      <c r="JSI1" s="301"/>
      <c r="JSJ1" s="301"/>
      <c r="JSK1" s="301"/>
      <c r="JSL1" s="301"/>
      <c r="JSM1" s="301"/>
      <c r="JSN1" s="301"/>
      <c r="JSO1" s="301"/>
      <c r="JSP1" s="301"/>
      <c r="JSQ1" s="301"/>
      <c r="JSR1" s="301"/>
      <c r="JSS1" s="301"/>
      <c r="JST1" s="301"/>
      <c r="JSU1" s="301"/>
      <c r="JSV1" s="301"/>
      <c r="JSW1" s="301"/>
      <c r="JSX1" s="301"/>
      <c r="JSY1" s="301"/>
      <c r="JSZ1" s="301"/>
      <c r="JTA1" s="301"/>
      <c r="JTB1" s="301"/>
      <c r="JTC1" s="301"/>
      <c r="JTD1" s="301"/>
      <c r="JTE1" s="301"/>
      <c r="JTF1" s="301"/>
      <c r="JTG1" s="301"/>
      <c r="JTH1" s="301"/>
      <c r="JTI1" s="301"/>
      <c r="JTJ1" s="301"/>
      <c r="JTK1" s="301"/>
      <c r="JTL1" s="301"/>
      <c r="JTM1" s="301"/>
      <c r="JTN1" s="301"/>
      <c r="JTO1" s="301"/>
      <c r="JTP1" s="301"/>
      <c r="JTQ1" s="301"/>
      <c r="JTR1" s="301"/>
      <c r="JTS1" s="301"/>
      <c r="JTT1" s="301"/>
      <c r="JTU1" s="301"/>
      <c r="JTV1" s="301"/>
      <c r="JTW1" s="301"/>
      <c r="JTX1" s="301"/>
      <c r="JTY1" s="301"/>
      <c r="JTZ1" s="301"/>
      <c r="JUA1" s="301"/>
      <c r="JUB1" s="301"/>
      <c r="JUC1" s="301"/>
      <c r="JUD1" s="301"/>
      <c r="JUE1" s="301"/>
      <c r="JUF1" s="301"/>
      <c r="JUG1" s="301"/>
      <c r="JUH1" s="301"/>
      <c r="JUI1" s="301"/>
      <c r="JUJ1" s="301"/>
      <c r="JUK1" s="301"/>
      <c r="JUL1" s="301"/>
      <c r="JUM1" s="301"/>
      <c r="JUN1" s="301"/>
      <c r="JUO1" s="301"/>
      <c r="JUP1" s="301"/>
      <c r="JUQ1" s="301"/>
      <c r="JUR1" s="301"/>
      <c r="JUS1" s="301"/>
      <c r="JUT1" s="301"/>
      <c r="JUU1" s="301"/>
      <c r="JUV1" s="301"/>
      <c r="JUW1" s="301"/>
      <c r="JUX1" s="301"/>
      <c r="JUY1" s="301"/>
      <c r="JUZ1" s="301"/>
      <c r="JVA1" s="301"/>
      <c r="JVB1" s="301"/>
      <c r="JVC1" s="301"/>
      <c r="JVD1" s="301"/>
      <c r="JVE1" s="301"/>
      <c r="JVF1" s="301"/>
      <c r="JVG1" s="301"/>
      <c r="JVH1" s="301"/>
      <c r="JVI1" s="301"/>
      <c r="JVJ1" s="301"/>
      <c r="JVK1" s="301"/>
      <c r="JVL1" s="301"/>
      <c r="JVM1" s="301"/>
      <c r="JVN1" s="301"/>
      <c r="JVO1" s="301"/>
      <c r="JVP1" s="301"/>
      <c r="JVQ1" s="301"/>
      <c r="JVR1" s="301"/>
      <c r="JVS1" s="301"/>
      <c r="JVT1" s="301"/>
      <c r="JVU1" s="301"/>
      <c r="JVV1" s="301"/>
      <c r="JVW1" s="301"/>
      <c r="JVX1" s="301"/>
      <c r="JVY1" s="301"/>
      <c r="JVZ1" s="301"/>
      <c r="JWA1" s="301"/>
      <c r="JWB1" s="301"/>
      <c r="JWC1" s="301"/>
      <c r="JWD1" s="301"/>
      <c r="JWE1" s="301"/>
      <c r="JWF1" s="301"/>
      <c r="JWG1" s="301"/>
      <c r="JWH1" s="301"/>
      <c r="JWI1" s="301"/>
      <c r="JWJ1" s="301"/>
      <c r="JWK1" s="301"/>
      <c r="JWL1" s="301"/>
      <c r="JWM1" s="301"/>
      <c r="JWN1" s="301"/>
      <c r="JWO1" s="301"/>
      <c r="JWP1" s="301"/>
      <c r="JWQ1" s="301"/>
      <c r="JWR1" s="301"/>
      <c r="JWS1" s="301"/>
      <c r="JWT1" s="301"/>
      <c r="JWU1" s="301"/>
      <c r="JWV1" s="301"/>
      <c r="JWW1" s="301"/>
      <c r="JWX1" s="301"/>
      <c r="JWY1" s="301"/>
      <c r="JWZ1" s="301"/>
      <c r="JXA1" s="301"/>
      <c r="JXB1" s="301"/>
      <c r="JXC1" s="301"/>
      <c r="JXD1" s="301"/>
      <c r="JXE1" s="301"/>
      <c r="JXF1" s="301"/>
      <c r="JXG1" s="301"/>
      <c r="JXH1" s="301"/>
      <c r="JXI1" s="301"/>
      <c r="JXJ1" s="301"/>
      <c r="JXK1" s="301"/>
      <c r="JXL1" s="301"/>
      <c r="JXM1" s="301"/>
      <c r="JXN1" s="301"/>
      <c r="JXO1" s="301"/>
      <c r="JXP1" s="301"/>
      <c r="JXQ1" s="301"/>
      <c r="JXR1" s="301"/>
      <c r="JXS1" s="301"/>
      <c r="JXT1" s="301"/>
      <c r="JXU1" s="301"/>
      <c r="JXV1" s="301"/>
      <c r="JXW1" s="301"/>
      <c r="JXX1" s="301"/>
      <c r="JXY1" s="301"/>
      <c r="JXZ1" s="301"/>
      <c r="JYA1" s="301"/>
      <c r="JYB1" s="301"/>
      <c r="JYC1" s="301"/>
      <c r="JYD1" s="301"/>
      <c r="JYE1" s="301"/>
      <c r="JYF1" s="301"/>
      <c r="JYG1" s="301"/>
      <c r="JYH1" s="301"/>
      <c r="JYI1" s="301"/>
      <c r="JYJ1" s="301"/>
      <c r="JYK1" s="301"/>
      <c r="JYL1" s="301"/>
      <c r="JYM1" s="301"/>
      <c r="JYN1" s="301"/>
      <c r="JYO1" s="301"/>
      <c r="JYP1" s="301"/>
      <c r="JYQ1" s="301"/>
      <c r="JYR1" s="301"/>
      <c r="JYS1" s="301"/>
      <c r="JYT1" s="301"/>
      <c r="JYU1" s="301"/>
      <c r="JYV1" s="301"/>
      <c r="JYW1" s="301"/>
      <c r="JYX1" s="301"/>
      <c r="JYY1" s="301"/>
      <c r="JYZ1" s="301"/>
      <c r="JZA1" s="301"/>
      <c r="JZB1" s="301"/>
      <c r="JZC1" s="301"/>
      <c r="JZD1" s="301"/>
      <c r="JZE1" s="301"/>
      <c r="JZF1" s="301"/>
      <c r="JZG1" s="301"/>
      <c r="JZH1" s="301"/>
      <c r="JZI1" s="301"/>
      <c r="JZJ1" s="301"/>
      <c r="JZK1" s="301"/>
      <c r="JZL1" s="301"/>
      <c r="JZM1" s="301"/>
      <c r="JZN1" s="301"/>
      <c r="JZO1" s="301"/>
      <c r="JZP1" s="301"/>
      <c r="JZQ1" s="301"/>
      <c r="JZR1" s="301"/>
      <c r="JZS1" s="301"/>
      <c r="JZT1" s="301"/>
      <c r="JZU1" s="301"/>
      <c r="JZV1" s="301"/>
      <c r="JZW1" s="301"/>
      <c r="JZX1" s="301"/>
      <c r="JZY1" s="301"/>
      <c r="JZZ1" s="301"/>
      <c r="KAA1" s="301"/>
      <c r="KAB1" s="301"/>
      <c r="KAC1" s="301"/>
      <c r="KAD1" s="301"/>
      <c r="KAE1" s="301"/>
      <c r="KAF1" s="301"/>
      <c r="KAG1" s="301"/>
      <c r="KAH1" s="301"/>
      <c r="KAI1" s="301"/>
      <c r="KAJ1" s="301"/>
      <c r="KAK1" s="301"/>
      <c r="KAL1" s="301"/>
      <c r="KAM1" s="301"/>
      <c r="KAN1" s="301"/>
      <c r="KAO1" s="301"/>
      <c r="KAP1" s="301"/>
      <c r="KAQ1" s="301"/>
      <c r="KAR1" s="301"/>
      <c r="KAS1" s="301"/>
      <c r="KAT1" s="301"/>
      <c r="KAU1" s="301"/>
      <c r="KAV1" s="301"/>
      <c r="KAW1" s="301"/>
      <c r="KAX1" s="301"/>
      <c r="KAY1" s="301"/>
      <c r="KAZ1" s="301"/>
      <c r="KBA1" s="301"/>
      <c r="KBB1" s="301"/>
      <c r="KBC1" s="301"/>
      <c r="KBD1" s="301"/>
      <c r="KBE1" s="301"/>
      <c r="KBF1" s="301"/>
      <c r="KBG1" s="301"/>
      <c r="KBH1" s="301"/>
      <c r="KBI1" s="301"/>
      <c r="KBJ1" s="301"/>
      <c r="KBK1" s="301"/>
      <c r="KBL1" s="301"/>
      <c r="KBM1" s="301"/>
      <c r="KBN1" s="301"/>
      <c r="KBO1" s="301"/>
      <c r="KBP1" s="301"/>
      <c r="KBQ1" s="301"/>
      <c r="KBR1" s="301"/>
      <c r="KBS1" s="301"/>
      <c r="KBT1" s="301"/>
      <c r="KBU1" s="301"/>
      <c r="KBV1" s="301"/>
      <c r="KBW1" s="301"/>
      <c r="KBX1" s="301"/>
      <c r="KBY1" s="301"/>
      <c r="KBZ1" s="301"/>
      <c r="KCA1" s="301"/>
      <c r="KCB1" s="301"/>
      <c r="KCC1" s="301"/>
      <c r="KCD1" s="301"/>
      <c r="KCE1" s="301"/>
      <c r="KCF1" s="301"/>
      <c r="KCG1" s="301"/>
      <c r="KCH1" s="301"/>
      <c r="KCI1" s="301"/>
      <c r="KCJ1" s="301"/>
      <c r="KCK1" s="301"/>
      <c r="KCL1" s="301"/>
      <c r="KCM1" s="301"/>
      <c r="KCN1" s="301"/>
      <c r="KCO1" s="301"/>
      <c r="KCP1" s="301"/>
      <c r="KCQ1" s="301"/>
      <c r="KCR1" s="301"/>
      <c r="KCS1" s="301"/>
      <c r="KCT1" s="301"/>
      <c r="KCU1" s="301"/>
      <c r="KCV1" s="301"/>
      <c r="KCW1" s="301"/>
      <c r="KCX1" s="301"/>
      <c r="KCY1" s="301"/>
      <c r="KCZ1" s="301"/>
      <c r="KDA1" s="301"/>
      <c r="KDB1" s="301"/>
      <c r="KDC1" s="301"/>
      <c r="KDD1" s="301"/>
      <c r="KDE1" s="301"/>
      <c r="KDF1" s="301"/>
      <c r="KDG1" s="301"/>
      <c r="KDH1" s="301"/>
      <c r="KDI1" s="301"/>
      <c r="KDJ1" s="301"/>
      <c r="KDK1" s="301"/>
      <c r="KDL1" s="301"/>
      <c r="KDM1" s="301"/>
      <c r="KDN1" s="301"/>
      <c r="KDO1" s="301"/>
      <c r="KDP1" s="301"/>
      <c r="KDQ1" s="301"/>
      <c r="KDR1" s="301"/>
      <c r="KDS1" s="301"/>
      <c r="KDT1" s="301"/>
      <c r="KDU1" s="301"/>
      <c r="KDV1" s="301"/>
      <c r="KDW1" s="301"/>
      <c r="KDX1" s="301"/>
      <c r="KDY1" s="301"/>
      <c r="KDZ1" s="301"/>
      <c r="KEA1" s="301"/>
      <c r="KEB1" s="301"/>
      <c r="KEC1" s="301"/>
      <c r="KED1" s="301"/>
      <c r="KEE1" s="301"/>
      <c r="KEF1" s="301"/>
      <c r="KEG1" s="301"/>
      <c r="KEH1" s="301"/>
      <c r="KEI1" s="301"/>
      <c r="KEJ1" s="301"/>
      <c r="KEK1" s="301"/>
      <c r="KEL1" s="301"/>
      <c r="KEM1" s="301"/>
      <c r="KEN1" s="301"/>
      <c r="KEO1" s="301"/>
      <c r="KEP1" s="301"/>
      <c r="KEQ1" s="301"/>
      <c r="KER1" s="301"/>
      <c r="KES1" s="301"/>
      <c r="KET1" s="301"/>
      <c r="KEU1" s="301"/>
      <c r="KEV1" s="301"/>
      <c r="KEW1" s="301"/>
      <c r="KEX1" s="301"/>
      <c r="KEY1" s="301"/>
      <c r="KEZ1" s="301"/>
      <c r="KFA1" s="301"/>
      <c r="KFB1" s="301"/>
      <c r="KFC1" s="301"/>
      <c r="KFD1" s="301"/>
      <c r="KFE1" s="301"/>
      <c r="KFF1" s="301"/>
      <c r="KFG1" s="301"/>
      <c r="KFH1" s="301"/>
      <c r="KFI1" s="301"/>
      <c r="KFJ1" s="301"/>
      <c r="KFK1" s="301"/>
      <c r="KFL1" s="301"/>
      <c r="KFM1" s="301"/>
      <c r="KFN1" s="301"/>
      <c r="KFO1" s="301"/>
      <c r="KFP1" s="301"/>
      <c r="KFQ1" s="301"/>
      <c r="KFR1" s="301"/>
      <c r="KFS1" s="301"/>
      <c r="KFT1" s="301"/>
      <c r="KFU1" s="301"/>
      <c r="KFV1" s="301"/>
      <c r="KFW1" s="301"/>
      <c r="KFX1" s="301"/>
      <c r="KFY1" s="301"/>
      <c r="KFZ1" s="301"/>
      <c r="KGA1" s="301"/>
      <c r="KGB1" s="301"/>
      <c r="KGC1" s="301"/>
      <c r="KGD1" s="301"/>
      <c r="KGE1" s="301"/>
      <c r="KGF1" s="301"/>
      <c r="KGG1" s="301"/>
      <c r="KGH1" s="301"/>
      <c r="KGI1" s="301"/>
      <c r="KGJ1" s="301"/>
      <c r="KGK1" s="301"/>
      <c r="KGL1" s="301"/>
      <c r="KGM1" s="301"/>
      <c r="KGN1" s="301"/>
      <c r="KGO1" s="301"/>
      <c r="KGP1" s="301"/>
      <c r="KGQ1" s="301"/>
      <c r="KGR1" s="301"/>
      <c r="KGS1" s="301"/>
      <c r="KGT1" s="301"/>
      <c r="KGU1" s="301"/>
      <c r="KGV1" s="301"/>
      <c r="KGW1" s="301"/>
      <c r="KGX1" s="301"/>
      <c r="KGY1" s="301"/>
      <c r="KGZ1" s="301"/>
      <c r="KHA1" s="301"/>
      <c r="KHB1" s="301"/>
      <c r="KHC1" s="301"/>
      <c r="KHD1" s="301"/>
      <c r="KHE1" s="301"/>
      <c r="KHF1" s="301"/>
      <c r="KHG1" s="301"/>
      <c r="KHH1" s="301"/>
      <c r="KHI1" s="301"/>
      <c r="KHJ1" s="301"/>
      <c r="KHK1" s="301"/>
      <c r="KHL1" s="301"/>
      <c r="KHM1" s="301"/>
      <c r="KHN1" s="301"/>
      <c r="KHO1" s="301"/>
      <c r="KHP1" s="301"/>
      <c r="KHQ1" s="301"/>
      <c r="KHR1" s="301"/>
      <c r="KHS1" s="301"/>
      <c r="KHT1" s="301"/>
      <c r="KHU1" s="301"/>
      <c r="KHV1" s="301"/>
      <c r="KHW1" s="301"/>
      <c r="KHX1" s="301"/>
      <c r="KHY1" s="301"/>
      <c r="KHZ1" s="301"/>
      <c r="KIA1" s="301"/>
      <c r="KIB1" s="301"/>
      <c r="KIC1" s="301"/>
      <c r="KID1" s="301"/>
      <c r="KIE1" s="301"/>
      <c r="KIF1" s="301"/>
      <c r="KIG1" s="301"/>
      <c r="KIH1" s="301"/>
      <c r="KII1" s="301"/>
      <c r="KIJ1" s="301"/>
      <c r="KIK1" s="301"/>
      <c r="KIL1" s="301"/>
      <c r="KIM1" s="301"/>
      <c r="KIN1" s="301"/>
      <c r="KIO1" s="301"/>
      <c r="KIP1" s="301"/>
      <c r="KIQ1" s="301"/>
      <c r="KIR1" s="301"/>
      <c r="KIS1" s="301"/>
      <c r="KIT1" s="301"/>
      <c r="KIU1" s="301"/>
      <c r="KIV1" s="301"/>
      <c r="KIW1" s="301"/>
      <c r="KIX1" s="301"/>
      <c r="KIY1" s="301"/>
      <c r="KIZ1" s="301"/>
      <c r="KJA1" s="301"/>
      <c r="KJB1" s="301"/>
      <c r="KJC1" s="301"/>
      <c r="KJD1" s="301"/>
      <c r="KJE1" s="301"/>
      <c r="KJF1" s="301"/>
      <c r="KJG1" s="301"/>
      <c r="KJH1" s="301"/>
      <c r="KJI1" s="301"/>
      <c r="KJJ1" s="301"/>
      <c r="KJK1" s="301"/>
      <c r="KJL1" s="301"/>
      <c r="KJM1" s="301"/>
      <c r="KJN1" s="301"/>
      <c r="KJO1" s="301"/>
      <c r="KJP1" s="301"/>
      <c r="KJQ1" s="301"/>
      <c r="KJR1" s="301"/>
      <c r="KJS1" s="301"/>
      <c r="KJT1" s="301"/>
      <c r="KJU1" s="301"/>
      <c r="KJV1" s="301"/>
      <c r="KJW1" s="301"/>
      <c r="KJX1" s="301"/>
      <c r="KJY1" s="301"/>
      <c r="KJZ1" s="301"/>
      <c r="KKA1" s="301"/>
      <c r="KKB1" s="301"/>
      <c r="KKC1" s="301"/>
      <c r="KKD1" s="301"/>
      <c r="KKE1" s="301"/>
      <c r="KKF1" s="301"/>
      <c r="KKG1" s="301"/>
      <c r="KKH1" s="301"/>
      <c r="KKI1" s="301"/>
      <c r="KKJ1" s="301"/>
      <c r="KKK1" s="301"/>
      <c r="KKL1" s="301"/>
      <c r="KKM1" s="301"/>
      <c r="KKN1" s="301"/>
      <c r="KKO1" s="301"/>
      <c r="KKP1" s="301"/>
      <c r="KKQ1" s="301"/>
      <c r="KKR1" s="301"/>
      <c r="KKS1" s="301"/>
      <c r="KKT1" s="301"/>
      <c r="KKU1" s="301"/>
      <c r="KKV1" s="301"/>
      <c r="KKW1" s="301"/>
      <c r="KKX1" s="301"/>
      <c r="KKY1" s="301"/>
      <c r="KKZ1" s="301"/>
      <c r="KLA1" s="301"/>
      <c r="KLB1" s="301"/>
      <c r="KLC1" s="301"/>
      <c r="KLD1" s="301"/>
      <c r="KLE1" s="301"/>
      <c r="KLF1" s="301"/>
      <c r="KLG1" s="301"/>
      <c r="KLH1" s="301"/>
      <c r="KLI1" s="301"/>
      <c r="KLJ1" s="301"/>
      <c r="KLK1" s="301"/>
      <c r="KLL1" s="301"/>
      <c r="KLM1" s="301"/>
      <c r="KLN1" s="301"/>
      <c r="KLO1" s="301"/>
      <c r="KLP1" s="301"/>
      <c r="KLQ1" s="301"/>
      <c r="KLR1" s="301"/>
      <c r="KLS1" s="301"/>
      <c r="KLT1" s="301"/>
      <c r="KLU1" s="301"/>
      <c r="KLV1" s="301"/>
      <c r="KLW1" s="301"/>
      <c r="KLX1" s="301"/>
      <c r="KLY1" s="301"/>
      <c r="KLZ1" s="301"/>
      <c r="KMA1" s="301"/>
      <c r="KMB1" s="301"/>
      <c r="KMC1" s="301"/>
      <c r="KMD1" s="301"/>
      <c r="KME1" s="301"/>
      <c r="KMF1" s="301"/>
      <c r="KMG1" s="301"/>
      <c r="KMH1" s="301"/>
      <c r="KMI1" s="301"/>
      <c r="KMJ1" s="301"/>
      <c r="KMK1" s="301"/>
      <c r="KML1" s="301"/>
      <c r="KMM1" s="301"/>
      <c r="KMN1" s="301"/>
      <c r="KMO1" s="301"/>
      <c r="KMP1" s="301"/>
      <c r="KMQ1" s="301"/>
      <c r="KMR1" s="301"/>
      <c r="KMS1" s="301"/>
      <c r="KMT1" s="301"/>
      <c r="KMU1" s="301"/>
      <c r="KMV1" s="301"/>
      <c r="KMW1" s="301"/>
      <c r="KMX1" s="301"/>
      <c r="KMY1" s="301"/>
      <c r="KMZ1" s="301"/>
      <c r="KNA1" s="301"/>
      <c r="KNB1" s="301"/>
      <c r="KNC1" s="301"/>
      <c r="KND1" s="301"/>
      <c r="KNE1" s="301"/>
      <c r="KNF1" s="301"/>
      <c r="KNG1" s="301"/>
      <c r="KNH1" s="301"/>
      <c r="KNI1" s="301"/>
      <c r="KNJ1" s="301"/>
      <c r="KNK1" s="301"/>
      <c r="KNL1" s="301"/>
      <c r="KNM1" s="301"/>
      <c r="KNN1" s="301"/>
      <c r="KNO1" s="301"/>
      <c r="KNP1" s="301"/>
      <c r="KNQ1" s="301"/>
      <c r="KNR1" s="301"/>
      <c r="KNS1" s="301"/>
      <c r="KNT1" s="301"/>
      <c r="KNU1" s="301"/>
      <c r="KNV1" s="301"/>
      <c r="KNW1" s="301"/>
      <c r="KNX1" s="301"/>
      <c r="KNY1" s="301"/>
      <c r="KNZ1" s="301"/>
      <c r="KOA1" s="301"/>
      <c r="KOB1" s="301"/>
      <c r="KOC1" s="301"/>
      <c r="KOD1" s="301"/>
      <c r="KOE1" s="301"/>
      <c r="KOF1" s="301"/>
      <c r="KOG1" s="301"/>
      <c r="KOH1" s="301"/>
      <c r="KOI1" s="301"/>
      <c r="KOJ1" s="301"/>
      <c r="KOK1" s="301"/>
      <c r="KOL1" s="301"/>
      <c r="KOM1" s="301"/>
      <c r="KON1" s="301"/>
      <c r="KOO1" s="301"/>
      <c r="KOP1" s="301"/>
      <c r="KOQ1" s="301"/>
      <c r="KOR1" s="301"/>
      <c r="KOS1" s="301"/>
      <c r="KOT1" s="301"/>
      <c r="KOU1" s="301"/>
      <c r="KOV1" s="301"/>
      <c r="KOW1" s="301"/>
      <c r="KOX1" s="301"/>
      <c r="KOY1" s="301"/>
      <c r="KOZ1" s="301"/>
      <c r="KPA1" s="301"/>
      <c r="KPB1" s="301"/>
      <c r="KPC1" s="301"/>
      <c r="KPD1" s="301"/>
      <c r="KPE1" s="301"/>
      <c r="KPF1" s="301"/>
      <c r="KPG1" s="301"/>
      <c r="KPH1" s="301"/>
      <c r="KPI1" s="301"/>
      <c r="KPJ1" s="301"/>
      <c r="KPK1" s="301"/>
      <c r="KPL1" s="301"/>
      <c r="KPM1" s="301"/>
      <c r="KPN1" s="301"/>
      <c r="KPO1" s="301"/>
      <c r="KPP1" s="301"/>
      <c r="KPQ1" s="301"/>
      <c r="KPR1" s="301"/>
      <c r="KPS1" s="301"/>
      <c r="KPT1" s="301"/>
      <c r="KPU1" s="301"/>
      <c r="KPV1" s="301"/>
      <c r="KPW1" s="301"/>
      <c r="KPX1" s="301"/>
      <c r="KPY1" s="301"/>
      <c r="KPZ1" s="301"/>
      <c r="KQA1" s="301"/>
      <c r="KQB1" s="301"/>
      <c r="KQC1" s="301"/>
      <c r="KQD1" s="301"/>
      <c r="KQE1" s="301"/>
      <c r="KQF1" s="301"/>
      <c r="KQG1" s="301"/>
      <c r="KQH1" s="301"/>
      <c r="KQI1" s="301"/>
      <c r="KQJ1" s="301"/>
      <c r="KQK1" s="301"/>
      <c r="KQL1" s="301"/>
      <c r="KQM1" s="301"/>
      <c r="KQN1" s="301"/>
      <c r="KQO1" s="301"/>
      <c r="KQP1" s="301"/>
      <c r="KQQ1" s="301"/>
      <c r="KQR1" s="301"/>
      <c r="KQS1" s="301"/>
      <c r="KQT1" s="301"/>
      <c r="KQU1" s="301"/>
      <c r="KQV1" s="301"/>
      <c r="KQW1" s="301"/>
      <c r="KQX1" s="301"/>
      <c r="KQY1" s="301"/>
      <c r="KQZ1" s="301"/>
      <c r="KRA1" s="301"/>
      <c r="KRB1" s="301"/>
      <c r="KRC1" s="301"/>
      <c r="KRD1" s="301"/>
      <c r="KRE1" s="301"/>
      <c r="KRF1" s="301"/>
      <c r="KRG1" s="301"/>
      <c r="KRH1" s="301"/>
      <c r="KRI1" s="301"/>
      <c r="KRJ1" s="301"/>
      <c r="KRK1" s="301"/>
      <c r="KRL1" s="301"/>
      <c r="KRM1" s="301"/>
      <c r="KRN1" s="301"/>
      <c r="KRO1" s="301"/>
      <c r="KRP1" s="301"/>
      <c r="KRQ1" s="301"/>
      <c r="KRR1" s="301"/>
      <c r="KRS1" s="301"/>
      <c r="KRT1" s="301"/>
      <c r="KRU1" s="301"/>
      <c r="KRV1" s="301"/>
      <c r="KRW1" s="301"/>
      <c r="KRX1" s="301"/>
      <c r="KRY1" s="301"/>
      <c r="KRZ1" s="301"/>
      <c r="KSA1" s="301"/>
      <c r="KSB1" s="301"/>
      <c r="KSC1" s="301"/>
      <c r="KSD1" s="301"/>
      <c r="KSE1" s="301"/>
      <c r="KSF1" s="301"/>
      <c r="KSG1" s="301"/>
      <c r="KSH1" s="301"/>
      <c r="KSI1" s="301"/>
      <c r="KSJ1" s="301"/>
      <c r="KSK1" s="301"/>
      <c r="KSL1" s="301"/>
      <c r="KSM1" s="301"/>
      <c r="KSN1" s="301"/>
      <c r="KSO1" s="301"/>
      <c r="KSP1" s="301"/>
      <c r="KSQ1" s="301"/>
      <c r="KSR1" s="301"/>
      <c r="KSS1" s="301"/>
      <c r="KST1" s="301"/>
      <c r="KSU1" s="301"/>
      <c r="KSV1" s="301"/>
      <c r="KSW1" s="301"/>
      <c r="KSX1" s="301"/>
      <c r="KSY1" s="301"/>
      <c r="KSZ1" s="301"/>
      <c r="KTA1" s="301"/>
      <c r="KTB1" s="301"/>
      <c r="KTC1" s="301"/>
      <c r="KTD1" s="301"/>
      <c r="KTE1" s="301"/>
      <c r="KTF1" s="301"/>
      <c r="KTG1" s="301"/>
      <c r="KTH1" s="301"/>
      <c r="KTI1" s="301"/>
      <c r="KTJ1" s="301"/>
      <c r="KTK1" s="301"/>
      <c r="KTL1" s="301"/>
      <c r="KTM1" s="301"/>
      <c r="KTN1" s="301"/>
      <c r="KTO1" s="301"/>
      <c r="KTP1" s="301"/>
      <c r="KTQ1" s="301"/>
      <c r="KTR1" s="301"/>
      <c r="KTS1" s="301"/>
      <c r="KTT1" s="301"/>
      <c r="KTU1" s="301"/>
      <c r="KTV1" s="301"/>
      <c r="KTW1" s="301"/>
      <c r="KTX1" s="301"/>
      <c r="KTY1" s="301"/>
      <c r="KTZ1" s="301"/>
      <c r="KUA1" s="301"/>
      <c r="KUB1" s="301"/>
      <c r="KUC1" s="301"/>
      <c r="KUD1" s="301"/>
      <c r="KUE1" s="301"/>
      <c r="KUF1" s="301"/>
      <c r="KUG1" s="301"/>
      <c r="KUH1" s="301"/>
      <c r="KUI1" s="301"/>
      <c r="KUJ1" s="301"/>
      <c r="KUK1" s="301"/>
      <c r="KUL1" s="301"/>
      <c r="KUM1" s="301"/>
      <c r="KUN1" s="301"/>
      <c r="KUO1" s="301"/>
      <c r="KUP1" s="301"/>
      <c r="KUQ1" s="301"/>
      <c r="KUR1" s="301"/>
      <c r="KUS1" s="301"/>
      <c r="KUT1" s="301"/>
      <c r="KUU1" s="301"/>
      <c r="KUV1" s="301"/>
      <c r="KUW1" s="301"/>
      <c r="KUX1" s="301"/>
      <c r="KUY1" s="301"/>
      <c r="KUZ1" s="301"/>
      <c r="KVA1" s="301"/>
      <c r="KVB1" s="301"/>
      <c r="KVC1" s="301"/>
      <c r="KVD1" s="301"/>
      <c r="KVE1" s="301"/>
      <c r="KVF1" s="301"/>
      <c r="KVG1" s="301"/>
      <c r="KVH1" s="301"/>
      <c r="KVI1" s="301"/>
      <c r="KVJ1" s="301"/>
      <c r="KVK1" s="301"/>
      <c r="KVL1" s="301"/>
      <c r="KVM1" s="301"/>
      <c r="KVN1" s="301"/>
      <c r="KVO1" s="301"/>
      <c r="KVP1" s="301"/>
      <c r="KVQ1" s="301"/>
      <c r="KVR1" s="301"/>
      <c r="KVS1" s="301"/>
      <c r="KVT1" s="301"/>
      <c r="KVU1" s="301"/>
      <c r="KVV1" s="301"/>
      <c r="KVW1" s="301"/>
      <c r="KVX1" s="301"/>
      <c r="KVY1" s="301"/>
      <c r="KVZ1" s="301"/>
      <c r="KWA1" s="301"/>
      <c r="KWB1" s="301"/>
      <c r="KWC1" s="301"/>
      <c r="KWD1" s="301"/>
      <c r="KWE1" s="301"/>
      <c r="KWF1" s="301"/>
      <c r="KWG1" s="301"/>
      <c r="KWH1" s="301"/>
      <c r="KWI1" s="301"/>
      <c r="KWJ1" s="301"/>
      <c r="KWK1" s="301"/>
      <c r="KWL1" s="301"/>
      <c r="KWM1" s="301"/>
      <c r="KWN1" s="301"/>
      <c r="KWO1" s="301"/>
      <c r="KWP1" s="301"/>
      <c r="KWQ1" s="301"/>
      <c r="KWR1" s="301"/>
      <c r="KWS1" s="301"/>
      <c r="KWT1" s="301"/>
      <c r="KWU1" s="301"/>
      <c r="KWV1" s="301"/>
      <c r="KWW1" s="301"/>
      <c r="KWX1" s="301"/>
      <c r="KWY1" s="301"/>
      <c r="KWZ1" s="301"/>
      <c r="KXA1" s="301"/>
      <c r="KXB1" s="301"/>
      <c r="KXC1" s="301"/>
      <c r="KXD1" s="301"/>
      <c r="KXE1" s="301"/>
      <c r="KXF1" s="301"/>
      <c r="KXG1" s="301"/>
      <c r="KXH1" s="301"/>
      <c r="KXI1" s="301"/>
      <c r="KXJ1" s="301"/>
      <c r="KXK1" s="301"/>
      <c r="KXL1" s="301"/>
      <c r="KXM1" s="301"/>
      <c r="KXN1" s="301"/>
      <c r="KXO1" s="301"/>
      <c r="KXP1" s="301"/>
      <c r="KXQ1" s="301"/>
      <c r="KXR1" s="301"/>
      <c r="KXS1" s="301"/>
      <c r="KXT1" s="301"/>
      <c r="KXU1" s="301"/>
      <c r="KXV1" s="301"/>
      <c r="KXW1" s="301"/>
      <c r="KXX1" s="301"/>
      <c r="KXY1" s="301"/>
      <c r="KXZ1" s="301"/>
      <c r="KYA1" s="301"/>
      <c r="KYB1" s="301"/>
      <c r="KYC1" s="301"/>
      <c r="KYD1" s="301"/>
      <c r="KYE1" s="301"/>
      <c r="KYF1" s="301"/>
      <c r="KYG1" s="301"/>
      <c r="KYH1" s="301"/>
      <c r="KYI1" s="301"/>
      <c r="KYJ1" s="301"/>
      <c r="KYK1" s="301"/>
      <c r="KYL1" s="301"/>
      <c r="KYM1" s="301"/>
      <c r="KYN1" s="301"/>
      <c r="KYO1" s="301"/>
      <c r="KYP1" s="301"/>
      <c r="KYQ1" s="301"/>
      <c r="KYR1" s="301"/>
      <c r="KYS1" s="301"/>
      <c r="KYT1" s="301"/>
      <c r="KYU1" s="301"/>
      <c r="KYV1" s="301"/>
      <c r="KYW1" s="301"/>
      <c r="KYX1" s="301"/>
      <c r="KYY1" s="301"/>
      <c r="KYZ1" s="301"/>
      <c r="KZA1" s="301"/>
      <c r="KZB1" s="301"/>
      <c r="KZC1" s="301"/>
      <c r="KZD1" s="301"/>
      <c r="KZE1" s="301"/>
      <c r="KZF1" s="301"/>
      <c r="KZG1" s="301"/>
      <c r="KZH1" s="301"/>
      <c r="KZI1" s="301"/>
      <c r="KZJ1" s="301"/>
      <c r="KZK1" s="301"/>
      <c r="KZL1" s="301"/>
      <c r="KZM1" s="301"/>
      <c r="KZN1" s="301"/>
      <c r="KZO1" s="301"/>
      <c r="KZP1" s="301"/>
      <c r="KZQ1" s="301"/>
      <c r="KZR1" s="301"/>
      <c r="KZS1" s="301"/>
      <c r="KZT1" s="301"/>
      <c r="KZU1" s="301"/>
      <c r="KZV1" s="301"/>
      <c r="KZW1" s="301"/>
      <c r="KZX1" s="301"/>
      <c r="KZY1" s="301"/>
      <c r="KZZ1" s="301"/>
      <c r="LAA1" s="301"/>
      <c r="LAB1" s="301"/>
      <c r="LAC1" s="301"/>
      <c r="LAD1" s="301"/>
      <c r="LAE1" s="301"/>
      <c r="LAF1" s="301"/>
      <c r="LAG1" s="301"/>
      <c r="LAH1" s="301"/>
      <c r="LAI1" s="301"/>
      <c r="LAJ1" s="301"/>
      <c r="LAK1" s="301"/>
      <c r="LAL1" s="301"/>
      <c r="LAM1" s="301"/>
      <c r="LAN1" s="301"/>
      <c r="LAO1" s="301"/>
      <c r="LAP1" s="301"/>
      <c r="LAQ1" s="301"/>
      <c r="LAR1" s="301"/>
      <c r="LAS1" s="301"/>
      <c r="LAT1" s="301"/>
      <c r="LAU1" s="301"/>
      <c r="LAV1" s="301"/>
      <c r="LAW1" s="301"/>
      <c r="LAX1" s="301"/>
      <c r="LAY1" s="301"/>
      <c r="LAZ1" s="301"/>
      <c r="LBA1" s="301"/>
      <c r="LBB1" s="301"/>
      <c r="LBC1" s="301"/>
      <c r="LBD1" s="301"/>
      <c r="LBE1" s="301"/>
      <c r="LBF1" s="301"/>
      <c r="LBG1" s="301"/>
      <c r="LBH1" s="301"/>
      <c r="LBI1" s="301"/>
      <c r="LBJ1" s="301"/>
      <c r="LBK1" s="301"/>
      <c r="LBL1" s="301"/>
      <c r="LBM1" s="301"/>
      <c r="LBN1" s="301"/>
      <c r="LBO1" s="301"/>
      <c r="LBP1" s="301"/>
      <c r="LBQ1" s="301"/>
      <c r="LBR1" s="301"/>
      <c r="LBS1" s="301"/>
      <c r="LBT1" s="301"/>
      <c r="LBU1" s="301"/>
      <c r="LBV1" s="301"/>
      <c r="LBW1" s="301"/>
      <c r="LBX1" s="301"/>
      <c r="LBY1" s="301"/>
      <c r="LBZ1" s="301"/>
      <c r="LCA1" s="301"/>
      <c r="LCB1" s="301"/>
      <c r="LCC1" s="301"/>
      <c r="LCD1" s="301"/>
      <c r="LCE1" s="301"/>
      <c r="LCF1" s="301"/>
      <c r="LCG1" s="301"/>
      <c r="LCH1" s="301"/>
      <c r="LCI1" s="301"/>
      <c r="LCJ1" s="301"/>
      <c r="LCK1" s="301"/>
      <c r="LCL1" s="301"/>
      <c r="LCM1" s="301"/>
      <c r="LCN1" s="301"/>
      <c r="LCO1" s="301"/>
      <c r="LCP1" s="301"/>
      <c r="LCQ1" s="301"/>
      <c r="LCR1" s="301"/>
      <c r="LCS1" s="301"/>
      <c r="LCT1" s="301"/>
      <c r="LCU1" s="301"/>
      <c r="LCV1" s="301"/>
      <c r="LCW1" s="301"/>
      <c r="LCX1" s="301"/>
      <c r="LCY1" s="301"/>
      <c r="LCZ1" s="301"/>
      <c r="LDA1" s="301"/>
      <c r="LDB1" s="301"/>
      <c r="LDC1" s="301"/>
      <c r="LDD1" s="301"/>
      <c r="LDE1" s="301"/>
      <c r="LDF1" s="301"/>
      <c r="LDG1" s="301"/>
      <c r="LDH1" s="301"/>
      <c r="LDI1" s="301"/>
      <c r="LDJ1" s="301"/>
      <c r="LDK1" s="301"/>
      <c r="LDL1" s="301"/>
      <c r="LDM1" s="301"/>
      <c r="LDN1" s="301"/>
      <c r="LDO1" s="301"/>
      <c r="LDP1" s="301"/>
      <c r="LDQ1" s="301"/>
      <c r="LDR1" s="301"/>
      <c r="LDS1" s="301"/>
      <c r="LDT1" s="301"/>
      <c r="LDU1" s="301"/>
      <c r="LDV1" s="301"/>
      <c r="LDW1" s="301"/>
      <c r="LDX1" s="301"/>
      <c r="LDY1" s="301"/>
      <c r="LDZ1" s="301"/>
      <c r="LEA1" s="301"/>
      <c r="LEB1" s="301"/>
      <c r="LEC1" s="301"/>
      <c r="LED1" s="301"/>
      <c r="LEE1" s="301"/>
      <c r="LEF1" s="301"/>
      <c r="LEG1" s="301"/>
      <c r="LEH1" s="301"/>
      <c r="LEI1" s="301"/>
      <c r="LEJ1" s="301"/>
      <c r="LEK1" s="301"/>
      <c r="LEL1" s="301"/>
      <c r="LEM1" s="301"/>
      <c r="LEN1" s="301"/>
      <c r="LEO1" s="301"/>
      <c r="LEP1" s="301"/>
      <c r="LEQ1" s="301"/>
      <c r="LER1" s="301"/>
      <c r="LES1" s="301"/>
      <c r="LET1" s="301"/>
      <c r="LEU1" s="301"/>
      <c r="LEV1" s="301"/>
      <c r="LEW1" s="301"/>
      <c r="LEX1" s="301"/>
      <c r="LEY1" s="301"/>
      <c r="LEZ1" s="301"/>
      <c r="LFA1" s="301"/>
      <c r="LFB1" s="301"/>
      <c r="LFC1" s="301"/>
      <c r="LFD1" s="301"/>
      <c r="LFE1" s="301"/>
      <c r="LFF1" s="301"/>
      <c r="LFG1" s="301"/>
      <c r="LFH1" s="301"/>
      <c r="LFI1" s="301"/>
      <c r="LFJ1" s="301"/>
      <c r="LFK1" s="301"/>
      <c r="LFL1" s="301"/>
      <c r="LFM1" s="301"/>
      <c r="LFN1" s="301"/>
      <c r="LFO1" s="301"/>
      <c r="LFP1" s="301"/>
      <c r="LFQ1" s="301"/>
      <c r="LFR1" s="301"/>
      <c r="LFS1" s="301"/>
      <c r="LFT1" s="301"/>
      <c r="LFU1" s="301"/>
      <c r="LFV1" s="301"/>
      <c r="LFW1" s="301"/>
      <c r="LFX1" s="301"/>
      <c r="LFY1" s="301"/>
      <c r="LFZ1" s="301"/>
      <c r="LGA1" s="301"/>
      <c r="LGB1" s="301"/>
      <c r="LGC1" s="301"/>
      <c r="LGD1" s="301"/>
      <c r="LGE1" s="301"/>
      <c r="LGF1" s="301"/>
      <c r="LGG1" s="301"/>
      <c r="LGH1" s="301"/>
      <c r="LGI1" s="301"/>
      <c r="LGJ1" s="301"/>
      <c r="LGK1" s="301"/>
      <c r="LGL1" s="301"/>
      <c r="LGM1" s="301"/>
      <c r="LGN1" s="301"/>
      <c r="LGO1" s="301"/>
      <c r="LGP1" s="301"/>
      <c r="LGQ1" s="301"/>
      <c r="LGR1" s="301"/>
      <c r="LGS1" s="301"/>
      <c r="LGT1" s="301"/>
      <c r="LGU1" s="301"/>
      <c r="LGV1" s="301"/>
      <c r="LGW1" s="301"/>
      <c r="LGX1" s="301"/>
      <c r="LGY1" s="301"/>
      <c r="LGZ1" s="301"/>
      <c r="LHA1" s="301"/>
      <c r="LHB1" s="301"/>
      <c r="LHC1" s="301"/>
      <c r="LHD1" s="301"/>
      <c r="LHE1" s="301"/>
      <c r="LHF1" s="301"/>
      <c r="LHG1" s="301"/>
      <c r="LHH1" s="301"/>
      <c r="LHI1" s="301"/>
      <c r="LHJ1" s="301"/>
      <c r="LHK1" s="301"/>
      <c r="LHL1" s="301"/>
      <c r="LHM1" s="301"/>
      <c r="LHN1" s="301"/>
      <c r="LHO1" s="301"/>
      <c r="LHP1" s="301"/>
      <c r="LHQ1" s="301"/>
      <c r="LHR1" s="301"/>
      <c r="LHS1" s="301"/>
      <c r="LHT1" s="301"/>
      <c r="LHU1" s="301"/>
      <c r="LHV1" s="301"/>
      <c r="LHW1" s="301"/>
      <c r="LHX1" s="301"/>
      <c r="LHY1" s="301"/>
      <c r="LHZ1" s="301"/>
      <c r="LIA1" s="301"/>
      <c r="LIB1" s="301"/>
      <c r="LIC1" s="301"/>
      <c r="LID1" s="301"/>
      <c r="LIE1" s="301"/>
      <c r="LIF1" s="301"/>
      <c r="LIG1" s="301"/>
      <c r="LIH1" s="301"/>
      <c r="LII1" s="301"/>
      <c r="LIJ1" s="301"/>
      <c r="LIK1" s="301"/>
      <c r="LIL1" s="301"/>
      <c r="LIM1" s="301"/>
      <c r="LIN1" s="301"/>
      <c r="LIO1" s="301"/>
      <c r="LIP1" s="301"/>
      <c r="LIQ1" s="301"/>
      <c r="LIR1" s="301"/>
      <c r="LIS1" s="301"/>
      <c r="LIT1" s="301"/>
      <c r="LIU1" s="301"/>
      <c r="LIV1" s="301"/>
      <c r="LIW1" s="301"/>
      <c r="LIX1" s="301"/>
      <c r="LIY1" s="301"/>
      <c r="LIZ1" s="301"/>
      <c r="LJA1" s="301"/>
      <c r="LJB1" s="301"/>
      <c r="LJC1" s="301"/>
      <c r="LJD1" s="301"/>
      <c r="LJE1" s="301"/>
      <c r="LJF1" s="301"/>
      <c r="LJG1" s="301"/>
      <c r="LJH1" s="301"/>
      <c r="LJI1" s="301"/>
      <c r="LJJ1" s="301"/>
      <c r="LJK1" s="301"/>
      <c r="LJL1" s="301"/>
      <c r="LJM1" s="301"/>
      <c r="LJN1" s="301"/>
      <c r="LJO1" s="301"/>
      <c r="LJP1" s="301"/>
      <c r="LJQ1" s="301"/>
      <c r="LJR1" s="301"/>
      <c r="LJS1" s="301"/>
      <c r="LJT1" s="301"/>
      <c r="LJU1" s="301"/>
      <c r="LJV1" s="301"/>
      <c r="LJW1" s="301"/>
      <c r="LJX1" s="301"/>
      <c r="LJY1" s="301"/>
      <c r="LJZ1" s="301"/>
      <c r="LKA1" s="301"/>
      <c r="LKB1" s="301"/>
      <c r="LKC1" s="301"/>
      <c r="LKD1" s="301"/>
      <c r="LKE1" s="301"/>
      <c r="LKF1" s="301"/>
      <c r="LKG1" s="301"/>
      <c r="LKH1" s="301"/>
      <c r="LKI1" s="301"/>
      <c r="LKJ1" s="301"/>
      <c r="LKK1" s="301"/>
      <c r="LKL1" s="301"/>
      <c r="LKM1" s="301"/>
      <c r="LKN1" s="301"/>
      <c r="LKO1" s="301"/>
      <c r="LKP1" s="301"/>
      <c r="LKQ1" s="301"/>
      <c r="LKR1" s="301"/>
      <c r="LKS1" s="301"/>
      <c r="LKT1" s="301"/>
      <c r="LKU1" s="301"/>
      <c r="LKV1" s="301"/>
      <c r="LKW1" s="301"/>
      <c r="LKX1" s="301"/>
      <c r="LKY1" s="301"/>
      <c r="LKZ1" s="301"/>
      <c r="LLA1" s="301"/>
      <c r="LLB1" s="301"/>
      <c r="LLC1" s="301"/>
      <c r="LLD1" s="301"/>
      <c r="LLE1" s="301"/>
      <c r="LLF1" s="301"/>
      <c r="LLG1" s="301"/>
      <c r="LLH1" s="301"/>
      <c r="LLI1" s="301"/>
      <c r="LLJ1" s="301"/>
      <c r="LLK1" s="301"/>
      <c r="LLL1" s="301"/>
      <c r="LLM1" s="301"/>
      <c r="LLN1" s="301"/>
      <c r="LLO1" s="301"/>
      <c r="LLP1" s="301"/>
      <c r="LLQ1" s="301"/>
      <c r="LLR1" s="301"/>
      <c r="LLS1" s="301"/>
      <c r="LLT1" s="301"/>
      <c r="LLU1" s="301"/>
      <c r="LLV1" s="301"/>
      <c r="LLW1" s="301"/>
      <c r="LLX1" s="301"/>
      <c r="LLY1" s="301"/>
      <c r="LLZ1" s="301"/>
      <c r="LMA1" s="301"/>
      <c r="LMB1" s="301"/>
      <c r="LMC1" s="301"/>
      <c r="LMD1" s="301"/>
      <c r="LME1" s="301"/>
      <c r="LMF1" s="301"/>
      <c r="LMG1" s="301"/>
      <c r="LMH1" s="301"/>
      <c r="LMI1" s="301"/>
      <c r="LMJ1" s="301"/>
      <c r="LMK1" s="301"/>
      <c r="LML1" s="301"/>
      <c r="LMM1" s="301"/>
      <c r="LMN1" s="301"/>
      <c r="LMO1" s="301"/>
      <c r="LMP1" s="301"/>
      <c r="LMQ1" s="301"/>
      <c r="LMR1" s="301"/>
      <c r="LMS1" s="301"/>
      <c r="LMT1" s="301"/>
      <c r="LMU1" s="301"/>
      <c r="LMV1" s="301"/>
      <c r="LMW1" s="301"/>
      <c r="LMX1" s="301"/>
      <c r="LMY1" s="301"/>
      <c r="LMZ1" s="301"/>
      <c r="LNA1" s="301"/>
      <c r="LNB1" s="301"/>
      <c r="LNC1" s="301"/>
      <c r="LND1" s="301"/>
      <c r="LNE1" s="301"/>
      <c r="LNF1" s="301"/>
      <c r="LNG1" s="301"/>
      <c r="LNH1" s="301"/>
      <c r="LNI1" s="301"/>
      <c r="LNJ1" s="301"/>
      <c r="LNK1" s="301"/>
      <c r="LNL1" s="301"/>
      <c r="LNM1" s="301"/>
      <c r="LNN1" s="301"/>
      <c r="LNO1" s="301"/>
      <c r="LNP1" s="301"/>
      <c r="LNQ1" s="301"/>
      <c r="LNR1" s="301"/>
      <c r="LNS1" s="301"/>
      <c r="LNT1" s="301"/>
      <c r="LNU1" s="301"/>
      <c r="LNV1" s="301"/>
      <c r="LNW1" s="301"/>
      <c r="LNX1" s="301"/>
      <c r="LNY1" s="301"/>
      <c r="LNZ1" s="301"/>
      <c r="LOA1" s="301"/>
      <c r="LOB1" s="301"/>
      <c r="LOC1" s="301"/>
      <c r="LOD1" s="301"/>
      <c r="LOE1" s="301"/>
      <c r="LOF1" s="301"/>
      <c r="LOG1" s="301"/>
      <c r="LOH1" s="301"/>
      <c r="LOI1" s="301"/>
      <c r="LOJ1" s="301"/>
      <c r="LOK1" s="301"/>
      <c r="LOL1" s="301"/>
      <c r="LOM1" s="301"/>
      <c r="LON1" s="301"/>
      <c r="LOO1" s="301"/>
      <c r="LOP1" s="301"/>
      <c r="LOQ1" s="301"/>
      <c r="LOR1" s="301"/>
      <c r="LOS1" s="301"/>
      <c r="LOT1" s="301"/>
      <c r="LOU1" s="301"/>
      <c r="LOV1" s="301"/>
      <c r="LOW1" s="301"/>
      <c r="LOX1" s="301"/>
      <c r="LOY1" s="301"/>
      <c r="LOZ1" s="301"/>
      <c r="LPA1" s="301"/>
      <c r="LPB1" s="301"/>
      <c r="LPC1" s="301"/>
      <c r="LPD1" s="301"/>
      <c r="LPE1" s="301"/>
      <c r="LPF1" s="301"/>
      <c r="LPG1" s="301"/>
      <c r="LPH1" s="301"/>
      <c r="LPI1" s="301"/>
      <c r="LPJ1" s="301"/>
      <c r="LPK1" s="301"/>
      <c r="LPL1" s="301"/>
      <c r="LPM1" s="301"/>
      <c r="LPN1" s="301"/>
      <c r="LPO1" s="301"/>
      <c r="LPP1" s="301"/>
      <c r="LPQ1" s="301"/>
      <c r="LPR1" s="301"/>
      <c r="LPS1" s="301"/>
      <c r="LPT1" s="301"/>
      <c r="LPU1" s="301"/>
      <c r="LPV1" s="301"/>
      <c r="LPW1" s="301"/>
      <c r="LPX1" s="301"/>
      <c r="LPY1" s="301"/>
      <c r="LPZ1" s="301"/>
      <c r="LQA1" s="301"/>
      <c r="LQB1" s="301"/>
      <c r="LQC1" s="301"/>
      <c r="LQD1" s="301"/>
      <c r="LQE1" s="301"/>
      <c r="LQF1" s="301"/>
      <c r="LQG1" s="301"/>
      <c r="LQH1" s="301"/>
      <c r="LQI1" s="301"/>
      <c r="LQJ1" s="301"/>
      <c r="LQK1" s="301"/>
      <c r="LQL1" s="301"/>
      <c r="LQM1" s="301"/>
      <c r="LQN1" s="301"/>
      <c r="LQO1" s="301"/>
      <c r="LQP1" s="301"/>
      <c r="LQQ1" s="301"/>
      <c r="LQR1" s="301"/>
      <c r="LQS1" s="301"/>
      <c r="LQT1" s="301"/>
      <c r="LQU1" s="301"/>
      <c r="LQV1" s="301"/>
      <c r="LQW1" s="301"/>
      <c r="LQX1" s="301"/>
      <c r="LQY1" s="301"/>
      <c r="LQZ1" s="301"/>
      <c r="LRA1" s="301"/>
      <c r="LRB1" s="301"/>
      <c r="LRC1" s="301"/>
      <c r="LRD1" s="301"/>
      <c r="LRE1" s="301"/>
      <c r="LRF1" s="301"/>
      <c r="LRG1" s="301"/>
      <c r="LRH1" s="301"/>
      <c r="LRI1" s="301"/>
      <c r="LRJ1" s="301"/>
      <c r="LRK1" s="301"/>
      <c r="LRL1" s="301"/>
      <c r="LRM1" s="301"/>
      <c r="LRN1" s="301"/>
      <c r="LRO1" s="301"/>
      <c r="LRP1" s="301"/>
      <c r="LRQ1" s="301"/>
      <c r="LRR1" s="301"/>
      <c r="LRS1" s="301"/>
      <c r="LRT1" s="301"/>
      <c r="LRU1" s="301"/>
      <c r="LRV1" s="301"/>
      <c r="LRW1" s="301"/>
      <c r="LRX1" s="301"/>
      <c r="LRY1" s="301"/>
      <c r="LRZ1" s="301"/>
      <c r="LSA1" s="301"/>
      <c r="LSB1" s="301"/>
      <c r="LSC1" s="301"/>
      <c r="LSD1" s="301"/>
      <c r="LSE1" s="301"/>
      <c r="LSF1" s="301"/>
      <c r="LSG1" s="301"/>
      <c r="LSH1" s="301"/>
      <c r="LSI1" s="301"/>
      <c r="LSJ1" s="301"/>
      <c r="LSK1" s="301"/>
      <c r="LSL1" s="301"/>
      <c r="LSM1" s="301"/>
      <c r="LSN1" s="301"/>
      <c r="LSO1" s="301"/>
      <c r="LSP1" s="301"/>
      <c r="LSQ1" s="301"/>
      <c r="LSR1" s="301"/>
      <c r="LSS1" s="301"/>
      <c r="LST1" s="301"/>
      <c r="LSU1" s="301"/>
      <c r="LSV1" s="301"/>
      <c r="LSW1" s="301"/>
      <c r="LSX1" s="301"/>
      <c r="LSY1" s="301"/>
      <c r="LSZ1" s="301"/>
      <c r="LTA1" s="301"/>
      <c r="LTB1" s="301"/>
      <c r="LTC1" s="301"/>
      <c r="LTD1" s="301"/>
      <c r="LTE1" s="301"/>
      <c r="LTF1" s="301"/>
      <c r="LTG1" s="301"/>
      <c r="LTH1" s="301"/>
      <c r="LTI1" s="301"/>
      <c r="LTJ1" s="301"/>
      <c r="LTK1" s="301"/>
      <c r="LTL1" s="301"/>
      <c r="LTM1" s="301"/>
      <c r="LTN1" s="301"/>
      <c r="LTO1" s="301"/>
      <c r="LTP1" s="301"/>
      <c r="LTQ1" s="301"/>
      <c r="LTR1" s="301"/>
      <c r="LTS1" s="301"/>
      <c r="LTT1" s="301"/>
      <c r="LTU1" s="301"/>
      <c r="LTV1" s="301"/>
      <c r="LTW1" s="301"/>
      <c r="LTX1" s="301"/>
      <c r="LTY1" s="301"/>
      <c r="LTZ1" s="301"/>
      <c r="LUA1" s="301"/>
      <c r="LUB1" s="301"/>
      <c r="LUC1" s="301"/>
      <c r="LUD1" s="301"/>
      <c r="LUE1" s="301"/>
      <c r="LUF1" s="301"/>
      <c r="LUG1" s="301"/>
      <c r="LUH1" s="301"/>
      <c r="LUI1" s="301"/>
      <c r="LUJ1" s="301"/>
      <c r="LUK1" s="301"/>
      <c r="LUL1" s="301"/>
      <c r="LUM1" s="301"/>
      <c r="LUN1" s="301"/>
      <c r="LUO1" s="301"/>
      <c r="LUP1" s="301"/>
      <c r="LUQ1" s="301"/>
      <c r="LUR1" s="301"/>
      <c r="LUS1" s="301"/>
      <c r="LUT1" s="301"/>
      <c r="LUU1" s="301"/>
      <c r="LUV1" s="301"/>
      <c r="LUW1" s="301"/>
      <c r="LUX1" s="301"/>
      <c r="LUY1" s="301"/>
      <c r="LUZ1" s="301"/>
      <c r="LVA1" s="301"/>
      <c r="LVB1" s="301"/>
      <c r="LVC1" s="301"/>
      <c r="LVD1" s="301"/>
      <c r="LVE1" s="301"/>
      <c r="LVF1" s="301"/>
      <c r="LVG1" s="301"/>
      <c r="LVH1" s="301"/>
      <c r="LVI1" s="301"/>
      <c r="LVJ1" s="301"/>
      <c r="LVK1" s="301"/>
      <c r="LVL1" s="301"/>
      <c r="LVM1" s="301"/>
      <c r="LVN1" s="301"/>
      <c r="LVO1" s="301"/>
      <c r="LVP1" s="301"/>
      <c r="LVQ1" s="301"/>
      <c r="LVR1" s="301"/>
      <c r="LVS1" s="301"/>
      <c r="LVT1" s="301"/>
      <c r="LVU1" s="301"/>
      <c r="LVV1" s="301"/>
      <c r="LVW1" s="301"/>
      <c r="LVX1" s="301"/>
      <c r="LVY1" s="301"/>
      <c r="LVZ1" s="301"/>
      <c r="LWA1" s="301"/>
      <c r="LWB1" s="301"/>
      <c r="LWC1" s="301"/>
      <c r="LWD1" s="301"/>
      <c r="LWE1" s="301"/>
      <c r="LWF1" s="301"/>
      <c r="LWG1" s="301"/>
      <c r="LWH1" s="301"/>
      <c r="LWI1" s="301"/>
      <c r="LWJ1" s="301"/>
      <c r="LWK1" s="301"/>
      <c r="LWL1" s="301"/>
      <c r="LWM1" s="301"/>
      <c r="LWN1" s="301"/>
      <c r="LWO1" s="301"/>
      <c r="LWP1" s="301"/>
      <c r="LWQ1" s="301"/>
      <c r="LWR1" s="301"/>
      <c r="LWS1" s="301"/>
      <c r="LWT1" s="301"/>
      <c r="LWU1" s="301"/>
      <c r="LWV1" s="301"/>
      <c r="LWW1" s="301"/>
      <c r="LWX1" s="301"/>
      <c r="LWY1" s="301"/>
      <c r="LWZ1" s="301"/>
      <c r="LXA1" s="301"/>
      <c r="LXB1" s="301"/>
      <c r="LXC1" s="301"/>
      <c r="LXD1" s="301"/>
      <c r="LXE1" s="301"/>
      <c r="LXF1" s="301"/>
      <c r="LXG1" s="301"/>
      <c r="LXH1" s="301"/>
      <c r="LXI1" s="301"/>
      <c r="LXJ1" s="301"/>
      <c r="LXK1" s="301"/>
      <c r="LXL1" s="301"/>
      <c r="LXM1" s="301"/>
      <c r="LXN1" s="301"/>
      <c r="LXO1" s="301"/>
      <c r="LXP1" s="301"/>
      <c r="LXQ1" s="301"/>
      <c r="LXR1" s="301"/>
      <c r="LXS1" s="301"/>
      <c r="LXT1" s="301"/>
      <c r="LXU1" s="301"/>
      <c r="LXV1" s="301"/>
      <c r="LXW1" s="301"/>
      <c r="LXX1" s="301"/>
      <c r="LXY1" s="301"/>
      <c r="LXZ1" s="301"/>
      <c r="LYA1" s="301"/>
      <c r="LYB1" s="301"/>
      <c r="LYC1" s="301"/>
      <c r="LYD1" s="301"/>
      <c r="LYE1" s="301"/>
      <c r="LYF1" s="301"/>
      <c r="LYG1" s="301"/>
      <c r="LYH1" s="301"/>
      <c r="LYI1" s="301"/>
      <c r="LYJ1" s="301"/>
      <c r="LYK1" s="301"/>
      <c r="LYL1" s="301"/>
      <c r="LYM1" s="301"/>
      <c r="LYN1" s="301"/>
      <c r="LYO1" s="301"/>
      <c r="LYP1" s="301"/>
      <c r="LYQ1" s="301"/>
      <c r="LYR1" s="301"/>
      <c r="LYS1" s="301"/>
      <c r="LYT1" s="301"/>
      <c r="LYU1" s="301"/>
      <c r="LYV1" s="301"/>
      <c r="LYW1" s="301"/>
      <c r="LYX1" s="301"/>
      <c r="LYY1" s="301"/>
      <c r="LYZ1" s="301"/>
      <c r="LZA1" s="301"/>
      <c r="LZB1" s="301"/>
      <c r="LZC1" s="301"/>
      <c r="LZD1" s="301"/>
      <c r="LZE1" s="301"/>
      <c r="LZF1" s="301"/>
      <c r="LZG1" s="301"/>
      <c r="LZH1" s="301"/>
      <c r="LZI1" s="301"/>
      <c r="LZJ1" s="301"/>
      <c r="LZK1" s="301"/>
      <c r="LZL1" s="301"/>
      <c r="LZM1" s="301"/>
      <c r="LZN1" s="301"/>
      <c r="LZO1" s="301"/>
      <c r="LZP1" s="301"/>
      <c r="LZQ1" s="301"/>
      <c r="LZR1" s="301"/>
      <c r="LZS1" s="301"/>
      <c r="LZT1" s="301"/>
      <c r="LZU1" s="301"/>
      <c r="LZV1" s="301"/>
      <c r="LZW1" s="301"/>
      <c r="LZX1" s="301"/>
      <c r="LZY1" s="301"/>
      <c r="LZZ1" s="301"/>
      <c r="MAA1" s="301"/>
      <c r="MAB1" s="301"/>
      <c r="MAC1" s="301"/>
      <c r="MAD1" s="301"/>
      <c r="MAE1" s="301"/>
      <c r="MAF1" s="301"/>
      <c r="MAG1" s="301"/>
      <c r="MAH1" s="301"/>
      <c r="MAI1" s="301"/>
      <c r="MAJ1" s="301"/>
      <c r="MAK1" s="301"/>
      <c r="MAL1" s="301"/>
      <c r="MAM1" s="301"/>
      <c r="MAN1" s="301"/>
      <c r="MAO1" s="301"/>
      <c r="MAP1" s="301"/>
      <c r="MAQ1" s="301"/>
      <c r="MAR1" s="301"/>
      <c r="MAS1" s="301"/>
      <c r="MAT1" s="301"/>
      <c r="MAU1" s="301"/>
      <c r="MAV1" s="301"/>
      <c r="MAW1" s="301"/>
      <c r="MAX1" s="301"/>
      <c r="MAY1" s="301"/>
      <c r="MAZ1" s="301"/>
      <c r="MBA1" s="301"/>
      <c r="MBB1" s="301"/>
      <c r="MBC1" s="301"/>
      <c r="MBD1" s="301"/>
      <c r="MBE1" s="301"/>
      <c r="MBF1" s="301"/>
      <c r="MBG1" s="301"/>
      <c r="MBH1" s="301"/>
      <c r="MBI1" s="301"/>
      <c r="MBJ1" s="301"/>
      <c r="MBK1" s="301"/>
      <c r="MBL1" s="301"/>
      <c r="MBM1" s="301"/>
      <c r="MBN1" s="301"/>
      <c r="MBO1" s="301"/>
      <c r="MBP1" s="301"/>
      <c r="MBQ1" s="301"/>
      <c r="MBR1" s="301"/>
      <c r="MBS1" s="301"/>
      <c r="MBT1" s="301"/>
      <c r="MBU1" s="301"/>
      <c r="MBV1" s="301"/>
      <c r="MBW1" s="301"/>
      <c r="MBX1" s="301"/>
      <c r="MBY1" s="301"/>
      <c r="MBZ1" s="301"/>
      <c r="MCA1" s="301"/>
      <c r="MCB1" s="301"/>
      <c r="MCC1" s="301"/>
      <c r="MCD1" s="301"/>
      <c r="MCE1" s="301"/>
      <c r="MCF1" s="301"/>
      <c r="MCG1" s="301"/>
      <c r="MCH1" s="301"/>
      <c r="MCI1" s="301"/>
      <c r="MCJ1" s="301"/>
      <c r="MCK1" s="301"/>
      <c r="MCL1" s="301"/>
      <c r="MCM1" s="301"/>
      <c r="MCN1" s="301"/>
      <c r="MCO1" s="301"/>
      <c r="MCP1" s="301"/>
      <c r="MCQ1" s="301"/>
      <c r="MCR1" s="301"/>
      <c r="MCS1" s="301"/>
      <c r="MCT1" s="301"/>
      <c r="MCU1" s="301"/>
      <c r="MCV1" s="301"/>
      <c r="MCW1" s="301"/>
      <c r="MCX1" s="301"/>
      <c r="MCY1" s="301"/>
      <c r="MCZ1" s="301"/>
      <c r="MDA1" s="301"/>
      <c r="MDB1" s="301"/>
      <c r="MDC1" s="301"/>
      <c r="MDD1" s="301"/>
      <c r="MDE1" s="301"/>
      <c r="MDF1" s="301"/>
      <c r="MDG1" s="301"/>
      <c r="MDH1" s="301"/>
      <c r="MDI1" s="301"/>
      <c r="MDJ1" s="301"/>
      <c r="MDK1" s="301"/>
      <c r="MDL1" s="301"/>
      <c r="MDM1" s="301"/>
      <c r="MDN1" s="301"/>
      <c r="MDO1" s="301"/>
      <c r="MDP1" s="301"/>
      <c r="MDQ1" s="301"/>
      <c r="MDR1" s="301"/>
      <c r="MDS1" s="301"/>
      <c r="MDT1" s="301"/>
      <c r="MDU1" s="301"/>
      <c r="MDV1" s="301"/>
      <c r="MDW1" s="301"/>
      <c r="MDX1" s="301"/>
      <c r="MDY1" s="301"/>
      <c r="MDZ1" s="301"/>
      <c r="MEA1" s="301"/>
      <c r="MEB1" s="301"/>
      <c r="MEC1" s="301"/>
      <c r="MED1" s="301"/>
      <c r="MEE1" s="301"/>
      <c r="MEF1" s="301"/>
      <c r="MEG1" s="301"/>
      <c r="MEH1" s="301"/>
      <c r="MEI1" s="301"/>
      <c r="MEJ1" s="301"/>
      <c r="MEK1" s="301"/>
      <c r="MEL1" s="301"/>
      <c r="MEM1" s="301"/>
      <c r="MEN1" s="301"/>
      <c r="MEO1" s="301"/>
      <c r="MEP1" s="301"/>
      <c r="MEQ1" s="301"/>
      <c r="MER1" s="301"/>
      <c r="MES1" s="301"/>
      <c r="MET1" s="301"/>
      <c r="MEU1" s="301"/>
      <c r="MEV1" s="301"/>
      <c r="MEW1" s="301"/>
      <c r="MEX1" s="301"/>
      <c r="MEY1" s="301"/>
      <c r="MEZ1" s="301"/>
      <c r="MFA1" s="301"/>
      <c r="MFB1" s="301"/>
      <c r="MFC1" s="301"/>
      <c r="MFD1" s="301"/>
      <c r="MFE1" s="301"/>
      <c r="MFF1" s="301"/>
      <c r="MFG1" s="301"/>
      <c r="MFH1" s="301"/>
      <c r="MFI1" s="301"/>
      <c r="MFJ1" s="301"/>
      <c r="MFK1" s="301"/>
      <c r="MFL1" s="301"/>
      <c r="MFM1" s="301"/>
      <c r="MFN1" s="301"/>
      <c r="MFO1" s="301"/>
      <c r="MFP1" s="301"/>
      <c r="MFQ1" s="301"/>
      <c r="MFR1" s="301"/>
      <c r="MFS1" s="301"/>
      <c r="MFT1" s="301"/>
      <c r="MFU1" s="301"/>
      <c r="MFV1" s="301"/>
      <c r="MFW1" s="301"/>
      <c r="MFX1" s="301"/>
      <c r="MFY1" s="301"/>
      <c r="MFZ1" s="301"/>
      <c r="MGA1" s="301"/>
      <c r="MGB1" s="301"/>
      <c r="MGC1" s="301"/>
      <c r="MGD1" s="301"/>
      <c r="MGE1" s="301"/>
      <c r="MGF1" s="301"/>
      <c r="MGG1" s="301"/>
      <c r="MGH1" s="301"/>
      <c r="MGI1" s="301"/>
      <c r="MGJ1" s="301"/>
      <c r="MGK1" s="301"/>
      <c r="MGL1" s="301"/>
      <c r="MGM1" s="301"/>
      <c r="MGN1" s="301"/>
      <c r="MGO1" s="301"/>
      <c r="MGP1" s="301"/>
      <c r="MGQ1" s="301"/>
      <c r="MGR1" s="301"/>
      <c r="MGS1" s="301"/>
      <c r="MGT1" s="301"/>
      <c r="MGU1" s="301"/>
      <c r="MGV1" s="301"/>
      <c r="MGW1" s="301"/>
      <c r="MGX1" s="301"/>
      <c r="MGY1" s="301"/>
      <c r="MGZ1" s="301"/>
      <c r="MHA1" s="301"/>
      <c r="MHB1" s="301"/>
      <c r="MHC1" s="301"/>
      <c r="MHD1" s="301"/>
      <c r="MHE1" s="301"/>
      <c r="MHF1" s="301"/>
      <c r="MHG1" s="301"/>
      <c r="MHH1" s="301"/>
      <c r="MHI1" s="301"/>
      <c r="MHJ1" s="301"/>
      <c r="MHK1" s="301"/>
      <c r="MHL1" s="301"/>
      <c r="MHM1" s="301"/>
      <c r="MHN1" s="301"/>
      <c r="MHO1" s="301"/>
      <c r="MHP1" s="301"/>
      <c r="MHQ1" s="301"/>
      <c r="MHR1" s="301"/>
      <c r="MHS1" s="301"/>
      <c r="MHT1" s="301"/>
      <c r="MHU1" s="301"/>
      <c r="MHV1" s="301"/>
      <c r="MHW1" s="301"/>
      <c r="MHX1" s="301"/>
      <c r="MHY1" s="301"/>
      <c r="MHZ1" s="301"/>
      <c r="MIA1" s="301"/>
      <c r="MIB1" s="301"/>
      <c r="MIC1" s="301"/>
      <c r="MID1" s="301"/>
      <c r="MIE1" s="301"/>
      <c r="MIF1" s="301"/>
      <c r="MIG1" s="301"/>
      <c r="MIH1" s="301"/>
      <c r="MII1" s="301"/>
      <c r="MIJ1" s="301"/>
      <c r="MIK1" s="301"/>
      <c r="MIL1" s="301"/>
      <c r="MIM1" s="301"/>
      <c r="MIN1" s="301"/>
      <c r="MIO1" s="301"/>
      <c r="MIP1" s="301"/>
      <c r="MIQ1" s="301"/>
      <c r="MIR1" s="301"/>
      <c r="MIS1" s="301"/>
      <c r="MIT1" s="301"/>
      <c r="MIU1" s="301"/>
      <c r="MIV1" s="301"/>
      <c r="MIW1" s="301"/>
      <c r="MIX1" s="301"/>
      <c r="MIY1" s="301"/>
      <c r="MIZ1" s="301"/>
      <c r="MJA1" s="301"/>
      <c r="MJB1" s="301"/>
      <c r="MJC1" s="301"/>
      <c r="MJD1" s="301"/>
      <c r="MJE1" s="301"/>
      <c r="MJF1" s="301"/>
      <c r="MJG1" s="301"/>
      <c r="MJH1" s="301"/>
      <c r="MJI1" s="301"/>
      <c r="MJJ1" s="301"/>
      <c r="MJK1" s="301"/>
      <c r="MJL1" s="301"/>
      <c r="MJM1" s="301"/>
      <c r="MJN1" s="301"/>
      <c r="MJO1" s="301"/>
      <c r="MJP1" s="301"/>
      <c r="MJQ1" s="301"/>
      <c r="MJR1" s="301"/>
      <c r="MJS1" s="301"/>
      <c r="MJT1" s="301"/>
      <c r="MJU1" s="301"/>
      <c r="MJV1" s="301"/>
      <c r="MJW1" s="301"/>
      <c r="MJX1" s="301"/>
      <c r="MJY1" s="301"/>
      <c r="MJZ1" s="301"/>
      <c r="MKA1" s="301"/>
      <c r="MKB1" s="301"/>
      <c r="MKC1" s="301"/>
      <c r="MKD1" s="301"/>
      <c r="MKE1" s="301"/>
      <c r="MKF1" s="301"/>
      <c r="MKG1" s="301"/>
      <c r="MKH1" s="301"/>
      <c r="MKI1" s="301"/>
      <c r="MKJ1" s="301"/>
      <c r="MKK1" s="301"/>
      <c r="MKL1" s="301"/>
      <c r="MKM1" s="301"/>
      <c r="MKN1" s="301"/>
      <c r="MKO1" s="301"/>
      <c r="MKP1" s="301"/>
      <c r="MKQ1" s="301"/>
      <c r="MKR1" s="301"/>
      <c r="MKS1" s="301"/>
      <c r="MKT1" s="301"/>
      <c r="MKU1" s="301"/>
      <c r="MKV1" s="301"/>
      <c r="MKW1" s="301"/>
      <c r="MKX1" s="301"/>
      <c r="MKY1" s="301"/>
      <c r="MKZ1" s="301"/>
      <c r="MLA1" s="301"/>
      <c r="MLB1" s="301"/>
      <c r="MLC1" s="301"/>
      <c r="MLD1" s="301"/>
      <c r="MLE1" s="301"/>
      <c r="MLF1" s="301"/>
      <c r="MLG1" s="301"/>
      <c r="MLH1" s="301"/>
      <c r="MLI1" s="301"/>
      <c r="MLJ1" s="301"/>
      <c r="MLK1" s="301"/>
      <c r="MLL1" s="301"/>
      <c r="MLM1" s="301"/>
      <c r="MLN1" s="301"/>
      <c r="MLO1" s="301"/>
      <c r="MLP1" s="301"/>
      <c r="MLQ1" s="301"/>
      <c r="MLR1" s="301"/>
      <c r="MLS1" s="301"/>
      <c r="MLT1" s="301"/>
      <c r="MLU1" s="301"/>
      <c r="MLV1" s="301"/>
      <c r="MLW1" s="301"/>
      <c r="MLX1" s="301"/>
      <c r="MLY1" s="301"/>
      <c r="MLZ1" s="301"/>
      <c r="MMA1" s="301"/>
      <c r="MMB1" s="301"/>
      <c r="MMC1" s="301"/>
      <c r="MMD1" s="301"/>
      <c r="MME1" s="301"/>
      <c r="MMF1" s="301"/>
      <c r="MMG1" s="301"/>
      <c r="MMH1" s="301"/>
      <c r="MMI1" s="301"/>
      <c r="MMJ1" s="301"/>
      <c r="MMK1" s="301"/>
      <c r="MML1" s="301"/>
      <c r="MMM1" s="301"/>
      <c r="MMN1" s="301"/>
      <c r="MMO1" s="301"/>
      <c r="MMP1" s="301"/>
      <c r="MMQ1" s="301"/>
      <c r="MMR1" s="301"/>
      <c r="MMS1" s="301"/>
      <c r="MMT1" s="301"/>
      <c r="MMU1" s="301"/>
      <c r="MMV1" s="301"/>
      <c r="MMW1" s="301"/>
      <c r="MMX1" s="301"/>
      <c r="MMY1" s="301"/>
      <c r="MMZ1" s="301"/>
      <c r="MNA1" s="301"/>
      <c r="MNB1" s="301"/>
      <c r="MNC1" s="301"/>
      <c r="MND1" s="301"/>
      <c r="MNE1" s="301"/>
      <c r="MNF1" s="301"/>
      <c r="MNG1" s="301"/>
      <c r="MNH1" s="301"/>
      <c r="MNI1" s="301"/>
      <c r="MNJ1" s="301"/>
      <c r="MNK1" s="301"/>
      <c r="MNL1" s="301"/>
      <c r="MNM1" s="301"/>
      <c r="MNN1" s="301"/>
      <c r="MNO1" s="301"/>
      <c r="MNP1" s="301"/>
      <c r="MNQ1" s="301"/>
      <c r="MNR1" s="301"/>
      <c r="MNS1" s="301"/>
      <c r="MNT1" s="301"/>
      <c r="MNU1" s="301"/>
      <c r="MNV1" s="301"/>
      <c r="MNW1" s="301"/>
      <c r="MNX1" s="301"/>
      <c r="MNY1" s="301"/>
      <c r="MNZ1" s="301"/>
      <c r="MOA1" s="301"/>
      <c r="MOB1" s="301"/>
      <c r="MOC1" s="301"/>
      <c r="MOD1" s="301"/>
      <c r="MOE1" s="301"/>
      <c r="MOF1" s="301"/>
      <c r="MOG1" s="301"/>
      <c r="MOH1" s="301"/>
      <c r="MOI1" s="301"/>
      <c r="MOJ1" s="301"/>
      <c r="MOK1" s="301"/>
      <c r="MOL1" s="301"/>
      <c r="MOM1" s="301"/>
      <c r="MON1" s="301"/>
      <c r="MOO1" s="301"/>
      <c r="MOP1" s="301"/>
      <c r="MOQ1" s="301"/>
      <c r="MOR1" s="301"/>
      <c r="MOS1" s="301"/>
      <c r="MOT1" s="301"/>
      <c r="MOU1" s="301"/>
      <c r="MOV1" s="301"/>
      <c r="MOW1" s="301"/>
      <c r="MOX1" s="301"/>
      <c r="MOY1" s="301"/>
      <c r="MOZ1" s="301"/>
      <c r="MPA1" s="301"/>
      <c r="MPB1" s="301"/>
      <c r="MPC1" s="301"/>
      <c r="MPD1" s="301"/>
      <c r="MPE1" s="301"/>
      <c r="MPF1" s="301"/>
      <c r="MPG1" s="301"/>
      <c r="MPH1" s="301"/>
      <c r="MPI1" s="301"/>
      <c r="MPJ1" s="301"/>
      <c r="MPK1" s="301"/>
      <c r="MPL1" s="301"/>
      <c r="MPM1" s="301"/>
      <c r="MPN1" s="301"/>
      <c r="MPO1" s="301"/>
      <c r="MPP1" s="301"/>
      <c r="MPQ1" s="301"/>
      <c r="MPR1" s="301"/>
      <c r="MPS1" s="301"/>
      <c r="MPT1" s="301"/>
      <c r="MPU1" s="301"/>
      <c r="MPV1" s="301"/>
      <c r="MPW1" s="301"/>
      <c r="MPX1" s="301"/>
      <c r="MPY1" s="301"/>
      <c r="MPZ1" s="301"/>
      <c r="MQA1" s="301"/>
      <c r="MQB1" s="301"/>
      <c r="MQC1" s="301"/>
      <c r="MQD1" s="301"/>
      <c r="MQE1" s="301"/>
      <c r="MQF1" s="301"/>
      <c r="MQG1" s="301"/>
      <c r="MQH1" s="301"/>
      <c r="MQI1" s="301"/>
      <c r="MQJ1" s="301"/>
      <c r="MQK1" s="301"/>
      <c r="MQL1" s="301"/>
      <c r="MQM1" s="301"/>
      <c r="MQN1" s="301"/>
      <c r="MQO1" s="301"/>
      <c r="MQP1" s="301"/>
      <c r="MQQ1" s="301"/>
      <c r="MQR1" s="301"/>
      <c r="MQS1" s="301"/>
      <c r="MQT1" s="301"/>
      <c r="MQU1" s="301"/>
      <c r="MQV1" s="301"/>
      <c r="MQW1" s="301"/>
      <c r="MQX1" s="301"/>
      <c r="MQY1" s="301"/>
      <c r="MQZ1" s="301"/>
      <c r="MRA1" s="301"/>
      <c r="MRB1" s="301"/>
      <c r="MRC1" s="301"/>
      <c r="MRD1" s="301"/>
      <c r="MRE1" s="301"/>
      <c r="MRF1" s="301"/>
      <c r="MRG1" s="301"/>
      <c r="MRH1" s="301"/>
      <c r="MRI1" s="301"/>
      <c r="MRJ1" s="301"/>
      <c r="MRK1" s="301"/>
      <c r="MRL1" s="301"/>
      <c r="MRM1" s="301"/>
      <c r="MRN1" s="301"/>
      <c r="MRO1" s="301"/>
      <c r="MRP1" s="301"/>
      <c r="MRQ1" s="301"/>
      <c r="MRR1" s="301"/>
      <c r="MRS1" s="301"/>
      <c r="MRT1" s="301"/>
      <c r="MRU1" s="301"/>
      <c r="MRV1" s="301"/>
      <c r="MRW1" s="301"/>
      <c r="MRX1" s="301"/>
      <c r="MRY1" s="301"/>
      <c r="MRZ1" s="301"/>
      <c r="MSA1" s="301"/>
      <c r="MSB1" s="301"/>
      <c r="MSC1" s="301"/>
      <c r="MSD1" s="301"/>
      <c r="MSE1" s="301"/>
      <c r="MSF1" s="301"/>
      <c r="MSG1" s="301"/>
      <c r="MSH1" s="301"/>
      <c r="MSI1" s="301"/>
      <c r="MSJ1" s="301"/>
      <c r="MSK1" s="301"/>
      <c r="MSL1" s="301"/>
      <c r="MSM1" s="301"/>
      <c r="MSN1" s="301"/>
      <c r="MSO1" s="301"/>
      <c r="MSP1" s="301"/>
      <c r="MSQ1" s="301"/>
      <c r="MSR1" s="301"/>
      <c r="MSS1" s="301"/>
      <c r="MST1" s="301"/>
      <c r="MSU1" s="301"/>
      <c r="MSV1" s="301"/>
      <c r="MSW1" s="301"/>
      <c r="MSX1" s="301"/>
      <c r="MSY1" s="301"/>
      <c r="MSZ1" s="301"/>
      <c r="MTA1" s="301"/>
      <c r="MTB1" s="301"/>
      <c r="MTC1" s="301"/>
      <c r="MTD1" s="301"/>
      <c r="MTE1" s="301"/>
      <c r="MTF1" s="301"/>
      <c r="MTG1" s="301"/>
      <c r="MTH1" s="301"/>
      <c r="MTI1" s="301"/>
      <c r="MTJ1" s="301"/>
      <c r="MTK1" s="301"/>
      <c r="MTL1" s="301"/>
      <c r="MTM1" s="301"/>
      <c r="MTN1" s="301"/>
      <c r="MTO1" s="301"/>
      <c r="MTP1" s="301"/>
      <c r="MTQ1" s="301"/>
      <c r="MTR1" s="301"/>
      <c r="MTS1" s="301"/>
      <c r="MTT1" s="301"/>
      <c r="MTU1" s="301"/>
      <c r="MTV1" s="301"/>
      <c r="MTW1" s="301"/>
      <c r="MTX1" s="301"/>
      <c r="MTY1" s="301"/>
      <c r="MTZ1" s="301"/>
      <c r="MUA1" s="301"/>
      <c r="MUB1" s="301"/>
      <c r="MUC1" s="301"/>
      <c r="MUD1" s="301"/>
      <c r="MUE1" s="301"/>
      <c r="MUF1" s="301"/>
      <c r="MUG1" s="301"/>
      <c r="MUH1" s="301"/>
      <c r="MUI1" s="301"/>
      <c r="MUJ1" s="301"/>
      <c r="MUK1" s="301"/>
      <c r="MUL1" s="301"/>
      <c r="MUM1" s="301"/>
      <c r="MUN1" s="301"/>
      <c r="MUO1" s="301"/>
      <c r="MUP1" s="301"/>
      <c r="MUQ1" s="301"/>
      <c r="MUR1" s="301"/>
      <c r="MUS1" s="301"/>
      <c r="MUT1" s="301"/>
      <c r="MUU1" s="301"/>
      <c r="MUV1" s="301"/>
      <c r="MUW1" s="301"/>
      <c r="MUX1" s="301"/>
      <c r="MUY1" s="301"/>
      <c r="MUZ1" s="301"/>
      <c r="MVA1" s="301"/>
      <c r="MVB1" s="301"/>
      <c r="MVC1" s="301"/>
      <c r="MVD1" s="301"/>
      <c r="MVE1" s="301"/>
      <c r="MVF1" s="301"/>
      <c r="MVG1" s="301"/>
      <c r="MVH1" s="301"/>
      <c r="MVI1" s="301"/>
      <c r="MVJ1" s="301"/>
      <c r="MVK1" s="301"/>
      <c r="MVL1" s="301"/>
      <c r="MVM1" s="301"/>
      <c r="MVN1" s="301"/>
      <c r="MVO1" s="301"/>
      <c r="MVP1" s="301"/>
      <c r="MVQ1" s="301"/>
      <c r="MVR1" s="301"/>
      <c r="MVS1" s="301"/>
      <c r="MVT1" s="301"/>
      <c r="MVU1" s="301"/>
      <c r="MVV1" s="301"/>
      <c r="MVW1" s="301"/>
      <c r="MVX1" s="301"/>
      <c r="MVY1" s="301"/>
      <c r="MVZ1" s="301"/>
      <c r="MWA1" s="301"/>
      <c r="MWB1" s="301"/>
      <c r="MWC1" s="301"/>
      <c r="MWD1" s="301"/>
      <c r="MWE1" s="301"/>
      <c r="MWF1" s="301"/>
      <c r="MWG1" s="301"/>
      <c r="MWH1" s="301"/>
      <c r="MWI1" s="301"/>
      <c r="MWJ1" s="301"/>
      <c r="MWK1" s="301"/>
      <c r="MWL1" s="301"/>
      <c r="MWM1" s="301"/>
      <c r="MWN1" s="301"/>
      <c r="MWO1" s="301"/>
      <c r="MWP1" s="301"/>
      <c r="MWQ1" s="301"/>
      <c r="MWR1" s="301"/>
      <c r="MWS1" s="301"/>
      <c r="MWT1" s="301"/>
      <c r="MWU1" s="301"/>
      <c r="MWV1" s="301"/>
      <c r="MWW1" s="301"/>
      <c r="MWX1" s="301"/>
      <c r="MWY1" s="301"/>
      <c r="MWZ1" s="301"/>
      <c r="MXA1" s="301"/>
      <c r="MXB1" s="301"/>
      <c r="MXC1" s="301"/>
      <c r="MXD1" s="301"/>
      <c r="MXE1" s="301"/>
      <c r="MXF1" s="301"/>
      <c r="MXG1" s="301"/>
      <c r="MXH1" s="301"/>
      <c r="MXI1" s="301"/>
      <c r="MXJ1" s="301"/>
      <c r="MXK1" s="301"/>
      <c r="MXL1" s="301"/>
      <c r="MXM1" s="301"/>
      <c r="MXN1" s="301"/>
      <c r="MXO1" s="301"/>
      <c r="MXP1" s="301"/>
      <c r="MXQ1" s="301"/>
      <c r="MXR1" s="301"/>
      <c r="MXS1" s="301"/>
      <c r="MXT1" s="301"/>
      <c r="MXU1" s="301"/>
      <c r="MXV1" s="301"/>
      <c r="MXW1" s="301"/>
      <c r="MXX1" s="301"/>
      <c r="MXY1" s="301"/>
      <c r="MXZ1" s="301"/>
      <c r="MYA1" s="301"/>
      <c r="MYB1" s="301"/>
      <c r="MYC1" s="301"/>
      <c r="MYD1" s="301"/>
      <c r="MYE1" s="301"/>
      <c r="MYF1" s="301"/>
      <c r="MYG1" s="301"/>
      <c r="MYH1" s="301"/>
      <c r="MYI1" s="301"/>
      <c r="MYJ1" s="301"/>
      <c r="MYK1" s="301"/>
      <c r="MYL1" s="301"/>
      <c r="MYM1" s="301"/>
      <c r="MYN1" s="301"/>
      <c r="MYO1" s="301"/>
      <c r="MYP1" s="301"/>
      <c r="MYQ1" s="301"/>
      <c r="MYR1" s="301"/>
      <c r="MYS1" s="301"/>
      <c r="MYT1" s="301"/>
      <c r="MYU1" s="301"/>
      <c r="MYV1" s="301"/>
      <c r="MYW1" s="301"/>
      <c r="MYX1" s="301"/>
      <c r="MYY1" s="301"/>
      <c r="MYZ1" s="301"/>
      <c r="MZA1" s="301"/>
      <c r="MZB1" s="301"/>
      <c r="MZC1" s="301"/>
      <c r="MZD1" s="301"/>
      <c r="MZE1" s="301"/>
      <c r="MZF1" s="301"/>
      <c r="MZG1" s="301"/>
      <c r="MZH1" s="301"/>
      <c r="MZI1" s="301"/>
      <c r="MZJ1" s="301"/>
      <c r="MZK1" s="301"/>
      <c r="MZL1" s="301"/>
      <c r="MZM1" s="301"/>
      <c r="MZN1" s="301"/>
      <c r="MZO1" s="301"/>
      <c r="MZP1" s="301"/>
      <c r="MZQ1" s="301"/>
      <c r="MZR1" s="301"/>
      <c r="MZS1" s="301"/>
      <c r="MZT1" s="301"/>
      <c r="MZU1" s="301"/>
      <c r="MZV1" s="301"/>
      <c r="MZW1" s="301"/>
      <c r="MZX1" s="301"/>
      <c r="MZY1" s="301"/>
      <c r="MZZ1" s="301"/>
      <c r="NAA1" s="301"/>
      <c r="NAB1" s="301"/>
      <c r="NAC1" s="301"/>
      <c r="NAD1" s="301"/>
      <c r="NAE1" s="301"/>
      <c r="NAF1" s="301"/>
      <c r="NAG1" s="301"/>
      <c r="NAH1" s="301"/>
      <c r="NAI1" s="301"/>
      <c r="NAJ1" s="301"/>
      <c r="NAK1" s="301"/>
      <c r="NAL1" s="301"/>
      <c r="NAM1" s="301"/>
      <c r="NAN1" s="301"/>
      <c r="NAO1" s="301"/>
      <c r="NAP1" s="301"/>
      <c r="NAQ1" s="301"/>
      <c r="NAR1" s="301"/>
      <c r="NAS1" s="301"/>
      <c r="NAT1" s="301"/>
      <c r="NAU1" s="301"/>
      <c r="NAV1" s="301"/>
      <c r="NAW1" s="301"/>
      <c r="NAX1" s="301"/>
      <c r="NAY1" s="301"/>
      <c r="NAZ1" s="301"/>
      <c r="NBA1" s="301"/>
      <c r="NBB1" s="301"/>
      <c r="NBC1" s="301"/>
      <c r="NBD1" s="301"/>
      <c r="NBE1" s="301"/>
      <c r="NBF1" s="301"/>
      <c r="NBG1" s="301"/>
      <c r="NBH1" s="301"/>
      <c r="NBI1" s="301"/>
      <c r="NBJ1" s="301"/>
      <c r="NBK1" s="301"/>
      <c r="NBL1" s="301"/>
      <c r="NBM1" s="301"/>
      <c r="NBN1" s="301"/>
      <c r="NBO1" s="301"/>
      <c r="NBP1" s="301"/>
      <c r="NBQ1" s="301"/>
      <c r="NBR1" s="301"/>
      <c r="NBS1" s="301"/>
      <c r="NBT1" s="301"/>
      <c r="NBU1" s="301"/>
      <c r="NBV1" s="301"/>
      <c r="NBW1" s="301"/>
      <c r="NBX1" s="301"/>
      <c r="NBY1" s="301"/>
      <c r="NBZ1" s="301"/>
      <c r="NCA1" s="301"/>
      <c r="NCB1" s="301"/>
      <c r="NCC1" s="301"/>
      <c r="NCD1" s="301"/>
      <c r="NCE1" s="301"/>
      <c r="NCF1" s="301"/>
      <c r="NCG1" s="301"/>
      <c r="NCH1" s="301"/>
      <c r="NCI1" s="301"/>
      <c r="NCJ1" s="301"/>
      <c r="NCK1" s="301"/>
      <c r="NCL1" s="301"/>
      <c r="NCM1" s="301"/>
      <c r="NCN1" s="301"/>
      <c r="NCO1" s="301"/>
      <c r="NCP1" s="301"/>
      <c r="NCQ1" s="301"/>
      <c r="NCR1" s="301"/>
      <c r="NCS1" s="301"/>
      <c r="NCT1" s="301"/>
      <c r="NCU1" s="301"/>
      <c r="NCV1" s="301"/>
      <c r="NCW1" s="301"/>
      <c r="NCX1" s="301"/>
      <c r="NCY1" s="301"/>
      <c r="NCZ1" s="301"/>
      <c r="NDA1" s="301"/>
      <c r="NDB1" s="301"/>
      <c r="NDC1" s="301"/>
      <c r="NDD1" s="301"/>
      <c r="NDE1" s="301"/>
      <c r="NDF1" s="301"/>
      <c r="NDG1" s="301"/>
      <c r="NDH1" s="301"/>
      <c r="NDI1" s="301"/>
      <c r="NDJ1" s="301"/>
      <c r="NDK1" s="301"/>
      <c r="NDL1" s="301"/>
      <c r="NDM1" s="301"/>
      <c r="NDN1" s="301"/>
      <c r="NDO1" s="301"/>
      <c r="NDP1" s="301"/>
      <c r="NDQ1" s="301"/>
      <c r="NDR1" s="301"/>
      <c r="NDS1" s="301"/>
      <c r="NDT1" s="301"/>
      <c r="NDU1" s="301"/>
      <c r="NDV1" s="301"/>
      <c r="NDW1" s="301"/>
      <c r="NDX1" s="301"/>
      <c r="NDY1" s="301"/>
      <c r="NDZ1" s="301"/>
      <c r="NEA1" s="301"/>
      <c r="NEB1" s="301"/>
      <c r="NEC1" s="301"/>
      <c r="NED1" s="301"/>
      <c r="NEE1" s="301"/>
      <c r="NEF1" s="301"/>
      <c r="NEG1" s="301"/>
      <c r="NEH1" s="301"/>
      <c r="NEI1" s="301"/>
      <c r="NEJ1" s="301"/>
      <c r="NEK1" s="301"/>
      <c r="NEL1" s="301"/>
      <c r="NEM1" s="301"/>
      <c r="NEN1" s="301"/>
      <c r="NEO1" s="301"/>
      <c r="NEP1" s="301"/>
      <c r="NEQ1" s="301"/>
      <c r="NER1" s="301"/>
      <c r="NES1" s="301"/>
      <c r="NET1" s="301"/>
      <c r="NEU1" s="301"/>
      <c r="NEV1" s="301"/>
      <c r="NEW1" s="301"/>
      <c r="NEX1" s="301"/>
      <c r="NEY1" s="301"/>
      <c r="NEZ1" s="301"/>
      <c r="NFA1" s="301"/>
      <c r="NFB1" s="301"/>
      <c r="NFC1" s="301"/>
      <c r="NFD1" s="301"/>
      <c r="NFE1" s="301"/>
      <c r="NFF1" s="301"/>
      <c r="NFG1" s="301"/>
      <c r="NFH1" s="301"/>
      <c r="NFI1" s="301"/>
      <c r="NFJ1" s="301"/>
      <c r="NFK1" s="301"/>
      <c r="NFL1" s="301"/>
      <c r="NFM1" s="301"/>
      <c r="NFN1" s="301"/>
      <c r="NFO1" s="301"/>
      <c r="NFP1" s="301"/>
      <c r="NFQ1" s="301"/>
      <c r="NFR1" s="301"/>
      <c r="NFS1" s="301"/>
      <c r="NFT1" s="301"/>
      <c r="NFU1" s="301"/>
      <c r="NFV1" s="301"/>
      <c r="NFW1" s="301"/>
      <c r="NFX1" s="301"/>
      <c r="NFY1" s="301"/>
      <c r="NFZ1" s="301"/>
      <c r="NGA1" s="301"/>
      <c r="NGB1" s="301"/>
      <c r="NGC1" s="301"/>
      <c r="NGD1" s="301"/>
      <c r="NGE1" s="301"/>
      <c r="NGF1" s="301"/>
      <c r="NGG1" s="301"/>
      <c r="NGH1" s="301"/>
      <c r="NGI1" s="301"/>
      <c r="NGJ1" s="301"/>
      <c r="NGK1" s="301"/>
      <c r="NGL1" s="301"/>
      <c r="NGM1" s="301"/>
      <c r="NGN1" s="301"/>
      <c r="NGO1" s="301"/>
      <c r="NGP1" s="301"/>
      <c r="NGQ1" s="301"/>
      <c r="NGR1" s="301"/>
      <c r="NGS1" s="301"/>
      <c r="NGT1" s="301"/>
      <c r="NGU1" s="301"/>
      <c r="NGV1" s="301"/>
      <c r="NGW1" s="301"/>
      <c r="NGX1" s="301"/>
      <c r="NGY1" s="301"/>
      <c r="NGZ1" s="301"/>
      <c r="NHA1" s="301"/>
      <c r="NHB1" s="301"/>
      <c r="NHC1" s="301"/>
      <c r="NHD1" s="301"/>
      <c r="NHE1" s="301"/>
      <c r="NHF1" s="301"/>
      <c r="NHG1" s="301"/>
      <c r="NHH1" s="301"/>
      <c r="NHI1" s="301"/>
      <c r="NHJ1" s="301"/>
      <c r="NHK1" s="301"/>
      <c r="NHL1" s="301"/>
      <c r="NHM1" s="301"/>
      <c r="NHN1" s="301"/>
      <c r="NHO1" s="301"/>
      <c r="NHP1" s="301"/>
      <c r="NHQ1" s="301"/>
      <c r="NHR1" s="301"/>
      <c r="NHS1" s="301"/>
      <c r="NHT1" s="301"/>
      <c r="NHU1" s="301"/>
      <c r="NHV1" s="301"/>
      <c r="NHW1" s="301"/>
      <c r="NHX1" s="301"/>
      <c r="NHY1" s="301"/>
      <c r="NHZ1" s="301"/>
      <c r="NIA1" s="301"/>
      <c r="NIB1" s="301"/>
      <c r="NIC1" s="301"/>
      <c r="NID1" s="301"/>
      <c r="NIE1" s="301"/>
      <c r="NIF1" s="301"/>
      <c r="NIG1" s="301"/>
      <c r="NIH1" s="301"/>
      <c r="NII1" s="301"/>
      <c r="NIJ1" s="301"/>
      <c r="NIK1" s="301"/>
      <c r="NIL1" s="301"/>
      <c r="NIM1" s="301"/>
      <c r="NIN1" s="301"/>
      <c r="NIO1" s="301"/>
      <c r="NIP1" s="301"/>
      <c r="NIQ1" s="301"/>
      <c r="NIR1" s="301"/>
      <c r="NIS1" s="301"/>
      <c r="NIT1" s="301"/>
      <c r="NIU1" s="301"/>
      <c r="NIV1" s="301"/>
      <c r="NIW1" s="301"/>
      <c r="NIX1" s="301"/>
      <c r="NIY1" s="301"/>
      <c r="NIZ1" s="301"/>
      <c r="NJA1" s="301"/>
      <c r="NJB1" s="301"/>
      <c r="NJC1" s="301"/>
      <c r="NJD1" s="301"/>
      <c r="NJE1" s="301"/>
      <c r="NJF1" s="301"/>
      <c r="NJG1" s="301"/>
      <c r="NJH1" s="301"/>
      <c r="NJI1" s="301"/>
      <c r="NJJ1" s="301"/>
      <c r="NJK1" s="301"/>
      <c r="NJL1" s="301"/>
      <c r="NJM1" s="301"/>
      <c r="NJN1" s="301"/>
      <c r="NJO1" s="301"/>
      <c r="NJP1" s="301"/>
      <c r="NJQ1" s="301"/>
      <c r="NJR1" s="301"/>
      <c r="NJS1" s="301"/>
      <c r="NJT1" s="301"/>
      <c r="NJU1" s="301"/>
      <c r="NJV1" s="301"/>
      <c r="NJW1" s="301"/>
      <c r="NJX1" s="301"/>
      <c r="NJY1" s="301"/>
      <c r="NJZ1" s="301"/>
      <c r="NKA1" s="301"/>
      <c r="NKB1" s="301"/>
      <c r="NKC1" s="301"/>
      <c r="NKD1" s="301"/>
      <c r="NKE1" s="301"/>
      <c r="NKF1" s="301"/>
      <c r="NKG1" s="301"/>
      <c r="NKH1" s="301"/>
      <c r="NKI1" s="301"/>
      <c r="NKJ1" s="301"/>
      <c r="NKK1" s="301"/>
      <c r="NKL1" s="301"/>
      <c r="NKM1" s="301"/>
      <c r="NKN1" s="301"/>
      <c r="NKO1" s="301"/>
      <c r="NKP1" s="301"/>
      <c r="NKQ1" s="301"/>
      <c r="NKR1" s="301"/>
      <c r="NKS1" s="301"/>
      <c r="NKT1" s="301"/>
      <c r="NKU1" s="301"/>
      <c r="NKV1" s="301"/>
      <c r="NKW1" s="301"/>
      <c r="NKX1" s="301"/>
      <c r="NKY1" s="301"/>
      <c r="NKZ1" s="301"/>
      <c r="NLA1" s="301"/>
      <c r="NLB1" s="301"/>
      <c r="NLC1" s="301"/>
      <c r="NLD1" s="301"/>
      <c r="NLE1" s="301"/>
      <c r="NLF1" s="301"/>
      <c r="NLG1" s="301"/>
      <c r="NLH1" s="301"/>
      <c r="NLI1" s="301"/>
      <c r="NLJ1" s="301"/>
      <c r="NLK1" s="301"/>
      <c r="NLL1" s="301"/>
      <c r="NLM1" s="301"/>
      <c r="NLN1" s="301"/>
      <c r="NLO1" s="301"/>
      <c r="NLP1" s="301"/>
      <c r="NLQ1" s="301"/>
      <c r="NLR1" s="301"/>
      <c r="NLS1" s="301"/>
      <c r="NLT1" s="301"/>
      <c r="NLU1" s="301"/>
      <c r="NLV1" s="301"/>
      <c r="NLW1" s="301"/>
      <c r="NLX1" s="301"/>
      <c r="NLY1" s="301"/>
      <c r="NLZ1" s="301"/>
      <c r="NMA1" s="301"/>
      <c r="NMB1" s="301"/>
      <c r="NMC1" s="301"/>
      <c r="NMD1" s="301"/>
      <c r="NME1" s="301"/>
      <c r="NMF1" s="301"/>
      <c r="NMG1" s="301"/>
      <c r="NMH1" s="301"/>
      <c r="NMI1" s="301"/>
      <c r="NMJ1" s="301"/>
      <c r="NMK1" s="301"/>
      <c r="NML1" s="301"/>
      <c r="NMM1" s="301"/>
      <c r="NMN1" s="301"/>
      <c r="NMO1" s="301"/>
      <c r="NMP1" s="301"/>
      <c r="NMQ1" s="301"/>
      <c r="NMR1" s="301"/>
      <c r="NMS1" s="301"/>
      <c r="NMT1" s="301"/>
      <c r="NMU1" s="301"/>
      <c r="NMV1" s="301"/>
      <c r="NMW1" s="301"/>
      <c r="NMX1" s="301"/>
      <c r="NMY1" s="301"/>
      <c r="NMZ1" s="301"/>
      <c r="NNA1" s="301"/>
      <c r="NNB1" s="301"/>
      <c r="NNC1" s="301"/>
      <c r="NND1" s="301"/>
      <c r="NNE1" s="301"/>
      <c r="NNF1" s="301"/>
      <c r="NNG1" s="301"/>
      <c r="NNH1" s="301"/>
      <c r="NNI1" s="301"/>
      <c r="NNJ1" s="301"/>
      <c r="NNK1" s="301"/>
      <c r="NNL1" s="301"/>
      <c r="NNM1" s="301"/>
      <c r="NNN1" s="301"/>
      <c r="NNO1" s="301"/>
      <c r="NNP1" s="301"/>
      <c r="NNQ1" s="301"/>
      <c r="NNR1" s="301"/>
      <c r="NNS1" s="301"/>
      <c r="NNT1" s="301"/>
      <c r="NNU1" s="301"/>
      <c r="NNV1" s="301"/>
      <c r="NNW1" s="301"/>
      <c r="NNX1" s="301"/>
      <c r="NNY1" s="301"/>
      <c r="NNZ1" s="301"/>
      <c r="NOA1" s="301"/>
      <c r="NOB1" s="301"/>
      <c r="NOC1" s="301"/>
      <c r="NOD1" s="301"/>
      <c r="NOE1" s="301"/>
      <c r="NOF1" s="301"/>
      <c r="NOG1" s="301"/>
      <c r="NOH1" s="301"/>
      <c r="NOI1" s="301"/>
      <c r="NOJ1" s="301"/>
      <c r="NOK1" s="301"/>
      <c r="NOL1" s="301"/>
      <c r="NOM1" s="301"/>
      <c r="NON1" s="301"/>
      <c r="NOO1" s="301"/>
      <c r="NOP1" s="301"/>
      <c r="NOQ1" s="301"/>
      <c r="NOR1" s="301"/>
      <c r="NOS1" s="301"/>
      <c r="NOT1" s="301"/>
      <c r="NOU1" s="301"/>
      <c r="NOV1" s="301"/>
      <c r="NOW1" s="301"/>
      <c r="NOX1" s="301"/>
      <c r="NOY1" s="301"/>
      <c r="NOZ1" s="301"/>
      <c r="NPA1" s="301"/>
      <c r="NPB1" s="301"/>
      <c r="NPC1" s="301"/>
      <c r="NPD1" s="301"/>
      <c r="NPE1" s="301"/>
      <c r="NPF1" s="301"/>
      <c r="NPG1" s="301"/>
      <c r="NPH1" s="301"/>
      <c r="NPI1" s="301"/>
      <c r="NPJ1" s="301"/>
      <c r="NPK1" s="301"/>
      <c r="NPL1" s="301"/>
      <c r="NPM1" s="301"/>
      <c r="NPN1" s="301"/>
      <c r="NPO1" s="301"/>
      <c r="NPP1" s="301"/>
      <c r="NPQ1" s="301"/>
      <c r="NPR1" s="301"/>
      <c r="NPS1" s="301"/>
      <c r="NPT1" s="301"/>
      <c r="NPU1" s="301"/>
      <c r="NPV1" s="301"/>
      <c r="NPW1" s="301"/>
      <c r="NPX1" s="301"/>
      <c r="NPY1" s="301"/>
      <c r="NPZ1" s="301"/>
      <c r="NQA1" s="301"/>
      <c r="NQB1" s="301"/>
      <c r="NQC1" s="301"/>
      <c r="NQD1" s="301"/>
      <c r="NQE1" s="301"/>
      <c r="NQF1" s="301"/>
      <c r="NQG1" s="301"/>
      <c r="NQH1" s="301"/>
      <c r="NQI1" s="301"/>
      <c r="NQJ1" s="301"/>
      <c r="NQK1" s="301"/>
      <c r="NQL1" s="301"/>
      <c r="NQM1" s="301"/>
      <c r="NQN1" s="301"/>
      <c r="NQO1" s="301"/>
      <c r="NQP1" s="301"/>
      <c r="NQQ1" s="301"/>
      <c r="NQR1" s="301"/>
      <c r="NQS1" s="301"/>
      <c r="NQT1" s="301"/>
      <c r="NQU1" s="301"/>
      <c r="NQV1" s="301"/>
      <c r="NQW1" s="301"/>
      <c r="NQX1" s="301"/>
      <c r="NQY1" s="301"/>
      <c r="NQZ1" s="301"/>
      <c r="NRA1" s="301"/>
      <c r="NRB1" s="301"/>
      <c r="NRC1" s="301"/>
      <c r="NRD1" s="301"/>
      <c r="NRE1" s="301"/>
      <c r="NRF1" s="301"/>
      <c r="NRG1" s="301"/>
      <c r="NRH1" s="301"/>
      <c r="NRI1" s="301"/>
      <c r="NRJ1" s="301"/>
      <c r="NRK1" s="301"/>
      <c r="NRL1" s="301"/>
      <c r="NRM1" s="301"/>
      <c r="NRN1" s="301"/>
      <c r="NRO1" s="301"/>
      <c r="NRP1" s="301"/>
      <c r="NRQ1" s="301"/>
      <c r="NRR1" s="301"/>
      <c r="NRS1" s="301"/>
      <c r="NRT1" s="301"/>
      <c r="NRU1" s="301"/>
      <c r="NRV1" s="301"/>
      <c r="NRW1" s="301"/>
      <c r="NRX1" s="301"/>
      <c r="NRY1" s="301"/>
      <c r="NRZ1" s="301"/>
      <c r="NSA1" s="301"/>
      <c r="NSB1" s="301"/>
      <c r="NSC1" s="301"/>
      <c r="NSD1" s="301"/>
      <c r="NSE1" s="301"/>
      <c r="NSF1" s="301"/>
      <c r="NSG1" s="301"/>
      <c r="NSH1" s="301"/>
      <c r="NSI1" s="301"/>
      <c r="NSJ1" s="301"/>
      <c r="NSK1" s="301"/>
      <c r="NSL1" s="301"/>
      <c r="NSM1" s="301"/>
      <c r="NSN1" s="301"/>
      <c r="NSO1" s="301"/>
      <c r="NSP1" s="301"/>
      <c r="NSQ1" s="301"/>
      <c r="NSR1" s="301"/>
      <c r="NSS1" s="301"/>
      <c r="NST1" s="301"/>
      <c r="NSU1" s="301"/>
      <c r="NSV1" s="301"/>
      <c r="NSW1" s="301"/>
      <c r="NSX1" s="301"/>
      <c r="NSY1" s="301"/>
      <c r="NSZ1" s="301"/>
      <c r="NTA1" s="301"/>
      <c r="NTB1" s="301"/>
      <c r="NTC1" s="301"/>
      <c r="NTD1" s="301"/>
      <c r="NTE1" s="301"/>
      <c r="NTF1" s="301"/>
      <c r="NTG1" s="301"/>
      <c r="NTH1" s="301"/>
      <c r="NTI1" s="301"/>
      <c r="NTJ1" s="301"/>
      <c r="NTK1" s="301"/>
      <c r="NTL1" s="301"/>
      <c r="NTM1" s="301"/>
      <c r="NTN1" s="301"/>
      <c r="NTO1" s="301"/>
      <c r="NTP1" s="301"/>
      <c r="NTQ1" s="301"/>
      <c r="NTR1" s="301"/>
      <c r="NTS1" s="301"/>
      <c r="NTT1" s="301"/>
      <c r="NTU1" s="301"/>
      <c r="NTV1" s="301"/>
      <c r="NTW1" s="301"/>
      <c r="NTX1" s="301"/>
      <c r="NTY1" s="301"/>
      <c r="NTZ1" s="301"/>
      <c r="NUA1" s="301"/>
      <c r="NUB1" s="301"/>
      <c r="NUC1" s="301"/>
      <c r="NUD1" s="301"/>
      <c r="NUE1" s="301"/>
      <c r="NUF1" s="301"/>
      <c r="NUG1" s="301"/>
      <c r="NUH1" s="301"/>
      <c r="NUI1" s="301"/>
      <c r="NUJ1" s="301"/>
      <c r="NUK1" s="301"/>
      <c r="NUL1" s="301"/>
      <c r="NUM1" s="301"/>
      <c r="NUN1" s="301"/>
      <c r="NUO1" s="301"/>
      <c r="NUP1" s="301"/>
      <c r="NUQ1" s="301"/>
      <c r="NUR1" s="301"/>
      <c r="NUS1" s="301"/>
      <c r="NUT1" s="301"/>
      <c r="NUU1" s="301"/>
      <c r="NUV1" s="301"/>
      <c r="NUW1" s="301"/>
      <c r="NUX1" s="301"/>
      <c r="NUY1" s="301"/>
      <c r="NUZ1" s="301"/>
      <c r="NVA1" s="301"/>
      <c r="NVB1" s="301"/>
      <c r="NVC1" s="301"/>
      <c r="NVD1" s="301"/>
      <c r="NVE1" s="301"/>
      <c r="NVF1" s="301"/>
      <c r="NVG1" s="301"/>
      <c r="NVH1" s="301"/>
      <c r="NVI1" s="301"/>
      <c r="NVJ1" s="301"/>
      <c r="NVK1" s="301"/>
      <c r="NVL1" s="301"/>
      <c r="NVM1" s="301"/>
      <c r="NVN1" s="301"/>
      <c r="NVO1" s="301"/>
      <c r="NVP1" s="301"/>
      <c r="NVQ1" s="301"/>
      <c r="NVR1" s="301"/>
      <c r="NVS1" s="301"/>
      <c r="NVT1" s="301"/>
      <c r="NVU1" s="301"/>
      <c r="NVV1" s="301"/>
      <c r="NVW1" s="301"/>
      <c r="NVX1" s="301"/>
      <c r="NVY1" s="301"/>
      <c r="NVZ1" s="301"/>
      <c r="NWA1" s="301"/>
      <c r="NWB1" s="301"/>
      <c r="NWC1" s="301"/>
      <c r="NWD1" s="301"/>
      <c r="NWE1" s="301"/>
      <c r="NWF1" s="301"/>
      <c r="NWG1" s="301"/>
      <c r="NWH1" s="301"/>
      <c r="NWI1" s="301"/>
      <c r="NWJ1" s="301"/>
      <c r="NWK1" s="301"/>
      <c r="NWL1" s="301"/>
      <c r="NWM1" s="301"/>
      <c r="NWN1" s="301"/>
      <c r="NWO1" s="301"/>
      <c r="NWP1" s="301"/>
      <c r="NWQ1" s="301"/>
      <c r="NWR1" s="301"/>
      <c r="NWS1" s="301"/>
      <c r="NWT1" s="301"/>
      <c r="NWU1" s="301"/>
      <c r="NWV1" s="301"/>
      <c r="NWW1" s="301"/>
      <c r="NWX1" s="301"/>
      <c r="NWY1" s="301"/>
      <c r="NWZ1" s="301"/>
      <c r="NXA1" s="301"/>
      <c r="NXB1" s="301"/>
      <c r="NXC1" s="301"/>
      <c r="NXD1" s="301"/>
      <c r="NXE1" s="301"/>
      <c r="NXF1" s="301"/>
      <c r="NXG1" s="301"/>
      <c r="NXH1" s="301"/>
      <c r="NXI1" s="301"/>
      <c r="NXJ1" s="301"/>
      <c r="NXK1" s="301"/>
      <c r="NXL1" s="301"/>
      <c r="NXM1" s="301"/>
      <c r="NXN1" s="301"/>
      <c r="NXO1" s="301"/>
      <c r="NXP1" s="301"/>
      <c r="NXQ1" s="301"/>
      <c r="NXR1" s="301"/>
      <c r="NXS1" s="301"/>
      <c r="NXT1" s="301"/>
      <c r="NXU1" s="301"/>
      <c r="NXV1" s="301"/>
      <c r="NXW1" s="301"/>
      <c r="NXX1" s="301"/>
      <c r="NXY1" s="301"/>
      <c r="NXZ1" s="301"/>
      <c r="NYA1" s="301"/>
      <c r="NYB1" s="301"/>
      <c r="NYC1" s="301"/>
      <c r="NYD1" s="301"/>
      <c r="NYE1" s="301"/>
      <c r="NYF1" s="301"/>
      <c r="NYG1" s="301"/>
      <c r="NYH1" s="301"/>
      <c r="NYI1" s="301"/>
      <c r="NYJ1" s="301"/>
      <c r="NYK1" s="301"/>
      <c r="NYL1" s="301"/>
      <c r="NYM1" s="301"/>
      <c r="NYN1" s="301"/>
      <c r="NYO1" s="301"/>
      <c r="NYP1" s="301"/>
      <c r="NYQ1" s="301"/>
      <c r="NYR1" s="301"/>
      <c r="NYS1" s="301"/>
      <c r="NYT1" s="301"/>
      <c r="NYU1" s="301"/>
      <c r="NYV1" s="301"/>
      <c r="NYW1" s="301"/>
      <c r="NYX1" s="301"/>
      <c r="NYY1" s="301"/>
      <c r="NYZ1" s="301"/>
      <c r="NZA1" s="301"/>
      <c r="NZB1" s="301"/>
      <c r="NZC1" s="301"/>
      <c r="NZD1" s="301"/>
      <c r="NZE1" s="301"/>
      <c r="NZF1" s="301"/>
      <c r="NZG1" s="301"/>
      <c r="NZH1" s="301"/>
      <c r="NZI1" s="301"/>
      <c r="NZJ1" s="301"/>
      <c r="NZK1" s="301"/>
      <c r="NZL1" s="301"/>
      <c r="NZM1" s="301"/>
      <c r="NZN1" s="301"/>
      <c r="NZO1" s="301"/>
      <c r="NZP1" s="301"/>
      <c r="NZQ1" s="301"/>
      <c r="NZR1" s="301"/>
      <c r="NZS1" s="301"/>
      <c r="NZT1" s="301"/>
      <c r="NZU1" s="301"/>
      <c r="NZV1" s="301"/>
      <c r="NZW1" s="301"/>
      <c r="NZX1" s="301"/>
      <c r="NZY1" s="301"/>
      <c r="NZZ1" s="301"/>
      <c r="OAA1" s="301"/>
      <c r="OAB1" s="301"/>
      <c r="OAC1" s="301"/>
      <c r="OAD1" s="301"/>
      <c r="OAE1" s="301"/>
      <c r="OAF1" s="301"/>
      <c r="OAG1" s="301"/>
      <c r="OAH1" s="301"/>
      <c r="OAI1" s="301"/>
      <c r="OAJ1" s="301"/>
      <c r="OAK1" s="301"/>
      <c r="OAL1" s="301"/>
      <c r="OAM1" s="301"/>
      <c r="OAN1" s="301"/>
      <c r="OAO1" s="301"/>
      <c r="OAP1" s="301"/>
      <c r="OAQ1" s="301"/>
      <c r="OAR1" s="301"/>
      <c r="OAS1" s="301"/>
      <c r="OAT1" s="301"/>
      <c r="OAU1" s="301"/>
      <c r="OAV1" s="301"/>
      <c r="OAW1" s="301"/>
      <c r="OAX1" s="301"/>
      <c r="OAY1" s="301"/>
      <c r="OAZ1" s="301"/>
      <c r="OBA1" s="301"/>
      <c r="OBB1" s="301"/>
      <c r="OBC1" s="301"/>
      <c r="OBD1" s="301"/>
      <c r="OBE1" s="301"/>
      <c r="OBF1" s="301"/>
      <c r="OBG1" s="301"/>
      <c r="OBH1" s="301"/>
      <c r="OBI1" s="301"/>
      <c r="OBJ1" s="301"/>
      <c r="OBK1" s="301"/>
      <c r="OBL1" s="301"/>
      <c r="OBM1" s="301"/>
      <c r="OBN1" s="301"/>
      <c r="OBO1" s="301"/>
      <c r="OBP1" s="301"/>
      <c r="OBQ1" s="301"/>
      <c r="OBR1" s="301"/>
      <c r="OBS1" s="301"/>
      <c r="OBT1" s="301"/>
      <c r="OBU1" s="301"/>
      <c r="OBV1" s="301"/>
      <c r="OBW1" s="301"/>
      <c r="OBX1" s="301"/>
      <c r="OBY1" s="301"/>
      <c r="OBZ1" s="301"/>
      <c r="OCA1" s="301"/>
      <c r="OCB1" s="301"/>
      <c r="OCC1" s="301"/>
      <c r="OCD1" s="301"/>
      <c r="OCE1" s="301"/>
      <c r="OCF1" s="301"/>
      <c r="OCG1" s="301"/>
      <c r="OCH1" s="301"/>
      <c r="OCI1" s="301"/>
      <c r="OCJ1" s="301"/>
      <c r="OCK1" s="301"/>
      <c r="OCL1" s="301"/>
      <c r="OCM1" s="301"/>
      <c r="OCN1" s="301"/>
      <c r="OCO1" s="301"/>
      <c r="OCP1" s="301"/>
      <c r="OCQ1" s="301"/>
      <c r="OCR1" s="301"/>
      <c r="OCS1" s="301"/>
      <c r="OCT1" s="301"/>
      <c r="OCU1" s="301"/>
      <c r="OCV1" s="301"/>
      <c r="OCW1" s="301"/>
      <c r="OCX1" s="301"/>
      <c r="OCY1" s="301"/>
      <c r="OCZ1" s="301"/>
      <c r="ODA1" s="301"/>
      <c r="ODB1" s="301"/>
      <c r="ODC1" s="301"/>
      <c r="ODD1" s="301"/>
      <c r="ODE1" s="301"/>
      <c r="ODF1" s="301"/>
      <c r="ODG1" s="301"/>
      <c r="ODH1" s="301"/>
      <c r="ODI1" s="301"/>
      <c r="ODJ1" s="301"/>
      <c r="ODK1" s="301"/>
      <c r="ODL1" s="301"/>
      <c r="ODM1" s="301"/>
      <c r="ODN1" s="301"/>
      <c r="ODO1" s="301"/>
      <c r="ODP1" s="301"/>
      <c r="ODQ1" s="301"/>
      <c r="ODR1" s="301"/>
      <c r="ODS1" s="301"/>
      <c r="ODT1" s="301"/>
      <c r="ODU1" s="301"/>
      <c r="ODV1" s="301"/>
      <c r="ODW1" s="301"/>
      <c r="ODX1" s="301"/>
      <c r="ODY1" s="301"/>
      <c r="ODZ1" s="301"/>
      <c r="OEA1" s="301"/>
      <c r="OEB1" s="301"/>
      <c r="OEC1" s="301"/>
      <c r="OED1" s="301"/>
      <c r="OEE1" s="301"/>
      <c r="OEF1" s="301"/>
      <c r="OEG1" s="301"/>
      <c r="OEH1" s="301"/>
      <c r="OEI1" s="301"/>
      <c r="OEJ1" s="301"/>
      <c r="OEK1" s="301"/>
      <c r="OEL1" s="301"/>
      <c r="OEM1" s="301"/>
      <c r="OEN1" s="301"/>
      <c r="OEO1" s="301"/>
      <c r="OEP1" s="301"/>
      <c r="OEQ1" s="301"/>
      <c r="OER1" s="301"/>
      <c r="OES1" s="301"/>
      <c r="OET1" s="301"/>
      <c r="OEU1" s="301"/>
      <c r="OEV1" s="301"/>
      <c r="OEW1" s="301"/>
      <c r="OEX1" s="301"/>
      <c r="OEY1" s="301"/>
      <c r="OEZ1" s="301"/>
      <c r="OFA1" s="301"/>
      <c r="OFB1" s="301"/>
      <c r="OFC1" s="301"/>
      <c r="OFD1" s="301"/>
      <c r="OFE1" s="301"/>
      <c r="OFF1" s="301"/>
      <c r="OFG1" s="301"/>
      <c r="OFH1" s="301"/>
      <c r="OFI1" s="301"/>
      <c r="OFJ1" s="301"/>
      <c r="OFK1" s="301"/>
      <c r="OFL1" s="301"/>
      <c r="OFM1" s="301"/>
      <c r="OFN1" s="301"/>
      <c r="OFO1" s="301"/>
      <c r="OFP1" s="301"/>
      <c r="OFQ1" s="301"/>
      <c r="OFR1" s="301"/>
      <c r="OFS1" s="301"/>
      <c r="OFT1" s="301"/>
      <c r="OFU1" s="301"/>
      <c r="OFV1" s="301"/>
      <c r="OFW1" s="301"/>
      <c r="OFX1" s="301"/>
      <c r="OFY1" s="301"/>
      <c r="OFZ1" s="301"/>
      <c r="OGA1" s="301"/>
      <c r="OGB1" s="301"/>
      <c r="OGC1" s="301"/>
      <c r="OGD1" s="301"/>
      <c r="OGE1" s="301"/>
      <c r="OGF1" s="301"/>
      <c r="OGG1" s="301"/>
      <c r="OGH1" s="301"/>
      <c r="OGI1" s="301"/>
      <c r="OGJ1" s="301"/>
      <c r="OGK1" s="301"/>
      <c r="OGL1" s="301"/>
      <c r="OGM1" s="301"/>
      <c r="OGN1" s="301"/>
      <c r="OGO1" s="301"/>
      <c r="OGP1" s="301"/>
      <c r="OGQ1" s="301"/>
      <c r="OGR1" s="301"/>
      <c r="OGS1" s="301"/>
      <c r="OGT1" s="301"/>
      <c r="OGU1" s="301"/>
      <c r="OGV1" s="301"/>
      <c r="OGW1" s="301"/>
      <c r="OGX1" s="301"/>
      <c r="OGY1" s="301"/>
      <c r="OGZ1" s="301"/>
      <c r="OHA1" s="301"/>
      <c r="OHB1" s="301"/>
      <c r="OHC1" s="301"/>
      <c r="OHD1" s="301"/>
      <c r="OHE1" s="301"/>
      <c r="OHF1" s="301"/>
      <c r="OHG1" s="301"/>
      <c r="OHH1" s="301"/>
      <c r="OHI1" s="301"/>
      <c r="OHJ1" s="301"/>
      <c r="OHK1" s="301"/>
      <c r="OHL1" s="301"/>
      <c r="OHM1" s="301"/>
      <c r="OHN1" s="301"/>
      <c r="OHO1" s="301"/>
      <c r="OHP1" s="301"/>
      <c r="OHQ1" s="301"/>
      <c r="OHR1" s="301"/>
      <c r="OHS1" s="301"/>
      <c r="OHT1" s="301"/>
      <c r="OHU1" s="301"/>
      <c r="OHV1" s="301"/>
      <c r="OHW1" s="301"/>
      <c r="OHX1" s="301"/>
      <c r="OHY1" s="301"/>
      <c r="OHZ1" s="301"/>
      <c r="OIA1" s="301"/>
      <c r="OIB1" s="301"/>
      <c r="OIC1" s="301"/>
      <c r="OID1" s="301"/>
      <c r="OIE1" s="301"/>
      <c r="OIF1" s="301"/>
      <c r="OIG1" s="301"/>
      <c r="OIH1" s="301"/>
      <c r="OII1" s="301"/>
      <c r="OIJ1" s="301"/>
      <c r="OIK1" s="301"/>
      <c r="OIL1" s="301"/>
      <c r="OIM1" s="301"/>
      <c r="OIN1" s="301"/>
      <c r="OIO1" s="301"/>
      <c r="OIP1" s="301"/>
      <c r="OIQ1" s="301"/>
      <c r="OIR1" s="301"/>
      <c r="OIS1" s="301"/>
      <c r="OIT1" s="301"/>
      <c r="OIU1" s="301"/>
      <c r="OIV1" s="301"/>
      <c r="OIW1" s="301"/>
      <c r="OIX1" s="301"/>
      <c r="OIY1" s="301"/>
      <c r="OIZ1" s="301"/>
      <c r="OJA1" s="301"/>
      <c r="OJB1" s="301"/>
      <c r="OJC1" s="301"/>
      <c r="OJD1" s="301"/>
      <c r="OJE1" s="301"/>
      <c r="OJF1" s="301"/>
      <c r="OJG1" s="301"/>
      <c r="OJH1" s="301"/>
      <c r="OJI1" s="301"/>
      <c r="OJJ1" s="301"/>
      <c r="OJK1" s="301"/>
      <c r="OJL1" s="301"/>
      <c r="OJM1" s="301"/>
      <c r="OJN1" s="301"/>
      <c r="OJO1" s="301"/>
      <c r="OJP1" s="301"/>
      <c r="OJQ1" s="301"/>
      <c r="OJR1" s="301"/>
      <c r="OJS1" s="301"/>
      <c r="OJT1" s="301"/>
      <c r="OJU1" s="301"/>
      <c r="OJV1" s="301"/>
      <c r="OJW1" s="301"/>
      <c r="OJX1" s="301"/>
      <c r="OJY1" s="301"/>
      <c r="OJZ1" s="301"/>
      <c r="OKA1" s="301"/>
      <c r="OKB1" s="301"/>
      <c r="OKC1" s="301"/>
      <c r="OKD1" s="301"/>
      <c r="OKE1" s="301"/>
      <c r="OKF1" s="301"/>
      <c r="OKG1" s="301"/>
      <c r="OKH1" s="301"/>
      <c r="OKI1" s="301"/>
      <c r="OKJ1" s="301"/>
      <c r="OKK1" s="301"/>
      <c r="OKL1" s="301"/>
      <c r="OKM1" s="301"/>
      <c r="OKN1" s="301"/>
      <c r="OKO1" s="301"/>
      <c r="OKP1" s="301"/>
      <c r="OKQ1" s="301"/>
      <c r="OKR1" s="301"/>
      <c r="OKS1" s="301"/>
      <c r="OKT1" s="301"/>
      <c r="OKU1" s="301"/>
      <c r="OKV1" s="301"/>
      <c r="OKW1" s="301"/>
      <c r="OKX1" s="301"/>
      <c r="OKY1" s="301"/>
      <c r="OKZ1" s="301"/>
      <c r="OLA1" s="301"/>
      <c r="OLB1" s="301"/>
      <c r="OLC1" s="301"/>
      <c r="OLD1" s="301"/>
      <c r="OLE1" s="301"/>
      <c r="OLF1" s="301"/>
      <c r="OLG1" s="301"/>
      <c r="OLH1" s="301"/>
      <c r="OLI1" s="301"/>
      <c r="OLJ1" s="301"/>
      <c r="OLK1" s="301"/>
      <c r="OLL1" s="301"/>
      <c r="OLM1" s="301"/>
      <c r="OLN1" s="301"/>
      <c r="OLO1" s="301"/>
      <c r="OLP1" s="301"/>
      <c r="OLQ1" s="301"/>
      <c r="OLR1" s="301"/>
      <c r="OLS1" s="301"/>
      <c r="OLT1" s="301"/>
      <c r="OLU1" s="301"/>
      <c r="OLV1" s="301"/>
      <c r="OLW1" s="301"/>
      <c r="OLX1" s="301"/>
      <c r="OLY1" s="301"/>
      <c r="OLZ1" s="301"/>
      <c r="OMA1" s="301"/>
      <c r="OMB1" s="301"/>
      <c r="OMC1" s="301"/>
      <c r="OMD1" s="301"/>
      <c r="OME1" s="301"/>
      <c r="OMF1" s="301"/>
      <c r="OMG1" s="301"/>
      <c r="OMH1" s="301"/>
      <c r="OMI1" s="301"/>
      <c r="OMJ1" s="301"/>
      <c r="OMK1" s="301"/>
      <c r="OML1" s="301"/>
      <c r="OMM1" s="301"/>
      <c r="OMN1" s="301"/>
      <c r="OMO1" s="301"/>
      <c r="OMP1" s="301"/>
      <c r="OMQ1" s="301"/>
      <c r="OMR1" s="301"/>
      <c r="OMS1" s="301"/>
      <c r="OMT1" s="301"/>
      <c r="OMU1" s="301"/>
      <c r="OMV1" s="301"/>
      <c r="OMW1" s="301"/>
      <c r="OMX1" s="301"/>
      <c r="OMY1" s="301"/>
      <c r="OMZ1" s="301"/>
      <c r="ONA1" s="301"/>
      <c r="ONB1" s="301"/>
      <c r="ONC1" s="301"/>
      <c r="OND1" s="301"/>
      <c r="ONE1" s="301"/>
      <c r="ONF1" s="301"/>
      <c r="ONG1" s="301"/>
      <c r="ONH1" s="301"/>
      <c r="ONI1" s="301"/>
      <c r="ONJ1" s="301"/>
      <c r="ONK1" s="301"/>
      <c r="ONL1" s="301"/>
      <c r="ONM1" s="301"/>
      <c r="ONN1" s="301"/>
      <c r="ONO1" s="301"/>
      <c r="ONP1" s="301"/>
      <c r="ONQ1" s="301"/>
      <c r="ONR1" s="301"/>
      <c r="ONS1" s="301"/>
      <c r="ONT1" s="301"/>
      <c r="ONU1" s="301"/>
      <c r="ONV1" s="301"/>
      <c r="ONW1" s="301"/>
      <c r="ONX1" s="301"/>
      <c r="ONY1" s="301"/>
      <c r="ONZ1" s="301"/>
      <c r="OOA1" s="301"/>
      <c r="OOB1" s="301"/>
      <c r="OOC1" s="301"/>
      <c r="OOD1" s="301"/>
      <c r="OOE1" s="301"/>
      <c r="OOF1" s="301"/>
      <c r="OOG1" s="301"/>
      <c r="OOH1" s="301"/>
      <c r="OOI1" s="301"/>
      <c r="OOJ1" s="301"/>
      <c r="OOK1" s="301"/>
      <c r="OOL1" s="301"/>
      <c r="OOM1" s="301"/>
      <c r="OON1" s="301"/>
      <c r="OOO1" s="301"/>
      <c r="OOP1" s="301"/>
      <c r="OOQ1" s="301"/>
      <c r="OOR1" s="301"/>
      <c r="OOS1" s="301"/>
      <c r="OOT1" s="301"/>
      <c r="OOU1" s="301"/>
      <c r="OOV1" s="301"/>
      <c r="OOW1" s="301"/>
      <c r="OOX1" s="301"/>
      <c r="OOY1" s="301"/>
      <c r="OOZ1" s="301"/>
      <c r="OPA1" s="301"/>
      <c r="OPB1" s="301"/>
      <c r="OPC1" s="301"/>
      <c r="OPD1" s="301"/>
      <c r="OPE1" s="301"/>
      <c r="OPF1" s="301"/>
      <c r="OPG1" s="301"/>
      <c r="OPH1" s="301"/>
      <c r="OPI1" s="301"/>
      <c r="OPJ1" s="301"/>
      <c r="OPK1" s="301"/>
      <c r="OPL1" s="301"/>
      <c r="OPM1" s="301"/>
      <c r="OPN1" s="301"/>
      <c r="OPO1" s="301"/>
      <c r="OPP1" s="301"/>
      <c r="OPQ1" s="301"/>
      <c r="OPR1" s="301"/>
      <c r="OPS1" s="301"/>
      <c r="OPT1" s="301"/>
      <c r="OPU1" s="301"/>
      <c r="OPV1" s="301"/>
      <c r="OPW1" s="301"/>
      <c r="OPX1" s="301"/>
      <c r="OPY1" s="301"/>
      <c r="OPZ1" s="301"/>
      <c r="OQA1" s="301"/>
      <c r="OQB1" s="301"/>
      <c r="OQC1" s="301"/>
      <c r="OQD1" s="301"/>
      <c r="OQE1" s="301"/>
      <c r="OQF1" s="301"/>
      <c r="OQG1" s="301"/>
      <c r="OQH1" s="301"/>
      <c r="OQI1" s="301"/>
      <c r="OQJ1" s="301"/>
      <c r="OQK1" s="301"/>
      <c r="OQL1" s="301"/>
      <c r="OQM1" s="301"/>
      <c r="OQN1" s="301"/>
      <c r="OQO1" s="301"/>
      <c r="OQP1" s="301"/>
      <c r="OQQ1" s="301"/>
      <c r="OQR1" s="301"/>
      <c r="OQS1" s="301"/>
      <c r="OQT1" s="301"/>
      <c r="OQU1" s="301"/>
      <c r="OQV1" s="301"/>
      <c r="OQW1" s="301"/>
      <c r="OQX1" s="301"/>
      <c r="OQY1" s="301"/>
      <c r="OQZ1" s="301"/>
      <c r="ORA1" s="301"/>
      <c r="ORB1" s="301"/>
      <c r="ORC1" s="301"/>
      <c r="ORD1" s="301"/>
      <c r="ORE1" s="301"/>
      <c r="ORF1" s="301"/>
      <c r="ORG1" s="301"/>
      <c r="ORH1" s="301"/>
      <c r="ORI1" s="301"/>
      <c r="ORJ1" s="301"/>
      <c r="ORK1" s="301"/>
      <c r="ORL1" s="301"/>
      <c r="ORM1" s="301"/>
      <c r="ORN1" s="301"/>
      <c r="ORO1" s="301"/>
      <c r="ORP1" s="301"/>
      <c r="ORQ1" s="301"/>
      <c r="ORR1" s="301"/>
      <c r="ORS1" s="301"/>
      <c r="ORT1" s="301"/>
      <c r="ORU1" s="301"/>
      <c r="ORV1" s="301"/>
      <c r="ORW1" s="301"/>
      <c r="ORX1" s="301"/>
      <c r="ORY1" s="301"/>
      <c r="ORZ1" s="301"/>
      <c r="OSA1" s="301"/>
      <c r="OSB1" s="301"/>
      <c r="OSC1" s="301"/>
      <c r="OSD1" s="301"/>
      <c r="OSE1" s="301"/>
      <c r="OSF1" s="301"/>
      <c r="OSG1" s="301"/>
      <c r="OSH1" s="301"/>
      <c r="OSI1" s="301"/>
      <c r="OSJ1" s="301"/>
      <c r="OSK1" s="301"/>
      <c r="OSL1" s="301"/>
      <c r="OSM1" s="301"/>
      <c r="OSN1" s="301"/>
      <c r="OSO1" s="301"/>
      <c r="OSP1" s="301"/>
      <c r="OSQ1" s="301"/>
      <c r="OSR1" s="301"/>
      <c r="OSS1" s="301"/>
      <c r="OST1" s="301"/>
      <c r="OSU1" s="301"/>
      <c r="OSV1" s="301"/>
      <c r="OSW1" s="301"/>
      <c r="OSX1" s="301"/>
      <c r="OSY1" s="301"/>
      <c r="OSZ1" s="301"/>
      <c r="OTA1" s="301"/>
      <c r="OTB1" s="301"/>
      <c r="OTC1" s="301"/>
      <c r="OTD1" s="301"/>
      <c r="OTE1" s="301"/>
      <c r="OTF1" s="301"/>
      <c r="OTG1" s="301"/>
      <c r="OTH1" s="301"/>
      <c r="OTI1" s="301"/>
      <c r="OTJ1" s="301"/>
      <c r="OTK1" s="301"/>
      <c r="OTL1" s="301"/>
      <c r="OTM1" s="301"/>
      <c r="OTN1" s="301"/>
      <c r="OTO1" s="301"/>
      <c r="OTP1" s="301"/>
      <c r="OTQ1" s="301"/>
      <c r="OTR1" s="301"/>
      <c r="OTS1" s="301"/>
      <c r="OTT1" s="301"/>
      <c r="OTU1" s="301"/>
      <c r="OTV1" s="301"/>
      <c r="OTW1" s="301"/>
      <c r="OTX1" s="301"/>
      <c r="OTY1" s="301"/>
      <c r="OTZ1" s="301"/>
      <c r="OUA1" s="301"/>
      <c r="OUB1" s="301"/>
      <c r="OUC1" s="301"/>
      <c r="OUD1" s="301"/>
      <c r="OUE1" s="301"/>
      <c r="OUF1" s="301"/>
      <c r="OUG1" s="301"/>
      <c r="OUH1" s="301"/>
      <c r="OUI1" s="301"/>
      <c r="OUJ1" s="301"/>
      <c r="OUK1" s="301"/>
      <c r="OUL1" s="301"/>
      <c r="OUM1" s="301"/>
      <c r="OUN1" s="301"/>
      <c r="OUO1" s="301"/>
      <c r="OUP1" s="301"/>
      <c r="OUQ1" s="301"/>
      <c r="OUR1" s="301"/>
      <c r="OUS1" s="301"/>
      <c r="OUT1" s="301"/>
      <c r="OUU1" s="301"/>
      <c r="OUV1" s="301"/>
      <c r="OUW1" s="301"/>
      <c r="OUX1" s="301"/>
      <c r="OUY1" s="301"/>
      <c r="OUZ1" s="301"/>
      <c r="OVA1" s="301"/>
      <c r="OVB1" s="301"/>
      <c r="OVC1" s="301"/>
      <c r="OVD1" s="301"/>
      <c r="OVE1" s="301"/>
      <c r="OVF1" s="301"/>
      <c r="OVG1" s="301"/>
      <c r="OVH1" s="301"/>
      <c r="OVI1" s="301"/>
      <c r="OVJ1" s="301"/>
      <c r="OVK1" s="301"/>
      <c r="OVL1" s="301"/>
      <c r="OVM1" s="301"/>
      <c r="OVN1" s="301"/>
      <c r="OVO1" s="301"/>
      <c r="OVP1" s="301"/>
      <c r="OVQ1" s="301"/>
      <c r="OVR1" s="301"/>
      <c r="OVS1" s="301"/>
      <c r="OVT1" s="301"/>
      <c r="OVU1" s="301"/>
      <c r="OVV1" s="301"/>
      <c r="OVW1" s="301"/>
      <c r="OVX1" s="301"/>
      <c r="OVY1" s="301"/>
      <c r="OVZ1" s="301"/>
      <c r="OWA1" s="301"/>
      <c r="OWB1" s="301"/>
      <c r="OWC1" s="301"/>
      <c r="OWD1" s="301"/>
      <c r="OWE1" s="301"/>
      <c r="OWF1" s="301"/>
      <c r="OWG1" s="301"/>
      <c r="OWH1" s="301"/>
      <c r="OWI1" s="301"/>
      <c r="OWJ1" s="301"/>
      <c r="OWK1" s="301"/>
      <c r="OWL1" s="301"/>
      <c r="OWM1" s="301"/>
      <c r="OWN1" s="301"/>
      <c r="OWO1" s="301"/>
      <c r="OWP1" s="301"/>
      <c r="OWQ1" s="301"/>
      <c r="OWR1" s="301"/>
      <c r="OWS1" s="301"/>
      <c r="OWT1" s="301"/>
      <c r="OWU1" s="301"/>
      <c r="OWV1" s="301"/>
      <c r="OWW1" s="301"/>
      <c r="OWX1" s="301"/>
      <c r="OWY1" s="301"/>
      <c r="OWZ1" s="301"/>
      <c r="OXA1" s="301"/>
      <c r="OXB1" s="301"/>
      <c r="OXC1" s="301"/>
      <c r="OXD1" s="301"/>
      <c r="OXE1" s="301"/>
      <c r="OXF1" s="301"/>
      <c r="OXG1" s="301"/>
      <c r="OXH1" s="301"/>
      <c r="OXI1" s="301"/>
      <c r="OXJ1" s="301"/>
      <c r="OXK1" s="301"/>
      <c r="OXL1" s="301"/>
      <c r="OXM1" s="301"/>
      <c r="OXN1" s="301"/>
      <c r="OXO1" s="301"/>
      <c r="OXP1" s="301"/>
      <c r="OXQ1" s="301"/>
      <c r="OXR1" s="301"/>
      <c r="OXS1" s="301"/>
      <c r="OXT1" s="301"/>
      <c r="OXU1" s="301"/>
      <c r="OXV1" s="301"/>
      <c r="OXW1" s="301"/>
      <c r="OXX1" s="301"/>
      <c r="OXY1" s="301"/>
      <c r="OXZ1" s="301"/>
      <c r="OYA1" s="301"/>
      <c r="OYB1" s="301"/>
      <c r="OYC1" s="301"/>
      <c r="OYD1" s="301"/>
      <c r="OYE1" s="301"/>
      <c r="OYF1" s="301"/>
      <c r="OYG1" s="301"/>
      <c r="OYH1" s="301"/>
      <c r="OYI1" s="301"/>
      <c r="OYJ1" s="301"/>
      <c r="OYK1" s="301"/>
      <c r="OYL1" s="301"/>
      <c r="OYM1" s="301"/>
      <c r="OYN1" s="301"/>
      <c r="OYO1" s="301"/>
      <c r="OYP1" s="301"/>
      <c r="OYQ1" s="301"/>
      <c r="OYR1" s="301"/>
      <c r="OYS1" s="301"/>
      <c r="OYT1" s="301"/>
      <c r="OYU1" s="301"/>
      <c r="OYV1" s="301"/>
      <c r="OYW1" s="301"/>
      <c r="OYX1" s="301"/>
      <c r="OYY1" s="301"/>
      <c r="OYZ1" s="301"/>
      <c r="OZA1" s="301"/>
      <c r="OZB1" s="301"/>
      <c r="OZC1" s="301"/>
      <c r="OZD1" s="301"/>
      <c r="OZE1" s="301"/>
      <c r="OZF1" s="301"/>
      <c r="OZG1" s="301"/>
      <c r="OZH1" s="301"/>
      <c r="OZI1" s="301"/>
      <c r="OZJ1" s="301"/>
      <c r="OZK1" s="301"/>
      <c r="OZL1" s="301"/>
      <c r="OZM1" s="301"/>
      <c r="OZN1" s="301"/>
      <c r="OZO1" s="301"/>
      <c r="OZP1" s="301"/>
      <c r="OZQ1" s="301"/>
      <c r="OZR1" s="301"/>
      <c r="OZS1" s="301"/>
      <c r="OZT1" s="301"/>
      <c r="OZU1" s="301"/>
      <c r="OZV1" s="301"/>
      <c r="OZW1" s="301"/>
      <c r="OZX1" s="301"/>
      <c r="OZY1" s="301"/>
      <c r="OZZ1" s="301"/>
      <c r="PAA1" s="301"/>
      <c r="PAB1" s="301"/>
      <c r="PAC1" s="301"/>
      <c r="PAD1" s="301"/>
      <c r="PAE1" s="301"/>
      <c r="PAF1" s="301"/>
      <c r="PAG1" s="301"/>
      <c r="PAH1" s="301"/>
      <c r="PAI1" s="301"/>
      <c r="PAJ1" s="301"/>
      <c r="PAK1" s="301"/>
      <c r="PAL1" s="301"/>
      <c r="PAM1" s="301"/>
      <c r="PAN1" s="301"/>
      <c r="PAO1" s="301"/>
      <c r="PAP1" s="301"/>
      <c r="PAQ1" s="301"/>
      <c r="PAR1" s="301"/>
      <c r="PAS1" s="301"/>
      <c r="PAT1" s="301"/>
      <c r="PAU1" s="301"/>
      <c r="PAV1" s="301"/>
      <c r="PAW1" s="301"/>
      <c r="PAX1" s="301"/>
      <c r="PAY1" s="301"/>
      <c r="PAZ1" s="301"/>
      <c r="PBA1" s="301"/>
      <c r="PBB1" s="301"/>
      <c r="PBC1" s="301"/>
      <c r="PBD1" s="301"/>
      <c r="PBE1" s="301"/>
      <c r="PBF1" s="301"/>
      <c r="PBG1" s="301"/>
      <c r="PBH1" s="301"/>
      <c r="PBI1" s="301"/>
      <c r="PBJ1" s="301"/>
      <c r="PBK1" s="301"/>
      <c r="PBL1" s="301"/>
      <c r="PBM1" s="301"/>
      <c r="PBN1" s="301"/>
      <c r="PBO1" s="301"/>
      <c r="PBP1" s="301"/>
      <c r="PBQ1" s="301"/>
      <c r="PBR1" s="301"/>
      <c r="PBS1" s="301"/>
      <c r="PBT1" s="301"/>
      <c r="PBU1" s="301"/>
      <c r="PBV1" s="301"/>
      <c r="PBW1" s="301"/>
      <c r="PBX1" s="301"/>
      <c r="PBY1" s="301"/>
      <c r="PBZ1" s="301"/>
      <c r="PCA1" s="301"/>
      <c r="PCB1" s="301"/>
      <c r="PCC1" s="301"/>
      <c r="PCD1" s="301"/>
      <c r="PCE1" s="301"/>
      <c r="PCF1" s="301"/>
      <c r="PCG1" s="301"/>
      <c r="PCH1" s="301"/>
      <c r="PCI1" s="301"/>
      <c r="PCJ1" s="301"/>
      <c r="PCK1" s="301"/>
      <c r="PCL1" s="301"/>
      <c r="PCM1" s="301"/>
      <c r="PCN1" s="301"/>
      <c r="PCO1" s="301"/>
      <c r="PCP1" s="301"/>
      <c r="PCQ1" s="301"/>
      <c r="PCR1" s="301"/>
      <c r="PCS1" s="301"/>
      <c r="PCT1" s="301"/>
      <c r="PCU1" s="301"/>
      <c r="PCV1" s="301"/>
      <c r="PCW1" s="301"/>
      <c r="PCX1" s="301"/>
      <c r="PCY1" s="301"/>
      <c r="PCZ1" s="301"/>
      <c r="PDA1" s="301"/>
      <c r="PDB1" s="301"/>
      <c r="PDC1" s="301"/>
      <c r="PDD1" s="301"/>
      <c r="PDE1" s="301"/>
      <c r="PDF1" s="301"/>
      <c r="PDG1" s="301"/>
      <c r="PDH1" s="301"/>
      <c r="PDI1" s="301"/>
      <c r="PDJ1" s="301"/>
      <c r="PDK1" s="301"/>
      <c r="PDL1" s="301"/>
      <c r="PDM1" s="301"/>
      <c r="PDN1" s="301"/>
      <c r="PDO1" s="301"/>
      <c r="PDP1" s="301"/>
      <c r="PDQ1" s="301"/>
      <c r="PDR1" s="301"/>
      <c r="PDS1" s="301"/>
      <c r="PDT1" s="301"/>
      <c r="PDU1" s="301"/>
      <c r="PDV1" s="301"/>
      <c r="PDW1" s="301"/>
      <c r="PDX1" s="301"/>
      <c r="PDY1" s="301"/>
      <c r="PDZ1" s="301"/>
      <c r="PEA1" s="301"/>
      <c r="PEB1" s="301"/>
      <c r="PEC1" s="301"/>
      <c r="PED1" s="301"/>
      <c r="PEE1" s="301"/>
      <c r="PEF1" s="301"/>
      <c r="PEG1" s="301"/>
      <c r="PEH1" s="301"/>
      <c r="PEI1" s="301"/>
      <c r="PEJ1" s="301"/>
      <c r="PEK1" s="301"/>
      <c r="PEL1" s="301"/>
      <c r="PEM1" s="301"/>
      <c r="PEN1" s="301"/>
      <c r="PEO1" s="301"/>
      <c r="PEP1" s="301"/>
      <c r="PEQ1" s="301"/>
      <c r="PER1" s="301"/>
      <c r="PES1" s="301"/>
      <c r="PET1" s="301"/>
      <c r="PEU1" s="301"/>
      <c r="PEV1" s="301"/>
      <c r="PEW1" s="301"/>
      <c r="PEX1" s="301"/>
      <c r="PEY1" s="301"/>
      <c r="PEZ1" s="301"/>
      <c r="PFA1" s="301"/>
      <c r="PFB1" s="301"/>
      <c r="PFC1" s="301"/>
      <c r="PFD1" s="301"/>
      <c r="PFE1" s="301"/>
      <c r="PFF1" s="301"/>
      <c r="PFG1" s="301"/>
      <c r="PFH1" s="301"/>
      <c r="PFI1" s="301"/>
      <c r="PFJ1" s="301"/>
      <c r="PFK1" s="301"/>
      <c r="PFL1" s="301"/>
      <c r="PFM1" s="301"/>
      <c r="PFN1" s="301"/>
      <c r="PFO1" s="301"/>
      <c r="PFP1" s="301"/>
      <c r="PFQ1" s="301"/>
      <c r="PFR1" s="301"/>
      <c r="PFS1" s="301"/>
      <c r="PFT1" s="301"/>
      <c r="PFU1" s="301"/>
      <c r="PFV1" s="301"/>
      <c r="PFW1" s="301"/>
      <c r="PFX1" s="301"/>
      <c r="PFY1" s="301"/>
      <c r="PFZ1" s="301"/>
      <c r="PGA1" s="301"/>
      <c r="PGB1" s="301"/>
      <c r="PGC1" s="301"/>
      <c r="PGD1" s="301"/>
      <c r="PGE1" s="301"/>
      <c r="PGF1" s="301"/>
      <c r="PGG1" s="301"/>
      <c r="PGH1" s="301"/>
      <c r="PGI1" s="301"/>
      <c r="PGJ1" s="301"/>
      <c r="PGK1" s="301"/>
      <c r="PGL1" s="301"/>
      <c r="PGM1" s="301"/>
      <c r="PGN1" s="301"/>
      <c r="PGO1" s="301"/>
      <c r="PGP1" s="301"/>
      <c r="PGQ1" s="301"/>
      <c r="PGR1" s="301"/>
      <c r="PGS1" s="301"/>
      <c r="PGT1" s="301"/>
      <c r="PGU1" s="301"/>
      <c r="PGV1" s="301"/>
      <c r="PGW1" s="301"/>
      <c r="PGX1" s="301"/>
      <c r="PGY1" s="301"/>
      <c r="PGZ1" s="301"/>
      <c r="PHA1" s="301"/>
      <c r="PHB1" s="301"/>
      <c r="PHC1" s="301"/>
      <c r="PHD1" s="301"/>
      <c r="PHE1" s="301"/>
      <c r="PHF1" s="301"/>
      <c r="PHG1" s="301"/>
      <c r="PHH1" s="301"/>
      <c r="PHI1" s="301"/>
      <c r="PHJ1" s="301"/>
      <c r="PHK1" s="301"/>
      <c r="PHL1" s="301"/>
      <c r="PHM1" s="301"/>
      <c r="PHN1" s="301"/>
      <c r="PHO1" s="301"/>
      <c r="PHP1" s="301"/>
      <c r="PHQ1" s="301"/>
      <c r="PHR1" s="301"/>
      <c r="PHS1" s="301"/>
      <c r="PHT1" s="301"/>
      <c r="PHU1" s="301"/>
      <c r="PHV1" s="301"/>
      <c r="PHW1" s="301"/>
      <c r="PHX1" s="301"/>
      <c r="PHY1" s="301"/>
      <c r="PHZ1" s="301"/>
      <c r="PIA1" s="301"/>
      <c r="PIB1" s="301"/>
      <c r="PIC1" s="301"/>
      <c r="PID1" s="301"/>
      <c r="PIE1" s="301"/>
      <c r="PIF1" s="301"/>
      <c r="PIG1" s="301"/>
      <c r="PIH1" s="301"/>
      <c r="PII1" s="301"/>
      <c r="PIJ1" s="301"/>
      <c r="PIK1" s="301"/>
      <c r="PIL1" s="301"/>
      <c r="PIM1" s="301"/>
      <c r="PIN1" s="301"/>
      <c r="PIO1" s="301"/>
      <c r="PIP1" s="301"/>
      <c r="PIQ1" s="301"/>
      <c r="PIR1" s="301"/>
      <c r="PIS1" s="301"/>
      <c r="PIT1" s="301"/>
      <c r="PIU1" s="301"/>
      <c r="PIV1" s="301"/>
      <c r="PIW1" s="301"/>
      <c r="PIX1" s="301"/>
      <c r="PIY1" s="301"/>
      <c r="PIZ1" s="301"/>
      <c r="PJA1" s="301"/>
      <c r="PJB1" s="301"/>
      <c r="PJC1" s="301"/>
      <c r="PJD1" s="301"/>
      <c r="PJE1" s="301"/>
      <c r="PJF1" s="301"/>
      <c r="PJG1" s="301"/>
      <c r="PJH1" s="301"/>
      <c r="PJI1" s="301"/>
      <c r="PJJ1" s="301"/>
      <c r="PJK1" s="301"/>
      <c r="PJL1" s="301"/>
      <c r="PJM1" s="301"/>
      <c r="PJN1" s="301"/>
      <c r="PJO1" s="301"/>
      <c r="PJP1" s="301"/>
      <c r="PJQ1" s="301"/>
      <c r="PJR1" s="301"/>
      <c r="PJS1" s="301"/>
      <c r="PJT1" s="301"/>
      <c r="PJU1" s="301"/>
      <c r="PJV1" s="301"/>
      <c r="PJW1" s="301"/>
      <c r="PJX1" s="301"/>
      <c r="PJY1" s="301"/>
      <c r="PJZ1" s="301"/>
      <c r="PKA1" s="301"/>
      <c r="PKB1" s="301"/>
      <c r="PKC1" s="301"/>
      <c r="PKD1" s="301"/>
      <c r="PKE1" s="301"/>
      <c r="PKF1" s="301"/>
      <c r="PKG1" s="301"/>
      <c r="PKH1" s="301"/>
      <c r="PKI1" s="301"/>
      <c r="PKJ1" s="301"/>
      <c r="PKK1" s="301"/>
      <c r="PKL1" s="301"/>
      <c r="PKM1" s="301"/>
      <c r="PKN1" s="301"/>
      <c r="PKO1" s="301"/>
      <c r="PKP1" s="301"/>
      <c r="PKQ1" s="301"/>
      <c r="PKR1" s="301"/>
      <c r="PKS1" s="301"/>
      <c r="PKT1" s="301"/>
      <c r="PKU1" s="301"/>
      <c r="PKV1" s="301"/>
      <c r="PKW1" s="301"/>
      <c r="PKX1" s="301"/>
      <c r="PKY1" s="301"/>
      <c r="PKZ1" s="301"/>
      <c r="PLA1" s="301"/>
      <c r="PLB1" s="301"/>
      <c r="PLC1" s="301"/>
      <c r="PLD1" s="301"/>
      <c r="PLE1" s="301"/>
      <c r="PLF1" s="301"/>
      <c r="PLG1" s="301"/>
      <c r="PLH1" s="301"/>
      <c r="PLI1" s="301"/>
      <c r="PLJ1" s="301"/>
      <c r="PLK1" s="301"/>
      <c r="PLL1" s="301"/>
      <c r="PLM1" s="301"/>
      <c r="PLN1" s="301"/>
      <c r="PLO1" s="301"/>
      <c r="PLP1" s="301"/>
      <c r="PLQ1" s="301"/>
      <c r="PLR1" s="301"/>
      <c r="PLS1" s="301"/>
      <c r="PLT1" s="301"/>
      <c r="PLU1" s="301"/>
      <c r="PLV1" s="301"/>
      <c r="PLW1" s="301"/>
      <c r="PLX1" s="301"/>
      <c r="PLY1" s="301"/>
      <c r="PLZ1" s="301"/>
      <c r="PMA1" s="301"/>
      <c r="PMB1" s="301"/>
      <c r="PMC1" s="301"/>
      <c r="PMD1" s="301"/>
      <c r="PME1" s="301"/>
      <c r="PMF1" s="301"/>
      <c r="PMG1" s="301"/>
      <c r="PMH1" s="301"/>
      <c r="PMI1" s="301"/>
      <c r="PMJ1" s="301"/>
      <c r="PMK1" s="301"/>
      <c r="PML1" s="301"/>
      <c r="PMM1" s="301"/>
      <c r="PMN1" s="301"/>
      <c r="PMO1" s="301"/>
      <c r="PMP1" s="301"/>
      <c r="PMQ1" s="301"/>
      <c r="PMR1" s="301"/>
      <c r="PMS1" s="301"/>
      <c r="PMT1" s="301"/>
      <c r="PMU1" s="301"/>
      <c r="PMV1" s="301"/>
      <c r="PMW1" s="301"/>
      <c r="PMX1" s="301"/>
      <c r="PMY1" s="301"/>
      <c r="PMZ1" s="301"/>
      <c r="PNA1" s="301"/>
      <c r="PNB1" s="301"/>
      <c r="PNC1" s="301"/>
      <c r="PND1" s="301"/>
      <c r="PNE1" s="301"/>
      <c r="PNF1" s="301"/>
      <c r="PNG1" s="301"/>
      <c r="PNH1" s="301"/>
      <c r="PNI1" s="301"/>
      <c r="PNJ1" s="301"/>
      <c r="PNK1" s="301"/>
      <c r="PNL1" s="301"/>
      <c r="PNM1" s="301"/>
      <c r="PNN1" s="301"/>
      <c r="PNO1" s="301"/>
      <c r="PNP1" s="301"/>
      <c r="PNQ1" s="301"/>
      <c r="PNR1" s="301"/>
      <c r="PNS1" s="301"/>
      <c r="PNT1" s="301"/>
      <c r="PNU1" s="301"/>
      <c r="PNV1" s="301"/>
      <c r="PNW1" s="301"/>
      <c r="PNX1" s="301"/>
      <c r="PNY1" s="301"/>
      <c r="PNZ1" s="301"/>
      <c r="POA1" s="301"/>
      <c r="POB1" s="301"/>
      <c r="POC1" s="301"/>
      <c r="POD1" s="301"/>
      <c r="POE1" s="301"/>
      <c r="POF1" s="301"/>
      <c r="POG1" s="301"/>
      <c r="POH1" s="301"/>
      <c r="POI1" s="301"/>
      <c r="POJ1" s="301"/>
      <c r="POK1" s="301"/>
      <c r="POL1" s="301"/>
      <c r="POM1" s="301"/>
      <c r="PON1" s="301"/>
      <c r="POO1" s="301"/>
      <c r="POP1" s="301"/>
      <c r="POQ1" s="301"/>
      <c r="POR1" s="301"/>
      <c r="POS1" s="301"/>
      <c r="POT1" s="301"/>
      <c r="POU1" s="301"/>
      <c r="POV1" s="301"/>
      <c r="POW1" s="301"/>
      <c r="POX1" s="301"/>
      <c r="POY1" s="301"/>
      <c r="POZ1" s="301"/>
      <c r="PPA1" s="301"/>
      <c r="PPB1" s="301"/>
      <c r="PPC1" s="301"/>
      <c r="PPD1" s="301"/>
      <c r="PPE1" s="301"/>
      <c r="PPF1" s="301"/>
      <c r="PPG1" s="301"/>
      <c r="PPH1" s="301"/>
      <c r="PPI1" s="301"/>
      <c r="PPJ1" s="301"/>
      <c r="PPK1" s="301"/>
      <c r="PPL1" s="301"/>
      <c r="PPM1" s="301"/>
      <c r="PPN1" s="301"/>
      <c r="PPO1" s="301"/>
      <c r="PPP1" s="301"/>
      <c r="PPQ1" s="301"/>
      <c r="PPR1" s="301"/>
      <c r="PPS1" s="301"/>
      <c r="PPT1" s="301"/>
      <c r="PPU1" s="301"/>
      <c r="PPV1" s="301"/>
      <c r="PPW1" s="301"/>
      <c r="PPX1" s="301"/>
      <c r="PPY1" s="301"/>
      <c r="PPZ1" s="301"/>
      <c r="PQA1" s="301"/>
      <c r="PQB1" s="301"/>
      <c r="PQC1" s="301"/>
      <c r="PQD1" s="301"/>
      <c r="PQE1" s="301"/>
      <c r="PQF1" s="301"/>
      <c r="PQG1" s="301"/>
      <c r="PQH1" s="301"/>
      <c r="PQI1" s="301"/>
      <c r="PQJ1" s="301"/>
      <c r="PQK1" s="301"/>
      <c r="PQL1" s="301"/>
      <c r="PQM1" s="301"/>
      <c r="PQN1" s="301"/>
      <c r="PQO1" s="301"/>
      <c r="PQP1" s="301"/>
      <c r="PQQ1" s="301"/>
      <c r="PQR1" s="301"/>
      <c r="PQS1" s="301"/>
      <c r="PQT1" s="301"/>
      <c r="PQU1" s="301"/>
      <c r="PQV1" s="301"/>
      <c r="PQW1" s="301"/>
      <c r="PQX1" s="301"/>
      <c r="PQY1" s="301"/>
      <c r="PQZ1" s="301"/>
      <c r="PRA1" s="301"/>
      <c r="PRB1" s="301"/>
      <c r="PRC1" s="301"/>
      <c r="PRD1" s="301"/>
      <c r="PRE1" s="301"/>
      <c r="PRF1" s="301"/>
      <c r="PRG1" s="301"/>
      <c r="PRH1" s="301"/>
      <c r="PRI1" s="301"/>
      <c r="PRJ1" s="301"/>
      <c r="PRK1" s="301"/>
      <c r="PRL1" s="301"/>
      <c r="PRM1" s="301"/>
      <c r="PRN1" s="301"/>
      <c r="PRO1" s="301"/>
      <c r="PRP1" s="301"/>
      <c r="PRQ1" s="301"/>
      <c r="PRR1" s="301"/>
      <c r="PRS1" s="301"/>
      <c r="PRT1" s="301"/>
      <c r="PRU1" s="301"/>
      <c r="PRV1" s="301"/>
      <c r="PRW1" s="301"/>
      <c r="PRX1" s="301"/>
      <c r="PRY1" s="301"/>
      <c r="PRZ1" s="301"/>
      <c r="PSA1" s="301"/>
      <c r="PSB1" s="301"/>
      <c r="PSC1" s="301"/>
      <c r="PSD1" s="301"/>
      <c r="PSE1" s="301"/>
      <c r="PSF1" s="301"/>
      <c r="PSG1" s="301"/>
      <c r="PSH1" s="301"/>
      <c r="PSI1" s="301"/>
      <c r="PSJ1" s="301"/>
      <c r="PSK1" s="301"/>
      <c r="PSL1" s="301"/>
      <c r="PSM1" s="301"/>
      <c r="PSN1" s="301"/>
      <c r="PSO1" s="301"/>
      <c r="PSP1" s="301"/>
      <c r="PSQ1" s="301"/>
      <c r="PSR1" s="301"/>
      <c r="PSS1" s="301"/>
      <c r="PST1" s="301"/>
      <c r="PSU1" s="301"/>
      <c r="PSV1" s="301"/>
      <c r="PSW1" s="301"/>
      <c r="PSX1" s="301"/>
      <c r="PSY1" s="301"/>
      <c r="PSZ1" s="301"/>
      <c r="PTA1" s="301"/>
      <c r="PTB1" s="301"/>
      <c r="PTC1" s="301"/>
      <c r="PTD1" s="301"/>
      <c r="PTE1" s="301"/>
      <c r="PTF1" s="301"/>
      <c r="PTG1" s="301"/>
      <c r="PTH1" s="301"/>
      <c r="PTI1" s="301"/>
      <c r="PTJ1" s="301"/>
      <c r="PTK1" s="301"/>
      <c r="PTL1" s="301"/>
      <c r="PTM1" s="301"/>
      <c r="PTN1" s="301"/>
      <c r="PTO1" s="301"/>
      <c r="PTP1" s="301"/>
      <c r="PTQ1" s="301"/>
      <c r="PTR1" s="301"/>
      <c r="PTS1" s="301"/>
      <c r="PTT1" s="301"/>
      <c r="PTU1" s="301"/>
      <c r="PTV1" s="301"/>
      <c r="PTW1" s="301"/>
      <c r="PTX1" s="301"/>
      <c r="PTY1" s="301"/>
      <c r="PTZ1" s="301"/>
      <c r="PUA1" s="301"/>
      <c r="PUB1" s="301"/>
      <c r="PUC1" s="301"/>
      <c r="PUD1" s="301"/>
      <c r="PUE1" s="301"/>
      <c r="PUF1" s="301"/>
      <c r="PUG1" s="301"/>
      <c r="PUH1" s="301"/>
      <c r="PUI1" s="301"/>
      <c r="PUJ1" s="301"/>
      <c r="PUK1" s="301"/>
      <c r="PUL1" s="301"/>
      <c r="PUM1" s="301"/>
      <c r="PUN1" s="301"/>
      <c r="PUO1" s="301"/>
      <c r="PUP1" s="301"/>
      <c r="PUQ1" s="301"/>
      <c r="PUR1" s="301"/>
      <c r="PUS1" s="301"/>
      <c r="PUT1" s="301"/>
      <c r="PUU1" s="301"/>
      <c r="PUV1" s="301"/>
      <c r="PUW1" s="301"/>
      <c r="PUX1" s="301"/>
      <c r="PUY1" s="301"/>
      <c r="PUZ1" s="301"/>
      <c r="PVA1" s="301"/>
      <c r="PVB1" s="301"/>
      <c r="PVC1" s="301"/>
      <c r="PVD1" s="301"/>
      <c r="PVE1" s="301"/>
      <c r="PVF1" s="301"/>
      <c r="PVG1" s="301"/>
      <c r="PVH1" s="301"/>
      <c r="PVI1" s="301"/>
      <c r="PVJ1" s="301"/>
      <c r="PVK1" s="301"/>
      <c r="PVL1" s="301"/>
      <c r="PVM1" s="301"/>
      <c r="PVN1" s="301"/>
      <c r="PVO1" s="301"/>
      <c r="PVP1" s="301"/>
      <c r="PVQ1" s="301"/>
      <c r="PVR1" s="301"/>
      <c r="PVS1" s="301"/>
      <c r="PVT1" s="301"/>
      <c r="PVU1" s="301"/>
      <c r="PVV1" s="301"/>
      <c r="PVW1" s="301"/>
      <c r="PVX1" s="301"/>
      <c r="PVY1" s="301"/>
      <c r="PVZ1" s="301"/>
      <c r="PWA1" s="301"/>
      <c r="PWB1" s="301"/>
      <c r="PWC1" s="301"/>
      <c r="PWD1" s="301"/>
      <c r="PWE1" s="301"/>
      <c r="PWF1" s="301"/>
      <c r="PWG1" s="301"/>
      <c r="PWH1" s="301"/>
      <c r="PWI1" s="301"/>
      <c r="PWJ1" s="301"/>
      <c r="PWK1" s="301"/>
      <c r="PWL1" s="301"/>
      <c r="PWM1" s="301"/>
      <c r="PWN1" s="301"/>
      <c r="PWO1" s="301"/>
      <c r="PWP1" s="301"/>
      <c r="PWQ1" s="301"/>
      <c r="PWR1" s="301"/>
      <c r="PWS1" s="301"/>
      <c r="PWT1" s="301"/>
      <c r="PWU1" s="301"/>
      <c r="PWV1" s="301"/>
      <c r="PWW1" s="301"/>
      <c r="PWX1" s="301"/>
      <c r="PWY1" s="301"/>
      <c r="PWZ1" s="301"/>
      <c r="PXA1" s="301"/>
      <c r="PXB1" s="301"/>
      <c r="PXC1" s="301"/>
      <c r="PXD1" s="301"/>
      <c r="PXE1" s="301"/>
      <c r="PXF1" s="301"/>
      <c r="PXG1" s="301"/>
      <c r="PXH1" s="301"/>
      <c r="PXI1" s="301"/>
      <c r="PXJ1" s="301"/>
      <c r="PXK1" s="301"/>
      <c r="PXL1" s="301"/>
      <c r="PXM1" s="301"/>
      <c r="PXN1" s="301"/>
      <c r="PXO1" s="301"/>
      <c r="PXP1" s="301"/>
      <c r="PXQ1" s="301"/>
      <c r="PXR1" s="301"/>
      <c r="PXS1" s="301"/>
      <c r="PXT1" s="301"/>
      <c r="PXU1" s="301"/>
      <c r="PXV1" s="301"/>
      <c r="PXW1" s="301"/>
      <c r="PXX1" s="301"/>
      <c r="PXY1" s="301"/>
      <c r="PXZ1" s="301"/>
      <c r="PYA1" s="301"/>
      <c r="PYB1" s="301"/>
      <c r="PYC1" s="301"/>
      <c r="PYD1" s="301"/>
      <c r="PYE1" s="301"/>
      <c r="PYF1" s="301"/>
      <c r="PYG1" s="301"/>
      <c r="PYH1" s="301"/>
      <c r="PYI1" s="301"/>
      <c r="PYJ1" s="301"/>
      <c r="PYK1" s="301"/>
      <c r="PYL1" s="301"/>
      <c r="PYM1" s="301"/>
      <c r="PYN1" s="301"/>
      <c r="PYO1" s="301"/>
      <c r="PYP1" s="301"/>
      <c r="PYQ1" s="301"/>
      <c r="PYR1" s="301"/>
      <c r="PYS1" s="301"/>
      <c r="PYT1" s="301"/>
      <c r="PYU1" s="301"/>
      <c r="PYV1" s="301"/>
      <c r="PYW1" s="301"/>
      <c r="PYX1" s="301"/>
      <c r="PYY1" s="301"/>
      <c r="PYZ1" s="301"/>
      <c r="PZA1" s="301"/>
      <c r="PZB1" s="301"/>
      <c r="PZC1" s="301"/>
      <c r="PZD1" s="301"/>
      <c r="PZE1" s="301"/>
      <c r="PZF1" s="301"/>
      <c r="PZG1" s="301"/>
      <c r="PZH1" s="301"/>
      <c r="PZI1" s="301"/>
      <c r="PZJ1" s="301"/>
      <c r="PZK1" s="301"/>
      <c r="PZL1" s="301"/>
      <c r="PZM1" s="301"/>
      <c r="PZN1" s="301"/>
      <c r="PZO1" s="301"/>
      <c r="PZP1" s="301"/>
      <c r="PZQ1" s="301"/>
      <c r="PZR1" s="301"/>
      <c r="PZS1" s="301"/>
      <c r="PZT1" s="301"/>
      <c r="PZU1" s="301"/>
      <c r="PZV1" s="301"/>
      <c r="PZW1" s="301"/>
      <c r="PZX1" s="301"/>
      <c r="PZY1" s="301"/>
      <c r="PZZ1" s="301"/>
      <c r="QAA1" s="301"/>
      <c r="QAB1" s="301"/>
      <c r="QAC1" s="301"/>
      <c r="QAD1" s="301"/>
      <c r="QAE1" s="301"/>
      <c r="QAF1" s="301"/>
      <c r="QAG1" s="301"/>
      <c r="QAH1" s="301"/>
      <c r="QAI1" s="301"/>
      <c r="QAJ1" s="301"/>
      <c r="QAK1" s="301"/>
      <c r="QAL1" s="301"/>
      <c r="QAM1" s="301"/>
      <c r="QAN1" s="301"/>
      <c r="QAO1" s="301"/>
      <c r="QAP1" s="301"/>
      <c r="QAQ1" s="301"/>
      <c r="QAR1" s="301"/>
      <c r="QAS1" s="301"/>
      <c r="QAT1" s="301"/>
      <c r="QAU1" s="301"/>
      <c r="QAV1" s="301"/>
      <c r="QAW1" s="301"/>
      <c r="QAX1" s="301"/>
      <c r="QAY1" s="301"/>
      <c r="QAZ1" s="301"/>
      <c r="QBA1" s="301"/>
      <c r="QBB1" s="301"/>
      <c r="QBC1" s="301"/>
      <c r="QBD1" s="301"/>
      <c r="QBE1" s="301"/>
      <c r="QBF1" s="301"/>
      <c r="QBG1" s="301"/>
      <c r="QBH1" s="301"/>
      <c r="QBI1" s="301"/>
      <c r="QBJ1" s="301"/>
      <c r="QBK1" s="301"/>
      <c r="QBL1" s="301"/>
      <c r="QBM1" s="301"/>
      <c r="QBN1" s="301"/>
      <c r="QBO1" s="301"/>
      <c r="QBP1" s="301"/>
      <c r="QBQ1" s="301"/>
      <c r="QBR1" s="301"/>
      <c r="QBS1" s="301"/>
      <c r="QBT1" s="301"/>
      <c r="QBU1" s="301"/>
      <c r="QBV1" s="301"/>
      <c r="QBW1" s="301"/>
      <c r="QBX1" s="301"/>
      <c r="QBY1" s="301"/>
      <c r="QBZ1" s="301"/>
      <c r="QCA1" s="301"/>
      <c r="QCB1" s="301"/>
      <c r="QCC1" s="301"/>
      <c r="QCD1" s="301"/>
      <c r="QCE1" s="301"/>
      <c r="QCF1" s="301"/>
      <c r="QCG1" s="301"/>
      <c r="QCH1" s="301"/>
      <c r="QCI1" s="301"/>
      <c r="QCJ1" s="301"/>
      <c r="QCK1" s="301"/>
      <c r="QCL1" s="301"/>
      <c r="QCM1" s="301"/>
      <c r="QCN1" s="301"/>
      <c r="QCO1" s="301"/>
      <c r="QCP1" s="301"/>
      <c r="QCQ1" s="301"/>
      <c r="QCR1" s="301"/>
      <c r="QCS1" s="301"/>
      <c r="QCT1" s="301"/>
      <c r="QCU1" s="301"/>
      <c r="QCV1" s="301"/>
      <c r="QCW1" s="301"/>
      <c r="QCX1" s="301"/>
      <c r="QCY1" s="301"/>
      <c r="QCZ1" s="301"/>
      <c r="QDA1" s="301"/>
      <c r="QDB1" s="301"/>
      <c r="QDC1" s="301"/>
      <c r="QDD1" s="301"/>
      <c r="QDE1" s="301"/>
      <c r="QDF1" s="301"/>
      <c r="QDG1" s="301"/>
      <c r="QDH1" s="301"/>
      <c r="QDI1" s="301"/>
      <c r="QDJ1" s="301"/>
      <c r="QDK1" s="301"/>
      <c r="QDL1" s="301"/>
      <c r="QDM1" s="301"/>
      <c r="QDN1" s="301"/>
      <c r="QDO1" s="301"/>
      <c r="QDP1" s="301"/>
      <c r="QDQ1" s="301"/>
      <c r="QDR1" s="301"/>
      <c r="QDS1" s="301"/>
      <c r="QDT1" s="301"/>
      <c r="QDU1" s="301"/>
      <c r="QDV1" s="301"/>
      <c r="QDW1" s="301"/>
      <c r="QDX1" s="301"/>
      <c r="QDY1" s="301"/>
      <c r="QDZ1" s="301"/>
      <c r="QEA1" s="301"/>
      <c r="QEB1" s="301"/>
      <c r="QEC1" s="301"/>
      <c r="QED1" s="301"/>
      <c r="QEE1" s="301"/>
      <c r="QEF1" s="301"/>
      <c r="QEG1" s="301"/>
      <c r="QEH1" s="301"/>
      <c r="QEI1" s="301"/>
      <c r="QEJ1" s="301"/>
      <c r="QEK1" s="301"/>
      <c r="QEL1" s="301"/>
      <c r="QEM1" s="301"/>
      <c r="QEN1" s="301"/>
      <c r="QEO1" s="301"/>
      <c r="QEP1" s="301"/>
      <c r="QEQ1" s="301"/>
      <c r="QER1" s="301"/>
      <c r="QES1" s="301"/>
      <c r="QET1" s="301"/>
      <c r="QEU1" s="301"/>
      <c r="QEV1" s="301"/>
      <c r="QEW1" s="301"/>
      <c r="QEX1" s="301"/>
      <c r="QEY1" s="301"/>
      <c r="QEZ1" s="301"/>
      <c r="QFA1" s="301"/>
      <c r="QFB1" s="301"/>
      <c r="QFC1" s="301"/>
      <c r="QFD1" s="301"/>
      <c r="QFE1" s="301"/>
      <c r="QFF1" s="301"/>
      <c r="QFG1" s="301"/>
      <c r="QFH1" s="301"/>
      <c r="QFI1" s="301"/>
      <c r="QFJ1" s="301"/>
      <c r="QFK1" s="301"/>
      <c r="QFL1" s="301"/>
      <c r="QFM1" s="301"/>
      <c r="QFN1" s="301"/>
      <c r="QFO1" s="301"/>
      <c r="QFP1" s="301"/>
      <c r="QFQ1" s="301"/>
      <c r="QFR1" s="301"/>
      <c r="QFS1" s="301"/>
      <c r="QFT1" s="301"/>
      <c r="QFU1" s="301"/>
      <c r="QFV1" s="301"/>
      <c r="QFW1" s="301"/>
      <c r="QFX1" s="301"/>
      <c r="QFY1" s="301"/>
      <c r="QFZ1" s="301"/>
      <c r="QGA1" s="301"/>
      <c r="QGB1" s="301"/>
      <c r="QGC1" s="301"/>
      <c r="QGD1" s="301"/>
      <c r="QGE1" s="301"/>
      <c r="QGF1" s="301"/>
      <c r="QGG1" s="301"/>
      <c r="QGH1" s="301"/>
      <c r="QGI1" s="301"/>
      <c r="QGJ1" s="301"/>
      <c r="QGK1" s="301"/>
      <c r="QGL1" s="301"/>
      <c r="QGM1" s="301"/>
      <c r="QGN1" s="301"/>
      <c r="QGO1" s="301"/>
      <c r="QGP1" s="301"/>
      <c r="QGQ1" s="301"/>
      <c r="QGR1" s="301"/>
      <c r="QGS1" s="301"/>
      <c r="QGT1" s="301"/>
      <c r="QGU1" s="301"/>
      <c r="QGV1" s="301"/>
      <c r="QGW1" s="301"/>
      <c r="QGX1" s="301"/>
      <c r="QGY1" s="301"/>
      <c r="QGZ1" s="301"/>
      <c r="QHA1" s="301"/>
      <c r="QHB1" s="301"/>
      <c r="QHC1" s="301"/>
      <c r="QHD1" s="301"/>
      <c r="QHE1" s="301"/>
      <c r="QHF1" s="301"/>
      <c r="QHG1" s="301"/>
      <c r="QHH1" s="301"/>
      <c r="QHI1" s="301"/>
      <c r="QHJ1" s="301"/>
      <c r="QHK1" s="301"/>
      <c r="QHL1" s="301"/>
      <c r="QHM1" s="301"/>
      <c r="QHN1" s="301"/>
      <c r="QHO1" s="301"/>
      <c r="QHP1" s="301"/>
      <c r="QHQ1" s="301"/>
      <c r="QHR1" s="301"/>
      <c r="QHS1" s="301"/>
      <c r="QHT1" s="301"/>
      <c r="QHU1" s="301"/>
      <c r="QHV1" s="301"/>
      <c r="QHW1" s="301"/>
      <c r="QHX1" s="301"/>
      <c r="QHY1" s="301"/>
      <c r="QHZ1" s="301"/>
      <c r="QIA1" s="301"/>
      <c r="QIB1" s="301"/>
      <c r="QIC1" s="301"/>
      <c r="QID1" s="301"/>
      <c r="QIE1" s="301"/>
      <c r="QIF1" s="301"/>
      <c r="QIG1" s="301"/>
      <c r="QIH1" s="301"/>
      <c r="QII1" s="301"/>
      <c r="QIJ1" s="301"/>
      <c r="QIK1" s="301"/>
      <c r="QIL1" s="301"/>
      <c r="QIM1" s="301"/>
      <c r="QIN1" s="301"/>
      <c r="QIO1" s="301"/>
      <c r="QIP1" s="301"/>
      <c r="QIQ1" s="301"/>
      <c r="QIR1" s="301"/>
      <c r="QIS1" s="301"/>
      <c r="QIT1" s="301"/>
      <c r="QIU1" s="301"/>
      <c r="QIV1" s="301"/>
      <c r="QIW1" s="301"/>
      <c r="QIX1" s="301"/>
      <c r="QIY1" s="301"/>
      <c r="QIZ1" s="301"/>
      <c r="QJA1" s="301"/>
      <c r="QJB1" s="301"/>
      <c r="QJC1" s="301"/>
      <c r="QJD1" s="301"/>
      <c r="QJE1" s="301"/>
      <c r="QJF1" s="301"/>
      <c r="QJG1" s="301"/>
      <c r="QJH1" s="301"/>
      <c r="QJI1" s="301"/>
      <c r="QJJ1" s="301"/>
      <c r="QJK1" s="301"/>
      <c r="QJL1" s="301"/>
      <c r="QJM1" s="301"/>
      <c r="QJN1" s="301"/>
      <c r="QJO1" s="301"/>
      <c r="QJP1" s="301"/>
      <c r="QJQ1" s="301"/>
      <c r="QJR1" s="301"/>
      <c r="QJS1" s="301"/>
      <c r="QJT1" s="301"/>
      <c r="QJU1" s="301"/>
      <c r="QJV1" s="301"/>
      <c r="QJW1" s="301"/>
      <c r="QJX1" s="301"/>
      <c r="QJY1" s="301"/>
      <c r="QJZ1" s="301"/>
      <c r="QKA1" s="301"/>
      <c r="QKB1" s="301"/>
      <c r="QKC1" s="301"/>
      <c r="QKD1" s="301"/>
      <c r="QKE1" s="301"/>
      <c r="QKF1" s="301"/>
      <c r="QKG1" s="301"/>
      <c r="QKH1" s="301"/>
      <c r="QKI1" s="301"/>
      <c r="QKJ1" s="301"/>
      <c r="QKK1" s="301"/>
      <c r="QKL1" s="301"/>
      <c r="QKM1" s="301"/>
      <c r="QKN1" s="301"/>
      <c r="QKO1" s="301"/>
      <c r="QKP1" s="301"/>
      <c r="QKQ1" s="301"/>
      <c r="QKR1" s="301"/>
      <c r="QKS1" s="301"/>
      <c r="QKT1" s="301"/>
      <c r="QKU1" s="301"/>
      <c r="QKV1" s="301"/>
      <c r="QKW1" s="301"/>
      <c r="QKX1" s="301"/>
      <c r="QKY1" s="301"/>
      <c r="QKZ1" s="301"/>
      <c r="QLA1" s="301"/>
      <c r="QLB1" s="301"/>
      <c r="QLC1" s="301"/>
      <c r="QLD1" s="301"/>
      <c r="QLE1" s="301"/>
      <c r="QLF1" s="301"/>
      <c r="QLG1" s="301"/>
      <c r="QLH1" s="301"/>
      <c r="QLI1" s="301"/>
      <c r="QLJ1" s="301"/>
      <c r="QLK1" s="301"/>
      <c r="QLL1" s="301"/>
      <c r="QLM1" s="301"/>
      <c r="QLN1" s="301"/>
      <c r="QLO1" s="301"/>
      <c r="QLP1" s="301"/>
      <c r="QLQ1" s="301"/>
      <c r="QLR1" s="301"/>
      <c r="QLS1" s="301"/>
      <c r="QLT1" s="301"/>
      <c r="QLU1" s="301"/>
      <c r="QLV1" s="301"/>
      <c r="QLW1" s="301"/>
      <c r="QLX1" s="301"/>
      <c r="QLY1" s="301"/>
      <c r="QLZ1" s="301"/>
      <c r="QMA1" s="301"/>
      <c r="QMB1" s="301"/>
      <c r="QMC1" s="301"/>
      <c r="QMD1" s="301"/>
      <c r="QME1" s="301"/>
      <c r="QMF1" s="301"/>
      <c r="QMG1" s="301"/>
      <c r="QMH1" s="301"/>
      <c r="QMI1" s="301"/>
      <c r="QMJ1" s="301"/>
      <c r="QMK1" s="301"/>
      <c r="QML1" s="301"/>
      <c r="QMM1" s="301"/>
      <c r="QMN1" s="301"/>
      <c r="QMO1" s="301"/>
      <c r="QMP1" s="301"/>
      <c r="QMQ1" s="301"/>
      <c r="QMR1" s="301"/>
      <c r="QMS1" s="301"/>
      <c r="QMT1" s="301"/>
      <c r="QMU1" s="301"/>
      <c r="QMV1" s="301"/>
      <c r="QMW1" s="301"/>
      <c r="QMX1" s="301"/>
      <c r="QMY1" s="301"/>
      <c r="QMZ1" s="301"/>
      <c r="QNA1" s="301"/>
      <c r="QNB1" s="301"/>
      <c r="QNC1" s="301"/>
      <c r="QND1" s="301"/>
      <c r="QNE1" s="301"/>
      <c r="QNF1" s="301"/>
      <c r="QNG1" s="301"/>
      <c r="QNH1" s="301"/>
      <c r="QNI1" s="301"/>
      <c r="QNJ1" s="301"/>
      <c r="QNK1" s="301"/>
      <c r="QNL1" s="301"/>
      <c r="QNM1" s="301"/>
      <c r="QNN1" s="301"/>
      <c r="QNO1" s="301"/>
      <c r="QNP1" s="301"/>
      <c r="QNQ1" s="301"/>
      <c r="QNR1" s="301"/>
      <c r="QNS1" s="301"/>
      <c r="QNT1" s="301"/>
      <c r="QNU1" s="301"/>
      <c r="QNV1" s="301"/>
      <c r="QNW1" s="301"/>
      <c r="QNX1" s="301"/>
      <c r="QNY1" s="301"/>
      <c r="QNZ1" s="301"/>
      <c r="QOA1" s="301"/>
      <c r="QOB1" s="301"/>
      <c r="QOC1" s="301"/>
      <c r="QOD1" s="301"/>
      <c r="QOE1" s="301"/>
      <c r="QOF1" s="301"/>
      <c r="QOG1" s="301"/>
      <c r="QOH1" s="301"/>
      <c r="QOI1" s="301"/>
      <c r="QOJ1" s="301"/>
      <c r="QOK1" s="301"/>
      <c r="QOL1" s="301"/>
      <c r="QOM1" s="301"/>
      <c r="QON1" s="301"/>
      <c r="QOO1" s="301"/>
      <c r="QOP1" s="301"/>
      <c r="QOQ1" s="301"/>
      <c r="QOR1" s="301"/>
      <c r="QOS1" s="301"/>
      <c r="QOT1" s="301"/>
      <c r="QOU1" s="301"/>
      <c r="QOV1" s="301"/>
      <c r="QOW1" s="301"/>
      <c r="QOX1" s="301"/>
      <c r="QOY1" s="301"/>
      <c r="QOZ1" s="301"/>
      <c r="QPA1" s="301"/>
      <c r="QPB1" s="301"/>
      <c r="QPC1" s="301"/>
      <c r="QPD1" s="301"/>
      <c r="QPE1" s="301"/>
      <c r="QPF1" s="301"/>
      <c r="QPG1" s="301"/>
      <c r="QPH1" s="301"/>
      <c r="QPI1" s="301"/>
      <c r="QPJ1" s="301"/>
      <c r="QPK1" s="301"/>
      <c r="QPL1" s="301"/>
      <c r="QPM1" s="301"/>
      <c r="QPN1" s="301"/>
      <c r="QPO1" s="301"/>
      <c r="QPP1" s="301"/>
      <c r="QPQ1" s="301"/>
      <c r="QPR1" s="301"/>
      <c r="QPS1" s="301"/>
      <c r="QPT1" s="301"/>
      <c r="QPU1" s="301"/>
      <c r="QPV1" s="301"/>
      <c r="QPW1" s="301"/>
      <c r="QPX1" s="301"/>
      <c r="QPY1" s="301"/>
      <c r="QPZ1" s="301"/>
      <c r="QQA1" s="301"/>
      <c r="QQB1" s="301"/>
      <c r="QQC1" s="301"/>
      <c r="QQD1" s="301"/>
      <c r="QQE1" s="301"/>
      <c r="QQF1" s="301"/>
      <c r="QQG1" s="301"/>
      <c r="QQH1" s="301"/>
      <c r="QQI1" s="301"/>
      <c r="QQJ1" s="301"/>
      <c r="QQK1" s="301"/>
      <c r="QQL1" s="301"/>
      <c r="QQM1" s="301"/>
      <c r="QQN1" s="301"/>
      <c r="QQO1" s="301"/>
      <c r="QQP1" s="301"/>
      <c r="QQQ1" s="301"/>
      <c r="QQR1" s="301"/>
      <c r="QQS1" s="301"/>
      <c r="QQT1" s="301"/>
      <c r="QQU1" s="301"/>
      <c r="QQV1" s="301"/>
      <c r="QQW1" s="301"/>
      <c r="QQX1" s="301"/>
      <c r="QQY1" s="301"/>
      <c r="QQZ1" s="301"/>
      <c r="QRA1" s="301"/>
      <c r="QRB1" s="301"/>
      <c r="QRC1" s="301"/>
      <c r="QRD1" s="301"/>
      <c r="QRE1" s="301"/>
      <c r="QRF1" s="301"/>
      <c r="QRG1" s="301"/>
      <c r="QRH1" s="301"/>
      <c r="QRI1" s="301"/>
      <c r="QRJ1" s="301"/>
      <c r="QRK1" s="301"/>
      <c r="QRL1" s="301"/>
      <c r="QRM1" s="301"/>
      <c r="QRN1" s="301"/>
      <c r="QRO1" s="301"/>
      <c r="QRP1" s="301"/>
      <c r="QRQ1" s="301"/>
      <c r="QRR1" s="301"/>
      <c r="QRS1" s="301"/>
      <c r="QRT1" s="301"/>
      <c r="QRU1" s="301"/>
      <c r="QRV1" s="301"/>
      <c r="QRW1" s="301"/>
      <c r="QRX1" s="301"/>
      <c r="QRY1" s="301"/>
      <c r="QRZ1" s="301"/>
      <c r="QSA1" s="301"/>
      <c r="QSB1" s="301"/>
      <c r="QSC1" s="301"/>
      <c r="QSD1" s="301"/>
      <c r="QSE1" s="301"/>
      <c r="QSF1" s="301"/>
      <c r="QSG1" s="301"/>
      <c r="QSH1" s="301"/>
      <c r="QSI1" s="301"/>
      <c r="QSJ1" s="301"/>
      <c r="QSK1" s="301"/>
      <c r="QSL1" s="301"/>
      <c r="QSM1" s="301"/>
      <c r="QSN1" s="301"/>
      <c r="QSO1" s="301"/>
      <c r="QSP1" s="301"/>
      <c r="QSQ1" s="301"/>
      <c r="QSR1" s="301"/>
      <c r="QSS1" s="301"/>
      <c r="QST1" s="301"/>
      <c r="QSU1" s="301"/>
      <c r="QSV1" s="301"/>
      <c r="QSW1" s="301"/>
      <c r="QSX1" s="301"/>
      <c r="QSY1" s="301"/>
      <c r="QSZ1" s="301"/>
      <c r="QTA1" s="301"/>
      <c r="QTB1" s="301"/>
      <c r="QTC1" s="301"/>
      <c r="QTD1" s="301"/>
      <c r="QTE1" s="301"/>
      <c r="QTF1" s="301"/>
      <c r="QTG1" s="301"/>
      <c r="QTH1" s="301"/>
      <c r="QTI1" s="301"/>
      <c r="QTJ1" s="301"/>
      <c r="QTK1" s="301"/>
      <c r="QTL1" s="301"/>
      <c r="QTM1" s="301"/>
      <c r="QTN1" s="301"/>
      <c r="QTO1" s="301"/>
      <c r="QTP1" s="301"/>
      <c r="QTQ1" s="301"/>
      <c r="QTR1" s="301"/>
      <c r="QTS1" s="301"/>
      <c r="QTT1" s="301"/>
      <c r="QTU1" s="301"/>
      <c r="QTV1" s="301"/>
      <c r="QTW1" s="301"/>
      <c r="QTX1" s="301"/>
      <c r="QTY1" s="301"/>
      <c r="QTZ1" s="301"/>
      <c r="QUA1" s="301"/>
      <c r="QUB1" s="301"/>
      <c r="QUC1" s="301"/>
      <c r="QUD1" s="301"/>
      <c r="QUE1" s="301"/>
      <c r="QUF1" s="301"/>
      <c r="QUG1" s="301"/>
      <c r="QUH1" s="301"/>
      <c r="QUI1" s="301"/>
      <c r="QUJ1" s="301"/>
      <c r="QUK1" s="301"/>
      <c r="QUL1" s="301"/>
      <c r="QUM1" s="301"/>
      <c r="QUN1" s="301"/>
      <c r="QUO1" s="301"/>
      <c r="QUP1" s="301"/>
      <c r="QUQ1" s="301"/>
      <c r="QUR1" s="301"/>
      <c r="QUS1" s="301"/>
      <c r="QUT1" s="301"/>
      <c r="QUU1" s="301"/>
      <c r="QUV1" s="301"/>
      <c r="QUW1" s="301"/>
      <c r="QUX1" s="301"/>
      <c r="QUY1" s="301"/>
      <c r="QUZ1" s="301"/>
      <c r="QVA1" s="301"/>
      <c r="QVB1" s="301"/>
      <c r="QVC1" s="301"/>
      <c r="QVD1" s="301"/>
      <c r="QVE1" s="301"/>
      <c r="QVF1" s="301"/>
      <c r="QVG1" s="301"/>
      <c r="QVH1" s="301"/>
      <c r="QVI1" s="301"/>
      <c r="QVJ1" s="301"/>
      <c r="QVK1" s="301"/>
      <c r="QVL1" s="301"/>
      <c r="QVM1" s="301"/>
      <c r="QVN1" s="301"/>
      <c r="QVO1" s="301"/>
      <c r="QVP1" s="301"/>
      <c r="QVQ1" s="301"/>
      <c r="QVR1" s="301"/>
      <c r="QVS1" s="301"/>
      <c r="QVT1" s="301"/>
      <c r="QVU1" s="301"/>
      <c r="QVV1" s="301"/>
      <c r="QVW1" s="301"/>
      <c r="QVX1" s="301"/>
      <c r="QVY1" s="301"/>
      <c r="QVZ1" s="301"/>
      <c r="QWA1" s="301"/>
      <c r="QWB1" s="301"/>
      <c r="QWC1" s="301"/>
      <c r="QWD1" s="301"/>
      <c r="QWE1" s="301"/>
      <c r="QWF1" s="301"/>
      <c r="QWG1" s="301"/>
      <c r="QWH1" s="301"/>
      <c r="QWI1" s="301"/>
      <c r="QWJ1" s="301"/>
      <c r="QWK1" s="301"/>
      <c r="QWL1" s="301"/>
      <c r="QWM1" s="301"/>
      <c r="QWN1" s="301"/>
      <c r="QWO1" s="301"/>
      <c r="QWP1" s="301"/>
      <c r="QWQ1" s="301"/>
      <c r="QWR1" s="301"/>
      <c r="QWS1" s="301"/>
      <c r="QWT1" s="301"/>
      <c r="QWU1" s="301"/>
      <c r="QWV1" s="301"/>
      <c r="QWW1" s="301"/>
      <c r="QWX1" s="301"/>
      <c r="QWY1" s="301"/>
      <c r="QWZ1" s="301"/>
      <c r="QXA1" s="301"/>
      <c r="QXB1" s="301"/>
      <c r="QXC1" s="301"/>
      <c r="QXD1" s="301"/>
      <c r="QXE1" s="301"/>
      <c r="QXF1" s="301"/>
      <c r="QXG1" s="301"/>
      <c r="QXH1" s="301"/>
      <c r="QXI1" s="301"/>
      <c r="QXJ1" s="301"/>
      <c r="QXK1" s="301"/>
      <c r="QXL1" s="301"/>
      <c r="QXM1" s="301"/>
      <c r="QXN1" s="301"/>
      <c r="QXO1" s="301"/>
      <c r="QXP1" s="301"/>
      <c r="QXQ1" s="301"/>
      <c r="QXR1" s="301"/>
      <c r="QXS1" s="301"/>
      <c r="QXT1" s="301"/>
      <c r="QXU1" s="301"/>
      <c r="QXV1" s="301"/>
      <c r="QXW1" s="301"/>
      <c r="QXX1" s="301"/>
      <c r="QXY1" s="301"/>
      <c r="QXZ1" s="301"/>
      <c r="QYA1" s="301"/>
      <c r="QYB1" s="301"/>
      <c r="QYC1" s="301"/>
      <c r="QYD1" s="301"/>
      <c r="QYE1" s="301"/>
      <c r="QYF1" s="301"/>
      <c r="QYG1" s="301"/>
      <c r="QYH1" s="301"/>
      <c r="QYI1" s="301"/>
      <c r="QYJ1" s="301"/>
      <c r="QYK1" s="301"/>
      <c r="QYL1" s="301"/>
      <c r="QYM1" s="301"/>
      <c r="QYN1" s="301"/>
      <c r="QYO1" s="301"/>
      <c r="QYP1" s="301"/>
      <c r="QYQ1" s="301"/>
      <c r="QYR1" s="301"/>
      <c r="QYS1" s="301"/>
      <c r="QYT1" s="301"/>
      <c r="QYU1" s="301"/>
      <c r="QYV1" s="301"/>
      <c r="QYW1" s="301"/>
      <c r="QYX1" s="301"/>
      <c r="QYY1" s="301"/>
      <c r="QYZ1" s="301"/>
      <c r="QZA1" s="301"/>
      <c r="QZB1" s="301"/>
      <c r="QZC1" s="301"/>
      <c r="QZD1" s="301"/>
      <c r="QZE1" s="301"/>
      <c r="QZF1" s="301"/>
      <c r="QZG1" s="301"/>
      <c r="QZH1" s="301"/>
      <c r="QZI1" s="301"/>
      <c r="QZJ1" s="301"/>
      <c r="QZK1" s="301"/>
      <c r="QZL1" s="301"/>
      <c r="QZM1" s="301"/>
      <c r="QZN1" s="301"/>
      <c r="QZO1" s="301"/>
      <c r="QZP1" s="301"/>
      <c r="QZQ1" s="301"/>
      <c r="QZR1" s="301"/>
      <c r="QZS1" s="301"/>
      <c r="QZT1" s="301"/>
      <c r="QZU1" s="301"/>
      <c r="QZV1" s="301"/>
      <c r="QZW1" s="301"/>
      <c r="QZX1" s="301"/>
      <c r="QZY1" s="301"/>
      <c r="QZZ1" s="301"/>
      <c r="RAA1" s="301"/>
      <c r="RAB1" s="301"/>
      <c r="RAC1" s="301"/>
      <c r="RAD1" s="301"/>
      <c r="RAE1" s="301"/>
      <c r="RAF1" s="301"/>
      <c r="RAG1" s="301"/>
      <c r="RAH1" s="301"/>
      <c r="RAI1" s="301"/>
      <c r="RAJ1" s="301"/>
      <c r="RAK1" s="301"/>
      <c r="RAL1" s="301"/>
      <c r="RAM1" s="301"/>
      <c r="RAN1" s="301"/>
      <c r="RAO1" s="301"/>
      <c r="RAP1" s="301"/>
      <c r="RAQ1" s="301"/>
      <c r="RAR1" s="301"/>
      <c r="RAS1" s="301"/>
      <c r="RAT1" s="301"/>
      <c r="RAU1" s="301"/>
      <c r="RAV1" s="301"/>
      <c r="RAW1" s="301"/>
      <c r="RAX1" s="301"/>
      <c r="RAY1" s="301"/>
      <c r="RAZ1" s="301"/>
      <c r="RBA1" s="301"/>
      <c r="RBB1" s="301"/>
      <c r="RBC1" s="301"/>
      <c r="RBD1" s="301"/>
      <c r="RBE1" s="301"/>
      <c r="RBF1" s="301"/>
      <c r="RBG1" s="301"/>
      <c r="RBH1" s="301"/>
      <c r="RBI1" s="301"/>
      <c r="RBJ1" s="301"/>
      <c r="RBK1" s="301"/>
      <c r="RBL1" s="301"/>
      <c r="RBM1" s="301"/>
      <c r="RBN1" s="301"/>
      <c r="RBO1" s="301"/>
      <c r="RBP1" s="301"/>
      <c r="RBQ1" s="301"/>
      <c r="RBR1" s="301"/>
      <c r="RBS1" s="301"/>
      <c r="RBT1" s="301"/>
      <c r="RBU1" s="301"/>
      <c r="RBV1" s="301"/>
      <c r="RBW1" s="301"/>
      <c r="RBX1" s="301"/>
      <c r="RBY1" s="301"/>
      <c r="RBZ1" s="301"/>
      <c r="RCA1" s="301"/>
      <c r="RCB1" s="301"/>
      <c r="RCC1" s="301"/>
      <c r="RCD1" s="301"/>
      <c r="RCE1" s="301"/>
      <c r="RCF1" s="301"/>
      <c r="RCG1" s="301"/>
      <c r="RCH1" s="301"/>
      <c r="RCI1" s="301"/>
      <c r="RCJ1" s="301"/>
      <c r="RCK1" s="301"/>
      <c r="RCL1" s="301"/>
      <c r="RCM1" s="301"/>
      <c r="RCN1" s="301"/>
      <c r="RCO1" s="301"/>
      <c r="RCP1" s="301"/>
      <c r="RCQ1" s="301"/>
      <c r="RCR1" s="301"/>
      <c r="RCS1" s="301"/>
      <c r="RCT1" s="301"/>
      <c r="RCU1" s="301"/>
      <c r="RCV1" s="301"/>
      <c r="RCW1" s="301"/>
      <c r="RCX1" s="301"/>
      <c r="RCY1" s="301"/>
      <c r="RCZ1" s="301"/>
      <c r="RDA1" s="301"/>
      <c r="RDB1" s="301"/>
      <c r="RDC1" s="301"/>
      <c r="RDD1" s="301"/>
      <c r="RDE1" s="301"/>
      <c r="RDF1" s="301"/>
      <c r="RDG1" s="301"/>
      <c r="RDH1" s="301"/>
      <c r="RDI1" s="301"/>
      <c r="RDJ1" s="301"/>
      <c r="RDK1" s="301"/>
      <c r="RDL1" s="301"/>
      <c r="RDM1" s="301"/>
      <c r="RDN1" s="301"/>
      <c r="RDO1" s="301"/>
      <c r="RDP1" s="301"/>
      <c r="RDQ1" s="301"/>
      <c r="RDR1" s="301"/>
      <c r="RDS1" s="301"/>
      <c r="RDT1" s="301"/>
      <c r="RDU1" s="301"/>
      <c r="RDV1" s="301"/>
      <c r="RDW1" s="301"/>
      <c r="RDX1" s="301"/>
      <c r="RDY1" s="301"/>
      <c r="RDZ1" s="301"/>
      <c r="REA1" s="301"/>
      <c r="REB1" s="301"/>
      <c r="REC1" s="301"/>
      <c r="RED1" s="301"/>
      <c r="REE1" s="301"/>
      <c r="REF1" s="301"/>
      <c r="REG1" s="301"/>
      <c r="REH1" s="301"/>
      <c r="REI1" s="301"/>
      <c r="REJ1" s="301"/>
      <c r="REK1" s="301"/>
      <c r="REL1" s="301"/>
      <c r="REM1" s="301"/>
      <c r="REN1" s="301"/>
      <c r="REO1" s="301"/>
      <c r="REP1" s="301"/>
      <c r="REQ1" s="301"/>
      <c r="RER1" s="301"/>
      <c r="RES1" s="301"/>
      <c r="RET1" s="301"/>
      <c r="REU1" s="301"/>
      <c r="REV1" s="301"/>
      <c r="REW1" s="301"/>
      <c r="REX1" s="301"/>
      <c r="REY1" s="301"/>
      <c r="REZ1" s="301"/>
      <c r="RFA1" s="301"/>
      <c r="RFB1" s="301"/>
      <c r="RFC1" s="301"/>
      <c r="RFD1" s="301"/>
      <c r="RFE1" s="301"/>
      <c r="RFF1" s="301"/>
      <c r="RFG1" s="301"/>
      <c r="RFH1" s="301"/>
      <c r="RFI1" s="301"/>
      <c r="RFJ1" s="301"/>
      <c r="RFK1" s="301"/>
      <c r="RFL1" s="301"/>
      <c r="RFM1" s="301"/>
      <c r="RFN1" s="301"/>
      <c r="RFO1" s="301"/>
      <c r="RFP1" s="301"/>
      <c r="RFQ1" s="301"/>
      <c r="RFR1" s="301"/>
      <c r="RFS1" s="301"/>
      <c r="RFT1" s="301"/>
      <c r="RFU1" s="301"/>
      <c r="RFV1" s="301"/>
      <c r="RFW1" s="301"/>
      <c r="RFX1" s="301"/>
      <c r="RFY1" s="301"/>
      <c r="RFZ1" s="301"/>
      <c r="RGA1" s="301"/>
      <c r="RGB1" s="301"/>
      <c r="RGC1" s="301"/>
      <c r="RGD1" s="301"/>
      <c r="RGE1" s="301"/>
      <c r="RGF1" s="301"/>
      <c r="RGG1" s="301"/>
      <c r="RGH1" s="301"/>
      <c r="RGI1" s="301"/>
      <c r="RGJ1" s="301"/>
      <c r="RGK1" s="301"/>
      <c r="RGL1" s="301"/>
      <c r="RGM1" s="301"/>
      <c r="RGN1" s="301"/>
      <c r="RGO1" s="301"/>
      <c r="RGP1" s="301"/>
      <c r="RGQ1" s="301"/>
      <c r="RGR1" s="301"/>
      <c r="RGS1" s="301"/>
      <c r="RGT1" s="301"/>
      <c r="RGU1" s="301"/>
      <c r="RGV1" s="301"/>
      <c r="RGW1" s="301"/>
      <c r="RGX1" s="301"/>
      <c r="RGY1" s="301"/>
      <c r="RGZ1" s="301"/>
      <c r="RHA1" s="301"/>
      <c r="RHB1" s="301"/>
      <c r="RHC1" s="301"/>
      <c r="RHD1" s="301"/>
      <c r="RHE1" s="301"/>
      <c r="RHF1" s="301"/>
      <c r="RHG1" s="301"/>
      <c r="RHH1" s="301"/>
      <c r="RHI1" s="301"/>
      <c r="RHJ1" s="301"/>
      <c r="RHK1" s="301"/>
      <c r="RHL1" s="301"/>
      <c r="RHM1" s="301"/>
      <c r="RHN1" s="301"/>
      <c r="RHO1" s="301"/>
      <c r="RHP1" s="301"/>
      <c r="RHQ1" s="301"/>
      <c r="RHR1" s="301"/>
      <c r="RHS1" s="301"/>
      <c r="RHT1" s="301"/>
      <c r="RHU1" s="301"/>
      <c r="RHV1" s="301"/>
      <c r="RHW1" s="301"/>
      <c r="RHX1" s="301"/>
      <c r="RHY1" s="301"/>
      <c r="RHZ1" s="301"/>
      <c r="RIA1" s="301"/>
      <c r="RIB1" s="301"/>
      <c r="RIC1" s="301"/>
      <c r="RID1" s="301"/>
      <c r="RIE1" s="301"/>
      <c r="RIF1" s="301"/>
      <c r="RIG1" s="301"/>
      <c r="RIH1" s="301"/>
      <c r="RII1" s="301"/>
      <c r="RIJ1" s="301"/>
      <c r="RIK1" s="301"/>
      <c r="RIL1" s="301"/>
      <c r="RIM1" s="301"/>
      <c r="RIN1" s="301"/>
      <c r="RIO1" s="301"/>
      <c r="RIP1" s="301"/>
      <c r="RIQ1" s="301"/>
      <c r="RIR1" s="301"/>
      <c r="RIS1" s="301"/>
      <c r="RIT1" s="301"/>
      <c r="RIU1" s="301"/>
      <c r="RIV1" s="301"/>
      <c r="RIW1" s="301"/>
      <c r="RIX1" s="301"/>
      <c r="RIY1" s="301"/>
      <c r="RIZ1" s="301"/>
      <c r="RJA1" s="301"/>
      <c r="RJB1" s="301"/>
      <c r="RJC1" s="301"/>
      <c r="RJD1" s="301"/>
      <c r="RJE1" s="301"/>
      <c r="RJF1" s="301"/>
      <c r="RJG1" s="301"/>
      <c r="RJH1" s="301"/>
      <c r="RJI1" s="301"/>
      <c r="RJJ1" s="301"/>
      <c r="RJK1" s="301"/>
      <c r="RJL1" s="301"/>
      <c r="RJM1" s="301"/>
      <c r="RJN1" s="301"/>
      <c r="RJO1" s="301"/>
      <c r="RJP1" s="301"/>
      <c r="RJQ1" s="301"/>
      <c r="RJR1" s="301"/>
      <c r="RJS1" s="301"/>
      <c r="RJT1" s="301"/>
      <c r="RJU1" s="301"/>
      <c r="RJV1" s="301"/>
      <c r="RJW1" s="301"/>
      <c r="RJX1" s="301"/>
      <c r="RJY1" s="301"/>
      <c r="RJZ1" s="301"/>
      <c r="RKA1" s="301"/>
      <c r="RKB1" s="301"/>
      <c r="RKC1" s="301"/>
      <c r="RKD1" s="301"/>
      <c r="RKE1" s="301"/>
      <c r="RKF1" s="301"/>
      <c r="RKG1" s="301"/>
      <c r="RKH1" s="301"/>
      <c r="RKI1" s="301"/>
      <c r="RKJ1" s="301"/>
      <c r="RKK1" s="301"/>
      <c r="RKL1" s="301"/>
      <c r="RKM1" s="301"/>
      <c r="RKN1" s="301"/>
      <c r="RKO1" s="301"/>
      <c r="RKP1" s="301"/>
      <c r="RKQ1" s="301"/>
      <c r="RKR1" s="301"/>
      <c r="RKS1" s="301"/>
      <c r="RKT1" s="301"/>
      <c r="RKU1" s="301"/>
      <c r="RKV1" s="301"/>
      <c r="RKW1" s="301"/>
      <c r="RKX1" s="301"/>
      <c r="RKY1" s="301"/>
      <c r="RKZ1" s="301"/>
      <c r="RLA1" s="301"/>
      <c r="RLB1" s="301"/>
      <c r="RLC1" s="301"/>
      <c r="RLD1" s="301"/>
      <c r="RLE1" s="301"/>
      <c r="RLF1" s="301"/>
      <c r="RLG1" s="301"/>
      <c r="RLH1" s="301"/>
      <c r="RLI1" s="301"/>
      <c r="RLJ1" s="301"/>
      <c r="RLK1" s="301"/>
      <c r="RLL1" s="301"/>
      <c r="RLM1" s="301"/>
      <c r="RLN1" s="301"/>
      <c r="RLO1" s="301"/>
      <c r="RLP1" s="301"/>
      <c r="RLQ1" s="301"/>
      <c r="RLR1" s="301"/>
      <c r="RLS1" s="301"/>
      <c r="RLT1" s="301"/>
      <c r="RLU1" s="301"/>
      <c r="RLV1" s="301"/>
      <c r="RLW1" s="301"/>
      <c r="RLX1" s="301"/>
      <c r="RLY1" s="301"/>
      <c r="RLZ1" s="301"/>
      <c r="RMA1" s="301"/>
      <c r="RMB1" s="301"/>
      <c r="RMC1" s="301"/>
      <c r="RMD1" s="301"/>
      <c r="RME1" s="301"/>
      <c r="RMF1" s="301"/>
      <c r="RMG1" s="301"/>
      <c r="RMH1" s="301"/>
      <c r="RMI1" s="301"/>
      <c r="RMJ1" s="301"/>
      <c r="RMK1" s="301"/>
      <c r="RML1" s="301"/>
      <c r="RMM1" s="301"/>
      <c r="RMN1" s="301"/>
      <c r="RMO1" s="301"/>
      <c r="RMP1" s="301"/>
      <c r="RMQ1" s="301"/>
      <c r="RMR1" s="301"/>
      <c r="RMS1" s="301"/>
      <c r="RMT1" s="301"/>
      <c r="RMU1" s="301"/>
      <c r="RMV1" s="301"/>
      <c r="RMW1" s="301"/>
      <c r="RMX1" s="301"/>
      <c r="RMY1" s="301"/>
      <c r="RMZ1" s="301"/>
      <c r="RNA1" s="301"/>
      <c r="RNB1" s="301"/>
      <c r="RNC1" s="301"/>
      <c r="RND1" s="301"/>
      <c r="RNE1" s="301"/>
      <c r="RNF1" s="301"/>
      <c r="RNG1" s="301"/>
      <c r="RNH1" s="301"/>
      <c r="RNI1" s="301"/>
      <c r="RNJ1" s="301"/>
      <c r="RNK1" s="301"/>
      <c r="RNL1" s="301"/>
      <c r="RNM1" s="301"/>
      <c r="RNN1" s="301"/>
      <c r="RNO1" s="301"/>
      <c r="RNP1" s="301"/>
      <c r="RNQ1" s="301"/>
      <c r="RNR1" s="301"/>
      <c r="RNS1" s="301"/>
      <c r="RNT1" s="301"/>
      <c r="RNU1" s="301"/>
      <c r="RNV1" s="301"/>
      <c r="RNW1" s="301"/>
      <c r="RNX1" s="301"/>
      <c r="RNY1" s="301"/>
      <c r="RNZ1" s="301"/>
      <c r="ROA1" s="301"/>
      <c r="ROB1" s="301"/>
      <c r="ROC1" s="301"/>
      <c r="ROD1" s="301"/>
      <c r="ROE1" s="301"/>
      <c r="ROF1" s="301"/>
      <c r="ROG1" s="301"/>
      <c r="ROH1" s="301"/>
      <c r="ROI1" s="301"/>
      <c r="ROJ1" s="301"/>
      <c r="ROK1" s="301"/>
      <c r="ROL1" s="301"/>
      <c r="ROM1" s="301"/>
      <c r="RON1" s="301"/>
      <c r="ROO1" s="301"/>
      <c r="ROP1" s="301"/>
      <c r="ROQ1" s="301"/>
      <c r="ROR1" s="301"/>
      <c r="ROS1" s="301"/>
      <c r="ROT1" s="301"/>
      <c r="ROU1" s="301"/>
      <c r="ROV1" s="301"/>
      <c r="ROW1" s="301"/>
      <c r="ROX1" s="301"/>
      <c r="ROY1" s="301"/>
      <c r="ROZ1" s="301"/>
      <c r="RPA1" s="301"/>
      <c r="RPB1" s="301"/>
      <c r="RPC1" s="301"/>
      <c r="RPD1" s="301"/>
      <c r="RPE1" s="301"/>
      <c r="RPF1" s="301"/>
      <c r="RPG1" s="301"/>
      <c r="RPH1" s="301"/>
      <c r="RPI1" s="301"/>
      <c r="RPJ1" s="301"/>
      <c r="RPK1" s="301"/>
      <c r="RPL1" s="301"/>
      <c r="RPM1" s="301"/>
      <c r="RPN1" s="301"/>
      <c r="RPO1" s="301"/>
      <c r="RPP1" s="301"/>
      <c r="RPQ1" s="301"/>
      <c r="RPR1" s="301"/>
      <c r="RPS1" s="301"/>
      <c r="RPT1" s="301"/>
      <c r="RPU1" s="301"/>
      <c r="RPV1" s="301"/>
      <c r="RPW1" s="301"/>
      <c r="RPX1" s="301"/>
      <c r="RPY1" s="301"/>
      <c r="RPZ1" s="301"/>
      <c r="RQA1" s="301"/>
      <c r="RQB1" s="301"/>
      <c r="RQC1" s="301"/>
      <c r="RQD1" s="301"/>
      <c r="RQE1" s="301"/>
      <c r="RQF1" s="301"/>
      <c r="RQG1" s="301"/>
      <c r="RQH1" s="301"/>
      <c r="RQI1" s="301"/>
      <c r="RQJ1" s="301"/>
      <c r="RQK1" s="301"/>
      <c r="RQL1" s="301"/>
      <c r="RQM1" s="301"/>
      <c r="RQN1" s="301"/>
      <c r="RQO1" s="301"/>
      <c r="RQP1" s="301"/>
      <c r="RQQ1" s="301"/>
      <c r="RQR1" s="301"/>
      <c r="RQS1" s="301"/>
      <c r="RQT1" s="301"/>
      <c r="RQU1" s="301"/>
      <c r="RQV1" s="301"/>
      <c r="RQW1" s="301"/>
      <c r="RQX1" s="301"/>
      <c r="RQY1" s="301"/>
      <c r="RQZ1" s="301"/>
      <c r="RRA1" s="301"/>
      <c r="RRB1" s="301"/>
      <c r="RRC1" s="301"/>
      <c r="RRD1" s="301"/>
      <c r="RRE1" s="301"/>
      <c r="RRF1" s="301"/>
      <c r="RRG1" s="301"/>
      <c r="RRH1" s="301"/>
      <c r="RRI1" s="301"/>
      <c r="RRJ1" s="301"/>
      <c r="RRK1" s="301"/>
      <c r="RRL1" s="301"/>
      <c r="RRM1" s="301"/>
      <c r="RRN1" s="301"/>
      <c r="RRO1" s="301"/>
      <c r="RRP1" s="301"/>
      <c r="RRQ1" s="301"/>
      <c r="RRR1" s="301"/>
      <c r="RRS1" s="301"/>
      <c r="RRT1" s="301"/>
      <c r="RRU1" s="301"/>
      <c r="RRV1" s="301"/>
      <c r="RRW1" s="301"/>
      <c r="RRX1" s="301"/>
      <c r="RRY1" s="301"/>
      <c r="RRZ1" s="301"/>
      <c r="RSA1" s="301"/>
      <c r="RSB1" s="301"/>
      <c r="RSC1" s="301"/>
      <c r="RSD1" s="301"/>
      <c r="RSE1" s="301"/>
      <c r="RSF1" s="301"/>
      <c r="RSG1" s="301"/>
      <c r="RSH1" s="301"/>
      <c r="RSI1" s="301"/>
      <c r="RSJ1" s="301"/>
      <c r="RSK1" s="301"/>
      <c r="RSL1" s="301"/>
      <c r="RSM1" s="301"/>
      <c r="RSN1" s="301"/>
      <c r="RSO1" s="301"/>
      <c r="RSP1" s="301"/>
      <c r="RSQ1" s="301"/>
      <c r="RSR1" s="301"/>
      <c r="RSS1" s="301"/>
      <c r="RST1" s="301"/>
      <c r="RSU1" s="301"/>
      <c r="RSV1" s="301"/>
      <c r="RSW1" s="301"/>
      <c r="RSX1" s="301"/>
      <c r="RSY1" s="301"/>
      <c r="RSZ1" s="301"/>
      <c r="RTA1" s="301"/>
      <c r="RTB1" s="301"/>
      <c r="RTC1" s="301"/>
      <c r="RTD1" s="301"/>
      <c r="RTE1" s="301"/>
      <c r="RTF1" s="301"/>
      <c r="RTG1" s="301"/>
      <c r="RTH1" s="301"/>
      <c r="RTI1" s="301"/>
      <c r="RTJ1" s="301"/>
      <c r="RTK1" s="301"/>
      <c r="RTL1" s="301"/>
      <c r="RTM1" s="301"/>
      <c r="RTN1" s="301"/>
      <c r="RTO1" s="301"/>
      <c r="RTP1" s="301"/>
      <c r="RTQ1" s="301"/>
      <c r="RTR1" s="301"/>
      <c r="RTS1" s="301"/>
      <c r="RTT1" s="301"/>
      <c r="RTU1" s="301"/>
      <c r="RTV1" s="301"/>
      <c r="RTW1" s="301"/>
      <c r="RTX1" s="301"/>
      <c r="RTY1" s="301"/>
      <c r="RTZ1" s="301"/>
      <c r="RUA1" s="301"/>
      <c r="RUB1" s="301"/>
      <c r="RUC1" s="301"/>
      <c r="RUD1" s="301"/>
      <c r="RUE1" s="301"/>
      <c r="RUF1" s="301"/>
      <c r="RUG1" s="301"/>
      <c r="RUH1" s="301"/>
      <c r="RUI1" s="301"/>
      <c r="RUJ1" s="301"/>
      <c r="RUK1" s="301"/>
      <c r="RUL1" s="301"/>
      <c r="RUM1" s="301"/>
      <c r="RUN1" s="301"/>
      <c r="RUO1" s="301"/>
      <c r="RUP1" s="301"/>
      <c r="RUQ1" s="301"/>
      <c r="RUR1" s="301"/>
      <c r="RUS1" s="301"/>
      <c r="RUT1" s="301"/>
      <c r="RUU1" s="301"/>
      <c r="RUV1" s="301"/>
      <c r="RUW1" s="301"/>
      <c r="RUX1" s="301"/>
      <c r="RUY1" s="301"/>
      <c r="RUZ1" s="301"/>
      <c r="RVA1" s="301"/>
      <c r="RVB1" s="301"/>
      <c r="RVC1" s="301"/>
      <c r="RVD1" s="301"/>
      <c r="RVE1" s="301"/>
      <c r="RVF1" s="301"/>
      <c r="RVG1" s="301"/>
      <c r="RVH1" s="301"/>
      <c r="RVI1" s="301"/>
      <c r="RVJ1" s="301"/>
      <c r="RVK1" s="301"/>
      <c r="RVL1" s="301"/>
      <c r="RVM1" s="301"/>
      <c r="RVN1" s="301"/>
      <c r="RVO1" s="301"/>
      <c r="RVP1" s="301"/>
      <c r="RVQ1" s="301"/>
      <c r="RVR1" s="301"/>
      <c r="RVS1" s="301"/>
      <c r="RVT1" s="301"/>
      <c r="RVU1" s="301"/>
      <c r="RVV1" s="301"/>
      <c r="RVW1" s="301"/>
      <c r="RVX1" s="301"/>
      <c r="RVY1" s="301"/>
      <c r="RVZ1" s="301"/>
      <c r="RWA1" s="301"/>
      <c r="RWB1" s="301"/>
      <c r="RWC1" s="301"/>
      <c r="RWD1" s="301"/>
      <c r="RWE1" s="301"/>
      <c r="RWF1" s="301"/>
      <c r="RWG1" s="301"/>
      <c r="RWH1" s="301"/>
      <c r="RWI1" s="301"/>
      <c r="RWJ1" s="301"/>
      <c r="RWK1" s="301"/>
      <c r="RWL1" s="301"/>
      <c r="RWM1" s="301"/>
      <c r="RWN1" s="301"/>
      <c r="RWO1" s="301"/>
      <c r="RWP1" s="301"/>
      <c r="RWQ1" s="301"/>
      <c r="RWR1" s="301"/>
      <c r="RWS1" s="301"/>
      <c r="RWT1" s="301"/>
      <c r="RWU1" s="301"/>
      <c r="RWV1" s="301"/>
      <c r="RWW1" s="301"/>
      <c r="RWX1" s="301"/>
      <c r="RWY1" s="301"/>
      <c r="RWZ1" s="301"/>
      <c r="RXA1" s="301"/>
      <c r="RXB1" s="301"/>
      <c r="RXC1" s="301"/>
      <c r="RXD1" s="301"/>
      <c r="RXE1" s="301"/>
      <c r="RXF1" s="301"/>
      <c r="RXG1" s="301"/>
      <c r="RXH1" s="301"/>
      <c r="RXI1" s="301"/>
      <c r="RXJ1" s="301"/>
      <c r="RXK1" s="301"/>
      <c r="RXL1" s="301"/>
      <c r="RXM1" s="301"/>
      <c r="RXN1" s="301"/>
      <c r="RXO1" s="301"/>
      <c r="RXP1" s="301"/>
      <c r="RXQ1" s="301"/>
      <c r="RXR1" s="301"/>
      <c r="RXS1" s="301"/>
      <c r="RXT1" s="301"/>
      <c r="RXU1" s="301"/>
      <c r="RXV1" s="301"/>
      <c r="RXW1" s="301"/>
      <c r="RXX1" s="301"/>
      <c r="RXY1" s="301"/>
      <c r="RXZ1" s="301"/>
      <c r="RYA1" s="301"/>
      <c r="RYB1" s="301"/>
      <c r="RYC1" s="301"/>
      <c r="RYD1" s="301"/>
      <c r="RYE1" s="301"/>
      <c r="RYF1" s="301"/>
      <c r="RYG1" s="301"/>
      <c r="RYH1" s="301"/>
      <c r="RYI1" s="301"/>
      <c r="RYJ1" s="301"/>
      <c r="RYK1" s="301"/>
      <c r="RYL1" s="301"/>
      <c r="RYM1" s="301"/>
      <c r="RYN1" s="301"/>
      <c r="RYO1" s="301"/>
      <c r="RYP1" s="301"/>
      <c r="RYQ1" s="301"/>
      <c r="RYR1" s="301"/>
      <c r="RYS1" s="301"/>
      <c r="RYT1" s="301"/>
      <c r="RYU1" s="301"/>
      <c r="RYV1" s="301"/>
      <c r="RYW1" s="301"/>
      <c r="RYX1" s="301"/>
      <c r="RYY1" s="301"/>
      <c r="RYZ1" s="301"/>
      <c r="RZA1" s="301"/>
      <c r="RZB1" s="301"/>
      <c r="RZC1" s="301"/>
      <c r="RZD1" s="301"/>
      <c r="RZE1" s="301"/>
      <c r="RZF1" s="301"/>
      <c r="RZG1" s="301"/>
      <c r="RZH1" s="301"/>
      <c r="RZI1" s="301"/>
      <c r="RZJ1" s="301"/>
      <c r="RZK1" s="301"/>
      <c r="RZL1" s="301"/>
      <c r="RZM1" s="301"/>
      <c r="RZN1" s="301"/>
      <c r="RZO1" s="301"/>
      <c r="RZP1" s="301"/>
      <c r="RZQ1" s="301"/>
      <c r="RZR1" s="301"/>
      <c r="RZS1" s="301"/>
      <c r="RZT1" s="301"/>
      <c r="RZU1" s="301"/>
      <c r="RZV1" s="301"/>
      <c r="RZW1" s="301"/>
      <c r="RZX1" s="301"/>
      <c r="RZY1" s="301"/>
      <c r="RZZ1" s="301"/>
      <c r="SAA1" s="301"/>
      <c r="SAB1" s="301"/>
      <c r="SAC1" s="301"/>
      <c r="SAD1" s="301"/>
      <c r="SAE1" s="301"/>
      <c r="SAF1" s="301"/>
      <c r="SAG1" s="301"/>
      <c r="SAH1" s="301"/>
      <c r="SAI1" s="301"/>
      <c r="SAJ1" s="301"/>
      <c r="SAK1" s="301"/>
      <c r="SAL1" s="301"/>
      <c r="SAM1" s="301"/>
      <c r="SAN1" s="301"/>
      <c r="SAO1" s="301"/>
      <c r="SAP1" s="301"/>
      <c r="SAQ1" s="301"/>
      <c r="SAR1" s="301"/>
      <c r="SAS1" s="301"/>
      <c r="SAT1" s="301"/>
      <c r="SAU1" s="301"/>
      <c r="SAV1" s="301"/>
      <c r="SAW1" s="301"/>
      <c r="SAX1" s="301"/>
      <c r="SAY1" s="301"/>
      <c r="SAZ1" s="301"/>
      <c r="SBA1" s="301"/>
      <c r="SBB1" s="301"/>
      <c r="SBC1" s="301"/>
      <c r="SBD1" s="301"/>
      <c r="SBE1" s="301"/>
      <c r="SBF1" s="301"/>
      <c r="SBG1" s="301"/>
      <c r="SBH1" s="301"/>
      <c r="SBI1" s="301"/>
      <c r="SBJ1" s="301"/>
      <c r="SBK1" s="301"/>
      <c r="SBL1" s="301"/>
      <c r="SBM1" s="301"/>
      <c r="SBN1" s="301"/>
      <c r="SBO1" s="301"/>
      <c r="SBP1" s="301"/>
      <c r="SBQ1" s="301"/>
      <c r="SBR1" s="301"/>
      <c r="SBS1" s="301"/>
      <c r="SBT1" s="301"/>
      <c r="SBU1" s="301"/>
      <c r="SBV1" s="301"/>
      <c r="SBW1" s="301"/>
      <c r="SBX1" s="301"/>
      <c r="SBY1" s="301"/>
      <c r="SBZ1" s="301"/>
      <c r="SCA1" s="301"/>
      <c r="SCB1" s="301"/>
      <c r="SCC1" s="301"/>
      <c r="SCD1" s="301"/>
      <c r="SCE1" s="301"/>
      <c r="SCF1" s="301"/>
      <c r="SCG1" s="301"/>
      <c r="SCH1" s="301"/>
      <c r="SCI1" s="301"/>
      <c r="SCJ1" s="301"/>
      <c r="SCK1" s="301"/>
      <c r="SCL1" s="301"/>
      <c r="SCM1" s="301"/>
      <c r="SCN1" s="301"/>
      <c r="SCO1" s="301"/>
      <c r="SCP1" s="301"/>
      <c r="SCQ1" s="301"/>
      <c r="SCR1" s="301"/>
      <c r="SCS1" s="301"/>
      <c r="SCT1" s="301"/>
      <c r="SCU1" s="301"/>
      <c r="SCV1" s="301"/>
      <c r="SCW1" s="301"/>
      <c r="SCX1" s="301"/>
      <c r="SCY1" s="301"/>
      <c r="SCZ1" s="301"/>
      <c r="SDA1" s="301"/>
      <c r="SDB1" s="301"/>
      <c r="SDC1" s="301"/>
      <c r="SDD1" s="301"/>
      <c r="SDE1" s="301"/>
      <c r="SDF1" s="301"/>
      <c r="SDG1" s="301"/>
      <c r="SDH1" s="301"/>
      <c r="SDI1" s="301"/>
      <c r="SDJ1" s="301"/>
      <c r="SDK1" s="301"/>
      <c r="SDL1" s="301"/>
      <c r="SDM1" s="301"/>
      <c r="SDN1" s="301"/>
      <c r="SDO1" s="301"/>
      <c r="SDP1" s="301"/>
      <c r="SDQ1" s="301"/>
      <c r="SDR1" s="301"/>
      <c r="SDS1" s="301"/>
      <c r="SDT1" s="301"/>
      <c r="SDU1" s="301"/>
      <c r="SDV1" s="301"/>
      <c r="SDW1" s="301"/>
      <c r="SDX1" s="301"/>
      <c r="SDY1" s="301"/>
      <c r="SDZ1" s="301"/>
      <c r="SEA1" s="301"/>
      <c r="SEB1" s="301"/>
      <c r="SEC1" s="301"/>
      <c r="SED1" s="301"/>
      <c r="SEE1" s="301"/>
      <c r="SEF1" s="301"/>
      <c r="SEG1" s="301"/>
      <c r="SEH1" s="301"/>
      <c r="SEI1" s="301"/>
      <c r="SEJ1" s="301"/>
      <c r="SEK1" s="301"/>
      <c r="SEL1" s="301"/>
      <c r="SEM1" s="301"/>
      <c r="SEN1" s="301"/>
      <c r="SEO1" s="301"/>
      <c r="SEP1" s="301"/>
      <c r="SEQ1" s="301"/>
      <c r="SER1" s="301"/>
      <c r="SES1" s="301"/>
      <c r="SET1" s="301"/>
      <c r="SEU1" s="301"/>
      <c r="SEV1" s="301"/>
      <c r="SEW1" s="301"/>
      <c r="SEX1" s="301"/>
      <c r="SEY1" s="301"/>
      <c r="SEZ1" s="301"/>
      <c r="SFA1" s="301"/>
      <c r="SFB1" s="301"/>
      <c r="SFC1" s="301"/>
      <c r="SFD1" s="301"/>
      <c r="SFE1" s="301"/>
      <c r="SFF1" s="301"/>
      <c r="SFG1" s="301"/>
      <c r="SFH1" s="301"/>
      <c r="SFI1" s="301"/>
      <c r="SFJ1" s="301"/>
      <c r="SFK1" s="301"/>
      <c r="SFL1" s="301"/>
      <c r="SFM1" s="301"/>
      <c r="SFN1" s="301"/>
      <c r="SFO1" s="301"/>
      <c r="SFP1" s="301"/>
      <c r="SFQ1" s="301"/>
      <c r="SFR1" s="301"/>
      <c r="SFS1" s="301"/>
      <c r="SFT1" s="301"/>
      <c r="SFU1" s="301"/>
      <c r="SFV1" s="301"/>
      <c r="SFW1" s="301"/>
      <c r="SFX1" s="301"/>
      <c r="SFY1" s="301"/>
      <c r="SFZ1" s="301"/>
      <c r="SGA1" s="301"/>
      <c r="SGB1" s="301"/>
      <c r="SGC1" s="301"/>
      <c r="SGD1" s="301"/>
      <c r="SGE1" s="301"/>
      <c r="SGF1" s="301"/>
      <c r="SGG1" s="301"/>
      <c r="SGH1" s="301"/>
      <c r="SGI1" s="301"/>
      <c r="SGJ1" s="301"/>
      <c r="SGK1" s="301"/>
      <c r="SGL1" s="301"/>
      <c r="SGM1" s="301"/>
      <c r="SGN1" s="301"/>
      <c r="SGO1" s="301"/>
      <c r="SGP1" s="301"/>
      <c r="SGQ1" s="301"/>
      <c r="SGR1" s="301"/>
      <c r="SGS1" s="301"/>
      <c r="SGT1" s="301"/>
      <c r="SGU1" s="301"/>
      <c r="SGV1" s="301"/>
      <c r="SGW1" s="301"/>
      <c r="SGX1" s="301"/>
      <c r="SGY1" s="301"/>
      <c r="SGZ1" s="301"/>
      <c r="SHA1" s="301"/>
      <c r="SHB1" s="301"/>
      <c r="SHC1" s="301"/>
      <c r="SHD1" s="301"/>
      <c r="SHE1" s="301"/>
      <c r="SHF1" s="301"/>
      <c r="SHG1" s="301"/>
      <c r="SHH1" s="301"/>
      <c r="SHI1" s="301"/>
      <c r="SHJ1" s="301"/>
      <c r="SHK1" s="301"/>
      <c r="SHL1" s="301"/>
      <c r="SHM1" s="301"/>
      <c r="SHN1" s="301"/>
      <c r="SHO1" s="301"/>
      <c r="SHP1" s="301"/>
      <c r="SHQ1" s="301"/>
      <c r="SHR1" s="301"/>
      <c r="SHS1" s="301"/>
      <c r="SHT1" s="301"/>
      <c r="SHU1" s="301"/>
      <c r="SHV1" s="301"/>
      <c r="SHW1" s="301"/>
      <c r="SHX1" s="301"/>
      <c r="SHY1" s="301"/>
      <c r="SHZ1" s="301"/>
      <c r="SIA1" s="301"/>
      <c r="SIB1" s="301"/>
      <c r="SIC1" s="301"/>
      <c r="SID1" s="301"/>
      <c r="SIE1" s="301"/>
      <c r="SIF1" s="301"/>
      <c r="SIG1" s="301"/>
      <c r="SIH1" s="301"/>
      <c r="SII1" s="301"/>
      <c r="SIJ1" s="301"/>
      <c r="SIK1" s="301"/>
      <c r="SIL1" s="301"/>
      <c r="SIM1" s="301"/>
      <c r="SIN1" s="301"/>
      <c r="SIO1" s="301"/>
      <c r="SIP1" s="301"/>
      <c r="SIQ1" s="301"/>
      <c r="SIR1" s="301"/>
      <c r="SIS1" s="301"/>
      <c r="SIT1" s="301"/>
      <c r="SIU1" s="301"/>
      <c r="SIV1" s="301"/>
      <c r="SIW1" s="301"/>
      <c r="SIX1" s="301"/>
      <c r="SIY1" s="301"/>
      <c r="SIZ1" s="301"/>
      <c r="SJA1" s="301"/>
      <c r="SJB1" s="301"/>
      <c r="SJC1" s="301"/>
      <c r="SJD1" s="301"/>
      <c r="SJE1" s="301"/>
      <c r="SJF1" s="301"/>
      <c r="SJG1" s="301"/>
      <c r="SJH1" s="301"/>
      <c r="SJI1" s="301"/>
      <c r="SJJ1" s="301"/>
      <c r="SJK1" s="301"/>
      <c r="SJL1" s="301"/>
      <c r="SJM1" s="301"/>
      <c r="SJN1" s="301"/>
      <c r="SJO1" s="301"/>
      <c r="SJP1" s="301"/>
      <c r="SJQ1" s="301"/>
      <c r="SJR1" s="301"/>
      <c r="SJS1" s="301"/>
      <c r="SJT1" s="301"/>
      <c r="SJU1" s="301"/>
      <c r="SJV1" s="301"/>
      <c r="SJW1" s="301"/>
      <c r="SJX1" s="301"/>
      <c r="SJY1" s="301"/>
      <c r="SJZ1" s="301"/>
      <c r="SKA1" s="301"/>
      <c r="SKB1" s="301"/>
      <c r="SKC1" s="301"/>
      <c r="SKD1" s="301"/>
      <c r="SKE1" s="301"/>
      <c r="SKF1" s="301"/>
      <c r="SKG1" s="301"/>
      <c r="SKH1" s="301"/>
      <c r="SKI1" s="301"/>
      <c r="SKJ1" s="301"/>
      <c r="SKK1" s="301"/>
      <c r="SKL1" s="301"/>
      <c r="SKM1" s="301"/>
      <c r="SKN1" s="301"/>
      <c r="SKO1" s="301"/>
      <c r="SKP1" s="301"/>
      <c r="SKQ1" s="301"/>
      <c r="SKR1" s="301"/>
      <c r="SKS1" s="301"/>
      <c r="SKT1" s="301"/>
      <c r="SKU1" s="301"/>
      <c r="SKV1" s="301"/>
      <c r="SKW1" s="301"/>
      <c r="SKX1" s="301"/>
      <c r="SKY1" s="301"/>
      <c r="SKZ1" s="301"/>
      <c r="SLA1" s="301"/>
      <c r="SLB1" s="301"/>
      <c r="SLC1" s="301"/>
      <c r="SLD1" s="301"/>
      <c r="SLE1" s="301"/>
      <c r="SLF1" s="301"/>
      <c r="SLG1" s="301"/>
      <c r="SLH1" s="301"/>
      <c r="SLI1" s="301"/>
      <c r="SLJ1" s="301"/>
      <c r="SLK1" s="301"/>
      <c r="SLL1" s="301"/>
      <c r="SLM1" s="301"/>
      <c r="SLN1" s="301"/>
      <c r="SLO1" s="301"/>
      <c r="SLP1" s="301"/>
      <c r="SLQ1" s="301"/>
      <c r="SLR1" s="301"/>
      <c r="SLS1" s="301"/>
      <c r="SLT1" s="301"/>
      <c r="SLU1" s="301"/>
      <c r="SLV1" s="301"/>
      <c r="SLW1" s="301"/>
      <c r="SLX1" s="301"/>
      <c r="SLY1" s="301"/>
      <c r="SLZ1" s="301"/>
      <c r="SMA1" s="301"/>
      <c r="SMB1" s="301"/>
      <c r="SMC1" s="301"/>
      <c r="SMD1" s="301"/>
      <c r="SME1" s="301"/>
      <c r="SMF1" s="301"/>
      <c r="SMG1" s="301"/>
      <c r="SMH1" s="301"/>
      <c r="SMI1" s="301"/>
      <c r="SMJ1" s="301"/>
      <c r="SMK1" s="301"/>
      <c r="SML1" s="301"/>
      <c r="SMM1" s="301"/>
      <c r="SMN1" s="301"/>
      <c r="SMO1" s="301"/>
      <c r="SMP1" s="301"/>
      <c r="SMQ1" s="301"/>
      <c r="SMR1" s="301"/>
      <c r="SMS1" s="301"/>
      <c r="SMT1" s="301"/>
      <c r="SMU1" s="301"/>
      <c r="SMV1" s="301"/>
      <c r="SMW1" s="301"/>
      <c r="SMX1" s="301"/>
      <c r="SMY1" s="301"/>
      <c r="SMZ1" s="301"/>
      <c r="SNA1" s="301"/>
      <c r="SNB1" s="301"/>
      <c r="SNC1" s="301"/>
      <c r="SND1" s="301"/>
      <c r="SNE1" s="301"/>
      <c r="SNF1" s="301"/>
      <c r="SNG1" s="301"/>
      <c r="SNH1" s="301"/>
      <c r="SNI1" s="301"/>
      <c r="SNJ1" s="301"/>
      <c r="SNK1" s="301"/>
      <c r="SNL1" s="301"/>
      <c r="SNM1" s="301"/>
      <c r="SNN1" s="301"/>
      <c r="SNO1" s="301"/>
      <c r="SNP1" s="301"/>
      <c r="SNQ1" s="301"/>
      <c r="SNR1" s="301"/>
      <c r="SNS1" s="301"/>
      <c r="SNT1" s="301"/>
      <c r="SNU1" s="301"/>
      <c r="SNV1" s="301"/>
      <c r="SNW1" s="301"/>
      <c r="SNX1" s="301"/>
      <c r="SNY1" s="301"/>
      <c r="SNZ1" s="301"/>
      <c r="SOA1" s="301"/>
      <c r="SOB1" s="301"/>
      <c r="SOC1" s="301"/>
      <c r="SOD1" s="301"/>
      <c r="SOE1" s="301"/>
      <c r="SOF1" s="301"/>
      <c r="SOG1" s="301"/>
      <c r="SOH1" s="301"/>
      <c r="SOI1" s="301"/>
      <c r="SOJ1" s="301"/>
      <c r="SOK1" s="301"/>
      <c r="SOL1" s="301"/>
      <c r="SOM1" s="301"/>
      <c r="SON1" s="301"/>
      <c r="SOO1" s="301"/>
      <c r="SOP1" s="301"/>
      <c r="SOQ1" s="301"/>
      <c r="SOR1" s="301"/>
      <c r="SOS1" s="301"/>
      <c r="SOT1" s="301"/>
      <c r="SOU1" s="301"/>
      <c r="SOV1" s="301"/>
      <c r="SOW1" s="301"/>
      <c r="SOX1" s="301"/>
      <c r="SOY1" s="301"/>
      <c r="SOZ1" s="301"/>
      <c r="SPA1" s="301"/>
      <c r="SPB1" s="301"/>
      <c r="SPC1" s="301"/>
      <c r="SPD1" s="301"/>
      <c r="SPE1" s="301"/>
      <c r="SPF1" s="301"/>
      <c r="SPG1" s="301"/>
      <c r="SPH1" s="301"/>
      <c r="SPI1" s="301"/>
      <c r="SPJ1" s="301"/>
      <c r="SPK1" s="301"/>
      <c r="SPL1" s="301"/>
      <c r="SPM1" s="301"/>
      <c r="SPN1" s="301"/>
      <c r="SPO1" s="301"/>
      <c r="SPP1" s="301"/>
      <c r="SPQ1" s="301"/>
      <c r="SPR1" s="301"/>
      <c r="SPS1" s="301"/>
      <c r="SPT1" s="301"/>
      <c r="SPU1" s="301"/>
      <c r="SPV1" s="301"/>
      <c r="SPW1" s="301"/>
      <c r="SPX1" s="301"/>
      <c r="SPY1" s="301"/>
      <c r="SPZ1" s="301"/>
      <c r="SQA1" s="301"/>
      <c r="SQB1" s="301"/>
      <c r="SQC1" s="301"/>
      <c r="SQD1" s="301"/>
      <c r="SQE1" s="301"/>
      <c r="SQF1" s="301"/>
      <c r="SQG1" s="301"/>
      <c r="SQH1" s="301"/>
      <c r="SQI1" s="301"/>
      <c r="SQJ1" s="301"/>
      <c r="SQK1" s="301"/>
      <c r="SQL1" s="301"/>
      <c r="SQM1" s="301"/>
      <c r="SQN1" s="301"/>
      <c r="SQO1" s="301"/>
      <c r="SQP1" s="301"/>
      <c r="SQQ1" s="301"/>
      <c r="SQR1" s="301"/>
      <c r="SQS1" s="301"/>
      <c r="SQT1" s="301"/>
      <c r="SQU1" s="301"/>
      <c r="SQV1" s="301"/>
      <c r="SQW1" s="301"/>
      <c r="SQX1" s="301"/>
      <c r="SQY1" s="301"/>
      <c r="SQZ1" s="301"/>
      <c r="SRA1" s="301"/>
      <c r="SRB1" s="301"/>
      <c r="SRC1" s="301"/>
      <c r="SRD1" s="301"/>
      <c r="SRE1" s="301"/>
      <c r="SRF1" s="301"/>
      <c r="SRG1" s="301"/>
      <c r="SRH1" s="301"/>
      <c r="SRI1" s="301"/>
      <c r="SRJ1" s="301"/>
      <c r="SRK1" s="301"/>
      <c r="SRL1" s="301"/>
      <c r="SRM1" s="301"/>
      <c r="SRN1" s="301"/>
      <c r="SRO1" s="301"/>
      <c r="SRP1" s="301"/>
      <c r="SRQ1" s="301"/>
      <c r="SRR1" s="301"/>
      <c r="SRS1" s="301"/>
      <c r="SRT1" s="301"/>
      <c r="SRU1" s="301"/>
      <c r="SRV1" s="301"/>
      <c r="SRW1" s="301"/>
      <c r="SRX1" s="301"/>
      <c r="SRY1" s="301"/>
      <c r="SRZ1" s="301"/>
      <c r="SSA1" s="301"/>
      <c r="SSB1" s="301"/>
      <c r="SSC1" s="301"/>
      <c r="SSD1" s="301"/>
      <c r="SSE1" s="301"/>
      <c r="SSF1" s="301"/>
      <c r="SSG1" s="301"/>
      <c r="SSH1" s="301"/>
      <c r="SSI1" s="301"/>
      <c r="SSJ1" s="301"/>
      <c r="SSK1" s="301"/>
      <c r="SSL1" s="301"/>
      <c r="SSM1" s="301"/>
      <c r="SSN1" s="301"/>
      <c r="SSO1" s="301"/>
      <c r="SSP1" s="301"/>
      <c r="SSQ1" s="301"/>
      <c r="SSR1" s="301"/>
      <c r="SSS1" s="301"/>
      <c r="SST1" s="301"/>
      <c r="SSU1" s="301"/>
      <c r="SSV1" s="301"/>
      <c r="SSW1" s="301"/>
      <c r="SSX1" s="301"/>
      <c r="SSY1" s="301"/>
      <c r="SSZ1" s="301"/>
      <c r="STA1" s="301"/>
      <c r="STB1" s="301"/>
      <c r="STC1" s="301"/>
      <c r="STD1" s="301"/>
      <c r="STE1" s="301"/>
      <c r="STF1" s="301"/>
      <c r="STG1" s="301"/>
      <c r="STH1" s="301"/>
      <c r="STI1" s="301"/>
      <c r="STJ1" s="301"/>
      <c r="STK1" s="301"/>
      <c r="STL1" s="301"/>
      <c r="STM1" s="301"/>
      <c r="STN1" s="301"/>
      <c r="STO1" s="301"/>
      <c r="STP1" s="301"/>
      <c r="STQ1" s="301"/>
      <c r="STR1" s="301"/>
      <c r="STS1" s="301"/>
      <c r="STT1" s="301"/>
      <c r="STU1" s="301"/>
      <c r="STV1" s="301"/>
      <c r="STW1" s="301"/>
      <c r="STX1" s="301"/>
      <c r="STY1" s="301"/>
      <c r="STZ1" s="301"/>
      <c r="SUA1" s="301"/>
      <c r="SUB1" s="301"/>
      <c r="SUC1" s="301"/>
      <c r="SUD1" s="301"/>
      <c r="SUE1" s="301"/>
      <c r="SUF1" s="301"/>
      <c r="SUG1" s="301"/>
      <c r="SUH1" s="301"/>
      <c r="SUI1" s="301"/>
      <c r="SUJ1" s="301"/>
      <c r="SUK1" s="301"/>
      <c r="SUL1" s="301"/>
      <c r="SUM1" s="301"/>
      <c r="SUN1" s="301"/>
      <c r="SUO1" s="301"/>
      <c r="SUP1" s="301"/>
      <c r="SUQ1" s="301"/>
      <c r="SUR1" s="301"/>
      <c r="SUS1" s="301"/>
      <c r="SUT1" s="301"/>
      <c r="SUU1" s="301"/>
      <c r="SUV1" s="301"/>
      <c r="SUW1" s="301"/>
      <c r="SUX1" s="301"/>
      <c r="SUY1" s="301"/>
      <c r="SUZ1" s="301"/>
      <c r="SVA1" s="301"/>
      <c r="SVB1" s="301"/>
      <c r="SVC1" s="301"/>
      <c r="SVD1" s="301"/>
      <c r="SVE1" s="301"/>
      <c r="SVF1" s="301"/>
      <c r="SVG1" s="301"/>
      <c r="SVH1" s="301"/>
      <c r="SVI1" s="301"/>
      <c r="SVJ1" s="301"/>
      <c r="SVK1" s="301"/>
      <c r="SVL1" s="301"/>
      <c r="SVM1" s="301"/>
      <c r="SVN1" s="301"/>
      <c r="SVO1" s="301"/>
      <c r="SVP1" s="301"/>
      <c r="SVQ1" s="301"/>
      <c r="SVR1" s="301"/>
      <c r="SVS1" s="301"/>
      <c r="SVT1" s="301"/>
      <c r="SVU1" s="301"/>
      <c r="SVV1" s="301"/>
      <c r="SVW1" s="301"/>
      <c r="SVX1" s="301"/>
      <c r="SVY1" s="301"/>
      <c r="SVZ1" s="301"/>
      <c r="SWA1" s="301"/>
      <c r="SWB1" s="301"/>
      <c r="SWC1" s="301"/>
      <c r="SWD1" s="301"/>
      <c r="SWE1" s="301"/>
      <c r="SWF1" s="301"/>
      <c r="SWG1" s="301"/>
      <c r="SWH1" s="301"/>
      <c r="SWI1" s="301"/>
      <c r="SWJ1" s="301"/>
      <c r="SWK1" s="301"/>
      <c r="SWL1" s="301"/>
      <c r="SWM1" s="301"/>
      <c r="SWN1" s="301"/>
      <c r="SWO1" s="301"/>
      <c r="SWP1" s="301"/>
      <c r="SWQ1" s="301"/>
      <c r="SWR1" s="301"/>
      <c r="SWS1" s="301"/>
      <c r="SWT1" s="301"/>
      <c r="SWU1" s="301"/>
      <c r="SWV1" s="301"/>
      <c r="SWW1" s="301"/>
      <c r="SWX1" s="301"/>
      <c r="SWY1" s="301"/>
      <c r="SWZ1" s="301"/>
      <c r="SXA1" s="301"/>
      <c r="SXB1" s="301"/>
      <c r="SXC1" s="301"/>
      <c r="SXD1" s="301"/>
      <c r="SXE1" s="301"/>
      <c r="SXF1" s="301"/>
      <c r="SXG1" s="301"/>
      <c r="SXH1" s="301"/>
      <c r="SXI1" s="301"/>
      <c r="SXJ1" s="301"/>
      <c r="SXK1" s="301"/>
      <c r="SXL1" s="301"/>
      <c r="SXM1" s="301"/>
      <c r="SXN1" s="301"/>
      <c r="SXO1" s="301"/>
      <c r="SXP1" s="301"/>
      <c r="SXQ1" s="301"/>
      <c r="SXR1" s="301"/>
      <c r="SXS1" s="301"/>
      <c r="SXT1" s="301"/>
      <c r="SXU1" s="301"/>
      <c r="SXV1" s="301"/>
      <c r="SXW1" s="301"/>
      <c r="SXX1" s="301"/>
      <c r="SXY1" s="301"/>
      <c r="SXZ1" s="301"/>
      <c r="SYA1" s="301"/>
      <c r="SYB1" s="301"/>
      <c r="SYC1" s="301"/>
      <c r="SYD1" s="301"/>
      <c r="SYE1" s="301"/>
      <c r="SYF1" s="301"/>
      <c r="SYG1" s="301"/>
      <c r="SYH1" s="301"/>
      <c r="SYI1" s="301"/>
      <c r="SYJ1" s="301"/>
      <c r="SYK1" s="301"/>
      <c r="SYL1" s="301"/>
      <c r="SYM1" s="301"/>
      <c r="SYN1" s="301"/>
      <c r="SYO1" s="301"/>
      <c r="SYP1" s="301"/>
      <c r="SYQ1" s="301"/>
      <c r="SYR1" s="301"/>
      <c r="SYS1" s="301"/>
      <c r="SYT1" s="301"/>
      <c r="SYU1" s="301"/>
      <c r="SYV1" s="301"/>
      <c r="SYW1" s="301"/>
      <c r="SYX1" s="301"/>
      <c r="SYY1" s="301"/>
      <c r="SYZ1" s="301"/>
      <c r="SZA1" s="301"/>
      <c r="SZB1" s="301"/>
      <c r="SZC1" s="301"/>
      <c r="SZD1" s="301"/>
      <c r="SZE1" s="301"/>
      <c r="SZF1" s="301"/>
      <c r="SZG1" s="301"/>
      <c r="SZH1" s="301"/>
      <c r="SZI1" s="301"/>
      <c r="SZJ1" s="301"/>
      <c r="SZK1" s="301"/>
      <c r="SZL1" s="301"/>
      <c r="SZM1" s="301"/>
      <c r="SZN1" s="301"/>
      <c r="SZO1" s="301"/>
      <c r="SZP1" s="301"/>
      <c r="SZQ1" s="301"/>
      <c r="SZR1" s="301"/>
      <c r="SZS1" s="301"/>
      <c r="SZT1" s="301"/>
      <c r="SZU1" s="301"/>
      <c r="SZV1" s="301"/>
      <c r="SZW1" s="301"/>
      <c r="SZX1" s="301"/>
      <c r="SZY1" s="301"/>
      <c r="SZZ1" s="301"/>
      <c r="TAA1" s="301"/>
      <c r="TAB1" s="301"/>
      <c r="TAC1" s="301"/>
      <c r="TAD1" s="301"/>
      <c r="TAE1" s="301"/>
      <c r="TAF1" s="301"/>
      <c r="TAG1" s="301"/>
      <c r="TAH1" s="301"/>
      <c r="TAI1" s="301"/>
      <c r="TAJ1" s="301"/>
      <c r="TAK1" s="301"/>
      <c r="TAL1" s="301"/>
      <c r="TAM1" s="301"/>
      <c r="TAN1" s="301"/>
      <c r="TAO1" s="301"/>
      <c r="TAP1" s="301"/>
      <c r="TAQ1" s="301"/>
      <c r="TAR1" s="301"/>
      <c r="TAS1" s="301"/>
      <c r="TAT1" s="301"/>
      <c r="TAU1" s="301"/>
      <c r="TAV1" s="301"/>
      <c r="TAW1" s="301"/>
      <c r="TAX1" s="301"/>
      <c r="TAY1" s="301"/>
      <c r="TAZ1" s="301"/>
      <c r="TBA1" s="301"/>
      <c r="TBB1" s="301"/>
      <c r="TBC1" s="301"/>
      <c r="TBD1" s="301"/>
      <c r="TBE1" s="301"/>
      <c r="TBF1" s="301"/>
      <c r="TBG1" s="301"/>
      <c r="TBH1" s="301"/>
      <c r="TBI1" s="301"/>
      <c r="TBJ1" s="301"/>
      <c r="TBK1" s="301"/>
      <c r="TBL1" s="301"/>
      <c r="TBM1" s="301"/>
      <c r="TBN1" s="301"/>
      <c r="TBO1" s="301"/>
      <c r="TBP1" s="301"/>
      <c r="TBQ1" s="301"/>
      <c r="TBR1" s="301"/>
      <c r="TBS1" s="301"/>
      <c r="TBT1" s="301"/>
      <c r="TBU1" s="301"/>
      <c r="TBV1" s="301"/>
      <c r="TBW1" s="301"/>
      <c r="TBX1" s="301"/>
      <c r="TBY1" s="301"/>
      <c r="TBZ1" s="301"/>
      <c r="TCA1" s="301"/>
      <c r="TCB1" s="301"/>
      <c r="TCC1" s="301"/>
      <c r="TCD1" s="301"/>
      <c r="TCE1" s="301"/>
      <c r="TCF1" s="301"/>
      <c r="TCG1" s="301"/>
      <c r="TCH1" s="301"/>
      <c r="TCI1" s="301"/>
      <c r="TCJ1" s="301"/>
      <c r="TCK1" s="301"/>
      <c r="TCL1" s="301"/>
      <c r="TCM1" s="301"/>
      <c r="TCN1" s="301"/>
      <c r="TCO1" s="301"/>
      <c r="TCP1" s="301"/>
      <c r="TCQ1" s="301"/>
      <c r="TCR1" s="301"/>
      <c r="TCS1" s="301"/>
      <c r="TCT1" s="301"/>
      <c r="TCU1" s="301"/>
      <c r="TCV1" s="301"/>
      <c r="TCW1" s="301"/>
      <c r="TCX1" s="301"/>
      <c r="TCY1" s="301"/>
      <c r="TCZ1" s="301"/>
      <c r="TDA1" s="301"/>
      <c r="TDB1" s="301"/>
      <c r="TDC1" s="301"/>
      <c r="TDD1" s="301"/>
      <c r="TDE1" s="301"/>
      <c r="TDF1" s="301"/>
      <c r="TDG1" s="301"/>
      <c r="TDH1" s="301"/>
      <c r="TDI1" s="301"/>
      <c r="TDJ1" s="301"/>
      <c r="TDK1" s="301"/>
      <c r="TDL1" s="301"/>
      <c r="TDM1" s="301"/>
      <c r="TDN1" s="301"/>
      <c r="TDO1" s="301"/>
      <c r="TDP1" s="301"/>
      <c r="TDQ1" s="301"/>
      <c r="TDR1" s="301"/>
      <c r="TDS1" s="301"/>
      <c r="TDT1" s="301"/>
      <c r="TDU1" s="301"/>
      <c r="TDV1" s="301"/>
      <c r="TDW1" s="301"/>
      <c r="TDX1" s="301"/>
      <c r="TDY1" s="301"/>
      <c r="TDZ1" s="301"/>
      <c r="TEA1" s="301"/>
      <c r="TEB1" s="301"/>
      <c r="TEC1" s="301"/>
      <c r="TED1" s="301"/>
      <c r="TEE1" s="301"/>
      <c r="TEF1" s="301"/>
      <c r="TEG1" s="301"/>
      <c r="TEH1" s="301"/>
      <c r="TEI1" s="301"/>
      <c r="TEJ1" s="301"/>
      <c r="TEK1" s="301"/>
      <c r="TEL1" s="301"/>
      <c r="TEM1" s="301"/>
      <c r="TEN1" s="301"/>
      <c r="TEO1" s="301"/>
      <c r="TEP1" s="301"/>
      <c r="TEQ1" s="301"/>
      <c r="TER1" s="301"/>
      <c r="TES1" s="301"/>
      <c r="TET1" s="301"/>
      <c r="TEU1" s="301"/>
      <c r="TEV1" s="301"/>
      <c r="TEW1" s="301"/>
      <c r="TEX1" s="301"/>
      <c r="TEY1" s="301"/>
      <c r="TEZ1" s="301"/>
      <c r="TFA1" s="301"/>
      <c r="TFB1" s="301"/>
      <c r="TFC1" s="301"/>
      <c r="TFD1" s="301"/>
      <c r="TFE1" s="301"/>
      <c r="TFF1" s="301"/>
      <c r="TFG1" s="301"/>
      <c r="TFH1" s="301"/>
      <c r="TFI1" s="301"/>
      <c r="TFJ1" s="301"/>
      <c r="TFK1" s="301"/>
      <c r="TFL1" s="301"/>
      <c r="TFM1" s="301"/>
      <c r="TFN1" s="301"/>
      <c r="TFO1" s="301"/>
      <c r="TFP1" s="301"/>
      <c r="TFQ1" s="301"/>
      <c r="TFR1" s="301"/>
      <c r="TFS1" s="301"/>
      <c r="TFT1" s="301"/>
      <c r="TFU1" s="301"/>
      <c r="TFV1" s="301"/>
      <c r="TFW1" s="301"/>
      <c r="TFX1" s="301"/>
      <c r="TFY1" s="301"/>
      <c r="TFZ1" s="301"/>
      <c r="TGA1" s="301"/>
      <c r="TGB1" s="301"/>
      <c r="TGC1" s="301"/>
      <c r="TGD1" s="301"/>
      <c r="TGE1" s="301"/>
      <c r="TGF1" s="301"/>
      <c r="TGG1" s="301"/>
      <c r="TGH1" s="301"/>
      <c r="TGI1" s="301"/>
      <c r="TGJ1" s="301"/>
      <c r="TGK1" s="301"/>
      <c r="TGL1" s="301"/>
      <c r="TGM1" s="301"/>
      <c r="TGN1" s="301"/>
      <c r="TGO1" s="301"/>
      <c r="TGP1" s="301"/>
      <c r="TGQ1" s="301"/>
      <c r="TGR1" s="301"/>
      <c r="TGS1" s="301"/>
      <c r="TGT1" s="301"/>
      <c r="TGU1" s="301"/>
      <c r="TGV1" s="301"/>
      <c r="TGW1" s="301"/>
      <c r="TGX1" s="301"/>
      <c r="TGY1" s="301"/>
      <c r="TGZ1" s="301"/>
      <c r="THA1" s="301"/>
      <c r="THB1" s="301"/>
      <c r="THC1" s="301"/>
      <c r="THD1" s="301"/>
      <c r="THE1" s="301"/>
      <c r="THF1" s="301"/>
      <c r="THG1" s="301"/>
      <c r="THH1" s="301"/>
      <c r="THI1" s="301"/>
      <c r="THJ1" s="301"/>
      <c r="THK1" s="301"/>
      <c r="THL1" s="301"/>
      <c r="THM1" s="301"/>
      <c r="THN1" s="301"/>
      <c r="THO1" s="301"/>
      <c r="THP1" s="301"/>
      <c r="THQ1" s="301"/>
      <c r="THR1" s="301"/>
      <c r="THS1" s="301"/>
      <c r="THT1" s="301"/>
      <c r="THU1" s="301"/>
      <c r="THV1" s="301"/>
      <c r="THW1" s="301"/>
      <c r="THX1" s="301"/>
      <c r="THY1" s="301"/>
      <c r="THZ1" s="301"/>
      <c r="TIA1" s="301"/>
      <c r="TIB1" s="301"/>
      <c r="TIC1" s="301"/>
      <c r="TID1" s="301"/>
      <c r="TIE1" s="301"/>
      <c r="TIF1" s="301"/>
      <c r="TIG1" s="301"/>
      <c r="TIH1" s="301"/>
      <c r="TII1" s="301"/>
      <c r="TIJ1" s="301"/>
      <c r="TIK1" s="301"/>
      <c r="TIL1" s="301"/>
      <c r="TIM1" s="301"/>
      <c r="TIN1" s="301"/>
      <c r="TIO1" s="301"/>
      <c r="TIP1" s="301"/>
      <c r="TIQ1" s="301"/>
      <c r="TIR1" s="301"/>
      <c r="TIS1" s="301"/>
      <c r="TIT1" s="301"/>
      <c r="TIU1" s="301"/>
      <c r="TIV1" s="301"/>
      <c r="TIW1" s="301"/>
      <c r="TIX1" s="301"/>
      <c r="TIY1" s="301"/>
      <c r="TIZ1" s="301"/>
      <c r="TJA1" s="301"/>
      <c r="TJB1" s="301"/>
      <c r="TJC1" s="301"/>
      <c r="TJD1" s="301"/>
      <c r="TJE1" s="301"/>
      <c r="TJF1" s="301"/>
      <c r="TJG1" s="301"/>
      <c r="TJH1" s="301"/>
      <c r="TJI1" s="301"/>
      <c r="TJJ1" s="301"/>
      <c r="TJK1" s="301"/>
      <c r="TJL1" s="301"/>
      <c r="TJM1" s="301"/>
      <c r="TJN1" s="301"/>
      <c r="TJO1" s="301"/>
      <c r="TJP1" s="301"/>
      <c r="TJQ1" s="301"/>
      <c r="TJR1" s="301"/>
      <c r="TJS1" s="301"/>
      <c r="TJT1" s="301"/>
      <c r="TJU1" s="301"/>
      <c r="TJV1" s="301"/>
      <c r="TJW1" s="301"/>
      <c r="TJX1" s="301"/>
      <c r="TJY1" s="301"/>
      <c r="TJZ1" s="301"/>
      <c r="TKA1" s="301"/>
      <c r="TKB1" s="301"/>
      <c r="TKC1" s="301"/>
      <c r="TKD1" s="301"/>
      <c r="TKE1" s="301"/>
      <c r="TKF1" s="301"/>
      <c r="TKG1" s="301"/>
      <c r="TKH1" s="301"/>
      <c r="TKI1" s="301"/>
      <c r="TKJ1" s="301"/>
      <c r="TKK1" s="301"/>
      <c r="TKL1" s="301"/>
      <c r="TKM1" s="301"/>
      <c r="TKN1" s="301"/>
      <c r="TKO1" s="301"/>
      <c r="TKP1" s="301"/>
      <c r="TKQ1" s="301"/>
      <c r="TKR1" s="301"/>
      <c r="TKS1" s="301"/>
      <c r="TKT1" s="301"/>
      <c r="TKU1" s="301"/>
      <c r="TKV1" s="301"/>
      <c r="TKW1" s="301"/>
      <c r="TKX1" s="301"/>
      <c r="TKY1" s="301"/>
      <c r="TKZ1" s="301"/>
      <c r="TLA1" s="301"/>
      <c r="TLB1" s="301"/>
      <c r="TLC1" s="301"/>
      <c r="TLD1" s="301"/>
      <c r="TLE1" s="301"/>
      <c r="TLF1" s="301"/>
      <c r="TLG1" s="301"/>
      <c r="TLH1" s="301"/>
      <c r="TLI1" s="301"/>
      <c r="TLJ1" s="301"/>
      <c r="TLK1" s="301"/>
      <c r="TLL1" s="301"/>
      <c r="TLM1" s="301"/>
      <c r="TLN1" s="301"/>
      <c r="TLO1" s="301"/>
      <c r="TLP1" s="301"/>
      <c r="TLQ1" s="301"/>
      <c r="TLR1" s="301"/>
      <c r="TLS1" s="301"/>
      <c r="TLT1" s="301"/>
      <c r="TLU1" s="301"/>
      <c r="TLV1" s="301"/>
      <c r="TLW1" s="301"/>
      <c r="TLX1" s="301"/>
      <c r="TLY1" s="301"/>
      <c r="TLZ1" s="301"/>
      <c r="TMA1" s="301"/>
      <c r="TMB1" s="301"/>
      <c r="TMC1" s="301"/>
      <c r="TMD1" s="301"/>
      <c r="TME1" s="301"/>
      <c r="TMF1" s="301"/>
      <c r="TMG1" s="301"/>
      <c r="TMH1" s="301"/>
      <c r="TMI1" s="301"/>
      <c r="TMJ1" s="301"/>
      <c r="TMK1" s="301"/>
      <c r="TML1" s="301"/>
      <c r="TMM1" s="301"/>
      <c r="TMN1" s="301"/>
      <c r="TMO1" s="301"/>
      <c r="TMP1" s="301"/>
      <c r="TMQ1" s="301"/>
      <c r="TMR1" s="301"/>
      <c r="TMS1" s="301"/>
      <c r="TMT1" s="301"/>
      <c r="TMU1" s="301"/>
      <c r="TMV1" s="301"/>
      <c r="TMW1" s="301"/>
      <c r="TMX1" s="301"/>
      <c r="TMY1" s="301"/>
      <c r="TMZ1" s="301"/>
      <c r="TNA1" s="301"/>
      <c r="TNB1" s="301"/>
      <c r="TNC1" s="301"/>
      <c r="TND1" s="301"/>
      <c r="TNE1" s="301"/>
      <c r="TNF1" s="301"/>
      <c r="TNG1" s="301"/>
      <c r="TNH1" s="301"/>
      <c r="TNI1" s="301"/>
      <c r="TNJ1" s="301"/>
      <c r="TNK1" s="301"/>
      <c r="TNL1" s="301"/>
      <c r="TNM1" s="301"/>
      <c r="TNN1" s="301"/>
      <c r="TNO1" s="301"/>
      <c r="TNP1" s="301"/>
      <c r="TNQ1" s="301"/>
      <c r="TNR1" s="301"/>
      <c r="TNS1" s="301"/>
      <c r="TNT1" s="301"/>
      <c r="TNU1" s="301"/>
      <c r="TNV1" s="301"/>
      <c r="TNW1" s="301"/>
      <c r="TNX1" s="301"/>
      <c r="TNY1" s="301"/>
      <c r="TNZ1" s="301"/>
      <c r="TOA1" s="301"/>
      <c r="TOB1" s="301"/>
      <c r="TOC1" s="301"/>
      <c r="TOD1" s="301"/>
      <c r="TOE1" s="301"/>
      <c r="TOF1" s="301"/>
      <c r="TOG1" s="301"/>
      <c r="TOH1" s="301"/>
      <c r="TOI1" s="301"/>
      <c r="TOJ1" s="301"/>
      <c r="TOK1" s="301"/>
      <c r="TOL1" s="301"/>
      <c r="TOM1" s="301"/>
      <c r="TON1" s="301"/>
      <c r="TOO1" s="301"/>
      <c r="TOP1" s="301"/>
      <c r="TOQ1" s="301"/>
      <c r="TOR1" s="301"/>
      <c r="TOS1" s="301"/>
      <c r="TOT1" s="301"/>
      <c r="TOU1" s="301"/>
      <c r="TOV1" s="301"/>
      <c r="TOW1" s="301"/>
      <c r="TOX1" s="301"/>
      <c r="TOY1" s="301"/>
      <c r="TOZ1" s="301"/>
      <c r="TPA1" s="301"/>
      <c r="TPB1" s="301"/>
      <c r="TPC1" s="301"/>
      <c r="TPD1" s="301"/>
      <c r="TPE1" s="301"/>
      <c r="TPF1" s="301"/>
      <c r="TPG1" s="301"/>
      <c r="TPH1" s="301"/>
      <c r="TPI1" s="301"/>
      <c r="TPJ1" s="301"/>
      <c r="TPK1" s="301"/>
      <c r="TPL1" s="301"/>
      <c r="TPM1" s="301"/>
      <c r="TPN1" s="301"/>
      <c r="TPO1" s="301"/>
      <c r="TPP1" s="301"/>
      <c r="TPQ1" s="301"/>
      <c r="TPR1" s="301"/>
      <c r="TPS1" s="301"/>
      <c r="TPT1" s="301"/>
      <c r="TPU1" s="301"/>
      <c r="TPV1" s="301"/>
      <c r="TPW1" s="301"/>
      <c r="TPX1" s="301"/>
      <c r="TPY1" s="301"/>
      <c r="TPZ1" s="301"/>
      <c r="TQA1" s="301"/>
      <c r="TQB1" s="301"/>
      <c r="TQC1" s="301"/>
      <c r="TQD1" s="301"/>
      <c r="TQE1" s="301"/>
      <c r="TQF1" s="301"/>
      <c r="TQG1" s="301"/>
      <c r="TQH1" s="301"/>
      <c r="TQI1" s="301"/>
      <c r="TQJ1" s="301"/>
      <c r="TQK1" s="301"/>
      <c r="TQL1" s="301"/>
      <c r="TQM1" s="301"/>
      <c r="TQN1" s="301"/>
      <c r="TQO1" s="301"/>
      <c r="TQP1" s="301"/>
      <c r="TQQ1" s="301"/>
      <c r="TQR1" s="301"/>
      <c r="TQS1" s="301"/>
      <c r="TQT1" s="301"/>
      <c r="TQU1" s="301"/>
      <c r="TQV1" s="301"/>
      <c r="TQW1" s="301"/>
      <c r="TQX1" s="301"/>
      <c r="TQY1" s="301"/>
      <c r="TQZ1" s="301"/>
      <c r="TRA1" s="301"/>
      <c r="TRB1" s="301"/>
      <c r="TRC1" s="301"/>
      <c r="TRD1" s="301"/>
      <c r="TRE1" s="301"/>
      <c r="TRF1" s="301"/>
      <c r="TRG1" s="301"/>
      <c r="TRH1" s="301"/>
      <c r="TRI1" s="301"/>
      <c r="TRJ1" s="301"/>
      <c r="TRK1" s="301"/>
      <c r="TRL1" s="301"/>
      <c r="TRM1" s="301"/>
      <c r="TRN1" s="301"/>
      <c r="TRO1" s="301"/>
      <c r="TRP1" s="301"/>
      <c r="TRQ1" s="301"/>
      <c r="TRR1" s="301"/>
      <c r="TRS1" s="301"/>
      <c r="TRT1" s="301"/>
      <c r="TRU1" s="301"/>
      <c r="TRV1" s="301"/>
      <c r="TRW1" s="301"/>
      <c r="TRX1" s="301"/>
      <c r="TRY1" s="301"/>
      <c r="TRZ1" s="301"/>
      <c r="TSA1" s="301"/>
      <c r="TSB1" s="301"/>
      <c r="TSC1" s="301"/>
      <c r="TSD1" s="301"/>
      <c r="TSE1" s="301"/>
      <c r="TSF1" s="301"/>
      <c r="TSG1" s="301"/>
      <c r="TSH1" s="301"/>
      <c r="TSI1" s="301"/>
      <c r="TSJ1" s="301"/>
      <c r="TSK1" s="301"/>
      <c r="TSL1" s="301"/>
      <c r="TSM1" s="301"/>
      <c r="TSN1" s="301"/>
      <c r="TSO1" s="301"/>
      <c r="TSP1" s="301"/>
      <c r="TSQ1" s="301"/>
      <c r="TSR1" s="301"/>
      <c r="TSS1" s="301"/>
      <c r="TST1" s="301"/>
      <c r="TSU1" s="301"/>
      <c r="TSV1" s="301"/>
      <c r="TSW1" s="301"/>
      <c r="TSX1" s="301"/>
      <c r="TSY1" s="301"/>
      <c r="TSZ1" s="301"/>
      <c r="TTA1" s="301"/>
      <c r="TTB1" s="301"/>
      <c r="TTC1" s="301"/>
      <c r="TTD1" s="301"/>
      <c r="TTE1" s="301"/>
      <c r="TTF1" s="301"/>
      <c r="TTG1" s="301"/>
      <c r="TTH1" s="301"/>
      <c r="TTI1" s="301"/>
      <c r="TTJ1" s="301"/>
      <c r="TTK1" s="301"/>
      <c r="TTL1" s="301"/>
      <c r="TTM1" s="301"/>
      <c r="TTN1" s="301"/>
      <c r="TTO1" s="301"/>
      <c r="TTP1" s="301"/>
      <c r="TTQ1" s="301"/>
      <c r="TTR1" s="301"/>
      <c r="TTS1" s="301"/>
      <c r="TTT1" s="301"/>
      <c r="TTU1" s="301"/>
      <c r="TTV1" s="301"/>
      <c r="TTW1" s="301"/>
      <c r="TTX1" s="301"/>
      <c r="TTY1" s="301"/>
      <c r="TTZ1" s="301"/>
      <c r="TUA1" s="301"/>
      <c r="TUB1" s="301"/>
      <c r="TUC1" s="301"/>
      <c r="TUD1" s="301"/>
      <c r="TUE1" s="301"/>
      <c r="TUF1" s="301"/>
      <c r="TUG1" s="301"/>
      <c r="TUH1" s="301"/>
      <c r="TUI1" s="301"/>
      <c r="TUJ1" s="301"/>
      <c r="TUK1" s="301"/>
      <c r="TUL1" s="301"/>
      <c r="TUM1" s="301"/>
      <c r="TUN1" s="301"/>
      <c r="TUO1" s="301"/>
      <c r="TUP1" s="301"/>
      <c r="TUQ1" s="301"/>
      <c r="TUR1" s="301"/>
      <c r="TUS1" s="301"/>
      <c r="TUT1" s="301"/>
      <c r="TUU1" s="301"/>
      <c r="TUV1" s="301"/>
      <c r="TUW1" s="301"/>
      <c r="TUX1" s="301"/>
      <c r="TUY1" s="301"/>
      <c r="TUZ1" s="301"/>
      <c r="TVA1" s="301"/>
      <c r="TVB1" s="301"/>
      <c r="TVC1" s="301"/>
      <c r="TVD1" s="301"/>
      <c r="TVE1" s="301"/>
      <c r="TVF1" s="301"/>
      <c r="TVG1" s="301"/>
      <c r="TVH1" s="301"/>
      <c r="TVI1" s="301"/>
      <c r="TVJ1" s="301"/>
      <c r="TVK1" s="301"/>
      <c r="TVL1" s="301"/>
      <c r="TVM1" s="301"/>
      <c r="TVN1" s="301"/>
      <c r="TVO1" s="301"/>
      <c r="TVP1" s="301"/>
      <c r="TVQ1" s="301"/>
      <c r="TVR1" s="301"/>
      <c r="TVS1" s="301"/>
      <c r="TVT1" s="301"/>
      <c r="TVU1" s="301"/>
      <c r="TVV1" s="301"/>
      <c r="TVW1" s="301"/>
      <c r="TVX1" s="301"/>
      <c r="TVY1" s="301"/>
      <c r="TVZ1" s="301"/>
      <c r="TWA1" s="301"/>
      <c r="TWB1" s="301"/>
      <c r="TWC1" s="301"/>
      <c r="TWD1" s="301"/>
      <c r="TWE1" s="301"/>
      <c r="TWF1" s="301"/>
      <c r="TWG1" s="301"/>
      <c r="TWH1" s="301"/>
      <c r="TWI1" s="301"/>
      <c r="TWJ1" s="301"/>
      <c r="TWK1" s="301"/>
      <c r="TWL1" s="301"/>
      <c r="TWM1" s="301"/>
      <c r="TWN1" s="301"/>
      <c r="TWO1" s="301"/>
      <c r="TWP1" s="301"/>
      <c r="TWQ1" s="301"/>
      <c r="TWR1" s="301"/>
      <c r="TWS1" s="301"/>
      <c r="TWT1" s="301"/>
      <c r="TWU1" s="301"/>
      <c r="TWV1" s="301"/>
      <c r="TWW1" s="301"/>
      <c r="TWX1" s="301"/>
      <c r="TWY1" s="301"/>
      <c r="TWZ1" s="301"/>
      <c r="TXA1" s="301"/>
      <c r="TXB1" s="301"/>
      <c r="TXC1" s="301"/>
      <c r="TXD1" s="301"/>
      <c r="TXE1" s="301"/>
      <c r="TXF1" s="301"/>
      <c r="TXG1" s="301"/>
      <c r="TXH1" s="301"/>
      <c r="TXI1" s="301"/>
      <c r="TXJ1" s="301"/>
      <c r="TXK1" s="301"/>
      <c r="TXL1" s="301"/>
      <c r="TXM1" s="301"/>
      <c r="TXN1" s="301"/>
      <c r="TXO1" s="301"/>
      <c r="TXP1" s="301"/>
      <c r="TXQ1" s="301"/>
      <c r="TXR1" s="301"/>
      <c r="TXS1" s="301"/>
      <c r="TXT1" s="301"/>
      <c r="TXU1" s="301"/>
      <c r="TXV1" s="301"/>
      <c r="TXW1" s="301"/>
      <c r="TXX1" s="301"/>
      <c r="TXY1" s="301"/>
      <c r="TXZ1" s="301"/>
      <c r="TYA1" s="301"/>
      <c r="TYB1" s="301"/>
      <c r="TYC1" s="301"/>
      <c r="TYD1" s="301"/>
      <c r="TYE1" s="301"/>
      <c r="TYF1" s="301"/>
      <c r="TYG1" s="301"/>
      <c r="TYH1" s="301"/>
      <c r="TYI1" s="301"/>
      <c r="TYJ1" s="301"/>
      <c r="TYK1" s="301"/>
      <c r="TYL1" s="301"/>
      <c r="TYM1" s="301"/>
      <c r="TYN1" s="301"/>
      <c r="TYO1" s="301"/>
      <c r="TYP1" s="301"/>
      <c r="TYQ1" s="301"/>
      <c r="TYR1" s="301"/>
      <c r="TYS1" s="301"/>
      <c r="TYT1" s="301"/>
      <c r="TYU1" s="301"/>
      <c r="TYV1" s="301"/>
      <c r="TYW1" s="301"/>
      <c r="TYX1" s="301"/>
      <c r="TYY1" s="301"/>
      <c r="TYZ1" s="301"/>
      <c r="TZA1" s="301"/>
      <c r="TZB1" s="301"/>
      <c r="TZC1" s="301"/>
      <c r="TZD1" s="301"/>
      <c r="TZE1" s="301"/>
      <c r="TZF1" s="301"/>
      <c r="TZG1" s="301"/>
      <c r="TZH1" s="301"/>
      <c r="TZI1" s="301"/>
      <c r="TZJ1" s="301"/>
      <c r="TZK1" s="301"/>
      <c r="TZL1" s="301"/>
      <c r="TZM1" s="301"/>
      <c r="TZN1" s="301"/>
      <c r="TZO1" s="301"/>
      <c r="TZP1" s="301"/>
      <c r="TZQ1" s="301"/>
      <c r="TZR1" s="301"/>
      <c r="TZS1" s="301"/>
      <c r="TZT1" s="301"/>
      <c r="TZU1" s="301"/>
      <c r="TZV1" s="301"/>
      <c r="TZW1" s="301"/>
      <c r="TZX1" s="301"/>
      <c r="TZY1" s="301"/>
      <c r="TZZ1" s="301"/>
      <c r="UAA1" s="301"/>
      <c r="UAB1" s="301"/>
      <c r="UAC1" s="301"/>
      <c r="UAD1" s="301"/>
      <c r="UAE1" s="301"/>
      <c r="UAF1" s="301"/>
      <c r="UAG1" s="301"/>
      <c r="UAH1" s="301"/>
      <c r="UAI1" s="301"/>
      <c r="UAJ1" s="301"/>
      <c r="UAK1" s="301"/>
      <c r="UAL1" s="301"/>
      <c r="UAM1" s="301"/>
      <c r="UAN1" s="301"/>
      <c r="UAO1" s="301"/>
      <c r="UAP1" s="301"/>
      <c r="UAQ1" s="301"/>
      <c r="UAR1" s="301"/>
      <c r="UAS1" s="301"/>
      <c r="UAT1" s="301"/>
      <c r="UAU1" s="301"/>
      <c r="UAV1" s="301"/>
      <c r="UAW1" s="301"/>
      <c r="UAX1" s="301"/>
      <c r="UAY1" s="301"/>
      <c r="UAZ1" s="301"/>
      <c r="UBA1" s="301"/>
      <c r="UBB1" s="301"/>
      <c r="UBC1" s="301"/>
      <c r="UBD1" s="301"/>
      <c r="UBE1" s="301"/>
      <c r="UBF1" s="301"/>
      <c r="UBG1" s="301"/>
      <c r="UBH1" s="301"/>
      <c r="UBI1" s="301"/>
      <c r="UBJ1" s="301"/>
      <c r="UBK1" s="301"/>
      <c r="UBL1" s="301"/>
      <c r="UBM1" s="301"/>
      <c r="UBN1" s="301"/>
      <c r="UBO1" s="301"/>
      <c r="UBP1" s="301"/>
      <c r="UBQ1" s="301"/>
      <c r="UBR1" s="301"/>
      <c r="UBS1" s="301"/>
      <c r="UBT1" s="301"/>
      <c r="UBU1" s="301"/>
      <c r="UBV1" s="301"/>
      <c r="UBW1" s="301"/>
      <c r="UBX1" s="301"/>
      <c r="UBY1" s="301"/>
      <c r="UBZ1" s="301"/>
      <c r="UCA1" s="301"/>
      <c r="UCB1" s="301"/>
      <c r="UCC1" s="301"/>
      <c r="UCD1" s="301"/>
      <c r="UCE1" s="301"/>
      <c r="UCF1" s="301"/>
      <c r="UCG1" s="301"/>
      <c r="UCH1" s="301"/>
      <c r="UCI1" s="301"/>
      <c r="UCJ1" s="301"/>
      <c r="UCK1" s="301"/>
      <c r="UCL1" s="301"/>
      <c r="UCM1" s="301"/>
      <c r="UCN1" s="301"/>
      <c r="UCO1" s="301"/>
      <c r="UCP1" s="301"/>
      <c r="UCQ1" s="301"/>
      <c r="UCR1" s="301"/>
      <c r="UCS1" s="301"/>
      <c r="UCT1" s="301"/>
      <c r="UCU1" s="301"/>
      <c r="UCV1" s="301"/>
      <c r="UCW1" s="301"/>
      <c r="UCX1" s="301"/>
      <c r="UCY1" s="301"/>
      <c r="UCZ1" s="301"/>
      <c r="UDA1" s="301"/>
      <c r="UDB1" s="301"/>
      <c r="UDC1" s="301"/>
      <c r="UDD1" s="301"/>
      <c r="UDE1" s="301"/>
      <c r="UDF1" s="301"/>
      <c r="UDG1" s="301"/>
      <c r="UDH1" s="301"/>
      <c r="UDI1" s="301"/>
      <c r="UDJ1" s="301"/>
      <c r="UDK1" s="301"/>
      <c r="UDL1" s="301"/>
      <c r="UDM1" s="301"/>
      <c r="UDN1" s="301"/>
      <c r="UDO1" s="301"/>
      <c r="UDP1" s="301"/>
      <c r="UDQ1" s="301"/>
      <c r="UDR1" s="301"/>
      <c r="UDS1" s="301"/>
      <c r="UDT1" s="301"/>
      <c r="UDU1" s="301"/>
      <c r="UDV1" s="301"/>
      <c r="UDW1" s="301"/>
      <c r="UDX1" s="301"/>
      <c r="UDY1" s="301"/>
      <c r="UDZ1" s="301"/>
      <c r="UEA1" s="301"/>
      <c r="UEB1" s="301"/>
      <c r="UEC1" s="301"/>
      <c r="UED1" s="301"/>
      <c r="UEE1" s="301"/>
      <c r="UEF1" s="301"/>
      <c r="UEG1" s="301"/>
      <c r="UEH1" s="301"/>
      <c r="UEI1" s="301"/>
      <c r="UEJ1" s="301"/>
      <c r="UEK1" s="301"/>
      <c r="UEL1" s="301"/>
      <c r="UEM1" s="301"/>
      <c r="UEN1" s="301"/>
      <c r="UEO1" s="301"/>
      <c r="UEP1" s="301"/>
      <c r="UEQ1" s="301"/>
      <c r="UER1" s="301"/>
      <c r="UES1" s="301"/>
      <c r="UET1" s="301"/>
      <c r="UEU1" s="301"/>
      <c r="UEV1" s="301"/>
      <c r="UEW1" s="301"/>
      <c r="UEX1" s="301"/>
      <c r="UEY1" s="301"/>
      <c r="UEZ1" s="301"/>
      <c r="UFA1" s="301"/>
      <c r="UFB1" s="301"/>
      <c r="UFC1" s="301"/>
      <c r="UFD1" s="301"/>
      <c r="UFE1" s="301"/>
      <c r="UFF1" s="301"/>
      <c r="UFG1" s="301"/>
      <c r="UFH1" s="301"/>
      <c r="UFI1" s="301"/>
      <c r="UFJ1" s="301"/>
      <c r="UFK1" s="301"/>
      <c r="UFL1" s="301"/>
      <c r="UFM1" s="301"/>
      <c r="UFN1" s="301"/>
      <c r="UFO1" s="301"/>
      <c r="UFP1" s="301"/>
      <c r="UFQ1" s="301"/>
      <c r="UFR1" s="301"/>
      <c r="UFS1" s="301"/>
      <c r="UFT1" s="301"/>
      <c r="UFU1" s="301"/>
      <c r="UFV1" s="301"/>
      <c r="UFW1" s="301"/>
      <c r="UFX1" s="301"/>
      <c r="UFY1" s="301"/>
      <c r="UFZ1" s="301"/>
      <c r="UGA1" s="301"/>
      <c r="UGB1" s="301"/>
      <c r="UGC1" s="301"/>
      <c r="UGD1" s="301"/>
      <c r="UGE1" s="301"/>
      <c r="UGF1" s="301"/>
      <c r="UGG1" s="301"/>
      <c r="UGH1" s="301"/>
      <c r="UGI1" s="301"/>
      <c r="UGJ1" s="301"/>
      <c r="UGK1" s="301"/>
      <c r="UGL1" s="301"/>
      <c r="UGM1" s="301"/>
      <c r="UGN1" s="301"/>
      <c r="UGO1" s="301"/>
      <c r="UGP1" s="301"/>
      <c r="UGQ1" s="301"/>
      <c r="UGR1" s="301"/>
      <c r="UGS1" s="301"/>
      <c r="UGT1" s="301"/>
      <c r="UGU1" s="301"/>
      <c r="UGV1" s="301"/>
      <c r="UGW1" s="301"/>
      <c r="UGX1" s="301"/>
      <c r="UGY1" s="301"/>
      <c r="UGZ1" s="301"/>
      <c r="UHA1" s="301"/>
      <c r="UHB1" s="301"/>
      <c r="UHC1" s="301"/>
      <c r="UHD1" s="301"/>
      <c r="UHE1" s="301"/>
      <c r="UHF1" s="301"/>
      <c r="UHG1" s="301"/>
      <c r="UHH1" s="301"/>
      <c r="UHI1" s="301"/>
      <c r="UHJ1" s="301"/>
      <c r="UHK1" s="301"/>
      <c r="UHL1" s="301"/>
      <c r="UHM1" s="301"/>
      <c r="UHN1" s="301"/>
      <c r="UHO1" s="301"/>
      <c r="UHP1" s="301"/>
      <c r="UHQ1" s="301"/>
      <c r="UHR1" s="301"/>
      <c r="UHS1" s="301"/>
      <c r="UHT1" s="301"/>
      <c r="UHU1" s="301"/>
      <c r="UHV1" s="301"/>
      <c r="UHW1" s="301"/>
      <c r="UHX1" s="301"/>
      <c r="UHY1" s="301"/>
      <c r="UHZ1" s="301"/>
      <c r="UIA1" s="301"/>
      <c r="UIB1" s="301"/>
      <c r="UIC1" s="301"/>
      <c r="UID1" s="301"/>
      <c r="UIE1" s="301"/>
      <c r="UIF1" s="301"/>
      <c r="UIG1" s="301"/>
      <c r="UIH1" s="301"/>
      <c r="UII1" s="301"/>
      <c r="UIJ1" s="301"/>
      <c r="UIK1" s="301"/>
      <c r="UIL1" s="301"/>
      <c r="UIM1" s="301"/>
      <c r="UIN1" s="301"/>
      <c r="UIO1" s="301"/>
      <c r="UIP1" s="301"/>
      <c r="UIQ1" s="301"/>
      <c r="UIR1" s="301"/>
      <c r="UIS1" s="301"/>
      <c r="UIT1" s="301"/>
      <c r="UIU1" s="301"/>
      <c r="UIV1" s="301"/>
      <c r="UIW1" s="301"/>
      <c r="UIX1" s="301"/>
      <c r="UIY1" s="301"/>
      <c r="UIZ1" s="301"/>
      <c r="UJA1" s="301"/>
      <c r="UJB1" s="301"/>
      <c r="UJC1" s="301"/>
      <c r="UJD1" s="301"/>
      <c r="UJE1" s="301"/>
      <c r="UJF1" s="301"/>
      <c r="UJG1" s="301"/>
      <c r="UJH1" s="301"/>
      <c r="UJI1" s="301"/>
      <c r="UJJ1" s="301"/>
      <c r="UJK1" s="301"/>
      <c r="UJL1" s="301"/>
      <c r="UJM1" s="301"/>
      <c r="UJN1" s="301"/>
      <c r="UJO1" s="301"/>
      <c r="UJP1" s="301"/>
      <c r="UJQ1" s="301"/>
      <c r="UJR1" s="301"/>
      <c r="UJS1" s="301"/>
      <c r="UJT1" s="301"/>
      <c r="UJU1" s="301"/>
      <c r="UJV1" s="301"/>
      <c r="UJW1" s="301"/>
      <c r="UJX1" s="301"/>
      <c r="UJY1" s="301"/>
      <c r="UJZ1" s="301"/>
      <c r="UKA1" s="301"/>
      <c r="UKB1" s="301"/>
      <c r="UKC1" s="301"/>
      <c r="UKD1" s="301"/>
      <c r="UKE1" s="301"/>
      <c r="UKF1" s="301"/>
      <c r="UKG1" s="301"/>
      <c r="UKH1" s="301"/>
      <c r="UKI1" s="301"/>
      <c r="UKJ1" s="301"/>
      <c r="UKK1" s="301"/>
      <c r="UKL1" s="301"/>
      <c r="UKM1" s="301"/>
      <c r="UKN1" s="301"/>
      <c r="UKO1" s="301"/>
      <c r="UKP1" s="301"/>
      <c r="UKQ1" s="301"/>
      <c r="UKR1" s="301"/>
      <c r="UKS1" s="301"/>
      <c r="UKT1" s="301"/>
      <c r="UKU1" s="301"/>
      <c r="UKV1" s="301"/>
      <c r="UKW1" s="301"/>
      <c r="UKX1" s="301"/>
      <c r="UKY1" s="301"/>
      <c r="UKZ1" s="301"/>
      <c r="ULA1" s="301"/>
      <c r="ULB1" s="301"/>
      <c r="ULC1" s="301"/>
      <c r="ULD1" s="301"/>
      <c r="ULE1" s="301"/>
      <c r="ULF1" s="301"/>
      <c r="ULG1" s="301"/>
      <c r="ULH1" s="301"/>
      <c r="ULI1" s="301"/>
      <c r="ULJ1" s="301"/>
      <c r="ULK1" s="301"/>
      <c r="ULL1" s="301"/>
      <c r="ULM1" s="301"/>
      <c r="ULN1" s="301"/>
      <c r="ULO1" s="301"/>
      <c r="ULP1" s="301"/>
      <c r="ULQ1" s="301"/>
      <c r="ULR1" s="301"/>
      <c r="ULS1" s="301"/>
      <c r="ULT1" s="301"/>
      <c r="ULU1" s="301"/>
      <c r="ULV1" s="301"/>
      <c r="ULW1" s="301"/>
      <c r="ULX1" s="301"/>
      <c r="ULY1" s="301"/>
      <c r="ULZ1" s="301"/>
      <c r="UMA1" s="301"/>
      <c r="UMB1" s="301"/>
      <c r="UMC1" s="301"/>
      <c r="UMD1" s="301"/>
      <c r="UME1" s="301"/>
      <c r="UMF1" s="301"/>
      <c r="UMG1" s="301"/>
      <c r="UMH1" s="301"/>
      <c r="UMI1" s="301"/>
      <c r="UMJ1" s="301"/>
      <c r="UMK1" s="301"/>
      <c r="UML1" s="301"/>
      <c r="UMM1" s="301"/>
      <c r="UMN1" s="301"/>
      <c r="UMO1" s="301"/>
      <c r="UMP1" s="301"/>
      <c r="UMQ1" s="301"/>
      <c r="UMR1" s="301"/>
      <c r="UMS1" s="301"/>
      <c r="UMT1" s="301"/>
      <c r="UMU1" s="301"/>
      <c r="UMV1" s="301"/>
      <c r="UMW1" s="301"/>
      <c r="UMX1" s="301"/>
      <c r="UMY1" s="301"/>
      <c r="UMZ1" s="301"/>
      <c r="UNA1" s="301"/>
      <c r="UNB1" s="301"/>
      <c r="UNC1" s="301"/>
      <c r="UND1" s="301"/>
      <c r="UNE1" s="301"/>
      <c r="UNF1" s="301"/>
      <c r="UNG1" s="301"/>
      <c r="UNH1" s="301"/>
      <c r="UNI1" s="301"/>
      <c r="UNJ1" s="301"/>
      <c r="UNK1" s="301"/>
      <c r="UNL1" s="301"/>
      <c r="UNM1" s="301"/>
      <c r="UNN1" s="301"/>
      <c r="UNO1" s="301"/>
      <c r="UNP1" s="301"/>
      <c r="UNQ1" s="301"/>
      <c r="UNR1" s="301"/>
      <c r="UNS1" s="301"/>
      <c r="UNT1" s="301"/>
      <c r="UNU1" s="301"/>
      <c r="UNV1" s="301"/>
      <c r="UNW1" s="301"/>
      <c r="UNX1" s="301"/>
      <c r="UNY1" s="301"/>
      <c r="UNZ1" s="301"/>
      <c r="UOA1" s="301"/>
      <c r="UOB1" s="301"/>
      <c r="UOC1" s="301"/>
      <c r="UOD1" s="301"/>
      <c r="UOE1" s="301"/>
      <c r="UOF1" s="301"/>
      <c r="UOG1" s="301"/>
      <c r="UOH1" s="301"/>
      <c r="UOI1" s="301"/>
      <c r="UOJ1" s="301"/>
      <c r="UOK1" s="301"/>
      <c r="UOL1" s="301"/>
      <c r="UOM1" s="301"/>
      <c r="UON1" s="301"/>
      <c r="UOO1" s="301"/>
      <c r="UOP1" s="301"/>
      <c r="UOQ1" s="301"/>
      <c r="UOR1" s="301"/>
      <c r="UOS1" s="301"/>
      <c r="UOT1" s="301"/>
      <c r="UOU1" s="301"/>
      <c r="UOV1" s="301"/>
      <c r="UOW1" s="301"/>
      <c r="UOX1" s="301"/>
      <c r="UOY1" s="301"/>
      <c r="UOZ1" s="301"/>
      <c r="UPA1" s="301"/>
      <c r="UPB1" s="301"/>
      <c r="UPC1" s="301"/>
      <c r="UPD1" s="301"/>
      <c r="UPE1" s="301"/>
      <c r="UPF1" s="301"/>
      <c r="UPG1" s="301"/>
      <c r="UPH1" s="301"/>
      <c r="UPI1" s="301"/>
      <c r="UPJ1" s="301"/>
      <c r="UPK1" s="301"/>
      <c r="UPL1" s="301"/>
      <c r="UPM1" s="301"/>
      <c r="UPN1" s="301"/>
      <c r="UPO1" s="301"/>
      <c r="UPP1" s="301"/>
      <c r="UPQ1" s="301"/>
      <c r="UPR1" s="301"/>
      <c r="UPS1" s="301"/>
      <c r="UPT1" s="301"/>
      <c r="UPU1" s="301"/>
      <c r="UPV1" s="301"/>
      <c r="UPW1" s="301"/>
      <c r="UPX1" s="301"/>
      <c r="UPY1" s="301"/>
      <c r="UPZ1" s="301"/>
      <c r="UQA1" s="301"/>
      <c r="UQB1" s="301"/>
      <c r="UQC1" s="301"/>
      <c r="UQD1" s="301"/>
      <c r="UQE1" s="301"/>
      <c r="UQF1" s="301"/>
      <c r="UQG1" s="301"/>
      <c r="UQH1" s="301"/>
      <c r="UQI1" s="301"/>
      <c r="UQJ1" s="301"/>
      <c r="UQK1" s="301"/>
      <c r="UQL1" s="301"/>
      <c r="UQM1" s="301"/>
      <c r="UQN1" s="301"/>
      <c r="UQO1" s="301"/>
      <c r="UQP1" s="301"/>
      <c r="UQQ1" s="301"/>
      <c r="UQR1" s="301"/>
      <c r="UQS1" s="301"/>
      <c r="UQT1" s="301"/>
      <c r="UQU1" s="301"/>
      <c r="UQV1" s="301"/>
      <c r="UQW1" s="301"/>
      <c r="UQX1" s="301"/>
      <c r="UQY1" s="301"/>
      <c r="UQZ1" s="301"/>
      <c r="URA1" s="301"/>
      <c r="URB1" s="301"/>
      <c r="URC1" s="301"/>
      <c r="URD1" s="301"/>
      <c r="URE1" s="301"/>
      <c r="URF1" s="301"/>
      <c r="URG1" s="301"/>
      <c r="URH1" s="301"/>
      <c r="URI1" s="301"/>
      <c r="URJ1" s="301"/>
      <c r="URK1" s="301"/>
      <c r="URL1" s="301"/>
      <c r="URM1" s="301"/>
      <c r="URN1" s="301"/>
      <c r="URO1" s="301"/>
      <c r="URP1" s="301"/>
      <c r="URQ1" s="301"/>
      <c r="URR1" s="301"/>
      <c r="URS1" s="301"/>
      <c r="URT1" s="301"/>
      <c r="URU1" s="301"/>
      <c r="URV1" s="301"/>
      <c r="URW1" s="301"/>
      <c r="URX1" s="301"/>
      <c r="URY1" s="301"/>
      <c r="URZ1" s="301"/>
      <c r="USA1" s="301"/>
      <c r="USB1" s="301"/>
      <c r="USC1" s="301"/>
      <c r="USD1" s="301"/>
      <c r="USE1" s="301"/>
      <c r="USF1" s="301"/>
      <c r="USG1" s="301"/>
      <c r="USH1" s="301"/>
      <c r="USI1" s="301"/>
      <c r="USJ1" s="301"/>
      <c r="USK1" s="301"/>
      <c r="USL1" s="301"/>
      <c r="USM1" s="301"/>
      <c r="USN1" s="301"/>
      <c r="USO1" s="301"/>
      <c r="USP1" s="301"/>
      <c r="USQ1" s="301"/>
      <c r="USR1" s="301"/>
      <c r="USS1" s="301"/>
      <c r="UST1" s="301"/>
      <c r="USU1" s="301"/>
      <c r="USV1" s="301"/>
      <c r="USW1" s="301"/>
      <c r="USX1" s="301"/>
      <c r="USY1" s="301"/>
      <c r="USZ1" s="301"/>
      <c r="UTA1" s="301"/>
      <c r="UTB1" s="301"/>
      <c r="UTC1" s="301"/>
      <c r="UTD1" s="301"/>
      <c r="UTE1" s="301"/>
      <c r="UTF1" s="301"/>
      <c r="UTG1" s="301"/>
      <c r="UTH1" s="301"/>
      <c r="UTI1" s="301"/>
      <c r="UTJ1" s="301"/>
      <c r="UTK1" s="301"/>
      <c r="UTL1" s="301"/>
      <c r="UTM1" s="301"/>
      <c r="UTN1" s="301"/>
      <c r="UTO1" s="301"/>
      <c r="UTP1" s="301"/>
      <c r="UTQ1" s="301"/>
      <c r="UTR1" s="301"/>
      <c r="UTS1" s="301"/>
      <c r="UTT1" s="301"/>
      <c r="UTU1" s="301"/>
      <c r="UTV1" s="301"/>
      <c r="UTW1" s="301"/>
      <c r="UTX1" s="301"/>
      <c r="UTY1" s="301"/>
      <c r="UTZ1" s="301"/>
      <c r="UUA1" s="301"/>
      <c r="UUB1" s="301"/>
      <c r="UUC1" s="301"/>
      <c r="UUD1" s="301"/>
      <c r="UUE1" s="301"/>
      <c r="UUF1" s="301"/>
      <c r="UUG1" s="301"/>
      <c r="UUH1" s="301"/>
      <c r="UUI1" s="301"/>
      <c r="UUJ1" s="301"/>
      <c r="UUK1" s="301"/>
      <c r="UUL1" s="301"/>
      <c r="UUM1" s="301"/>
      <c r="UUN1" s="301"/>
      <c r="UUO1" s="301"/>
      <c r="UUP1" s="301"/>
      <c r="UUQ1" s="301"/>
      <c r="UUR1" s="301"/>
      <c r="UUS1" s="301"/>
      <c r="UUT1" s="301"/>
      <c r="UUU1" s="301"/>
      <c r="UUV1" s="301"/>
      <c r="UUW1" s="301"/>
      <c r="UUX1" s="301"/>
      <c r="UUY1" s="301"/>
      <c r="UUZ1" s="301"/>
      <c r="UVA1" s="301"/>
      <c r="UVB1" s="301"/>
      <c r="UVC1" s="301"/>
      <c r="UVD1" s="301"/>
      <c r="UVE1" s="301"/>
      <c r="UVF1" s="301"/>
      <c r="UVG1" s="301"/>
      <c r="UVH1" s="301"/>
      <c r="UVI1" s="301"/>
      <c r="UVJ1" s="301"/>
      <c r="UVK1" s="301"/>
      <c r="UVL1" s="301"/>
      <c r="UVM1" s="301"/>
      <c r="UVN1" s="301"/>
      <c r="UVO1" s="301"/>
      <c r="UVP1" s="301"/>
      <c r="UVQ1" s="301"/>
      <c r="UVR1" s="301"/>
      <c r="UVS1" s="301"/>
      <c r="UVT1" s="301"/>
      <c r="UVU1" s="301"/>
      <c r="UVV1" s="301"/>
      <c r="UVW1" s="301"/>
      <c r="UVX1" s="301"/>
      <c r="UVY1" s="301"/>
      <c r="UVZ1" s="301"/>
      <c r="UWA1" s="301"/>
      <c r="UWB1" s="301"/>
      <c r="UWC1" s="301"/>
      <c r="UWD1" s="301"/>
      <c r="UWE1" s="301"/>
      <c r="UWF1" s="301"/>
      <c r="UWG1" s="301"/>
      <c r="UWH1" s="301"/>
      <c r="UWI1" s="301"/>
      <c r="UWJ1" s="301"/>
      <c r="UWK1" s="301"/>
      <c r="UWL1" s="301"/>
      <c r="UWM1" s="301"/>
      <c r="UWN1" s="301"/>
      <c r="UWO1" s="301"/>
      <c r="UWP1" s="301"/>
      <c r="UWQ1" s="301"/>
      <c r="UWR1" s="301"/>
      <c r="UWS1" s="301"/>
      <c r="UWT1" s="301"/>
      <c r="UWU1" s="301"/>
      <c r="UWV1" s="301"/>
      <c r="UWW1" s="301"/>
      <c r="UWX1" s="301"/>
      <c r="UWY1" s="301"/>
      <c r="UWZ1" s="301"/>
      <c r="UXA1" s="301"/>
      <c r="UXB1" s="301"/>
      <c r="UXC1" s="301"/>
      <c r="UXD1" s="301"/>
      <c r="UXE1" s="301"/>
      <c r="UXF1" s="301"/>
      <c r="UXG1" s="301"/>
      <c r="UXH1" s="301"/>
      <c r="UXI1" s="301"/>
      <c r="UXJ1" s="301"/>
      <c r="UXK1" s="301"/>
      <c r="UXL1" s="301"/>
      <c r="UXM1" s="301"/>
      <c r="UXN1" s="301"/>
      <c r="UXO1" s="301"/>
      <c r="UXP1" s="301"/>
      <c r="UXQ1" s="301"/>
      <c r="UXR1" s="301"/>
      <c r="UXS1" s="301"/>
      <c r="UXT1" s="301"/>
      <c r="UXU1" s="301"/>
      <c r="UXV1" s="301"/>
      <c r="UXW1" s="301"/>
      <c r="UXX1" s="301"/>
      <c r="UXY1" s="301"/>
      <c r="UXZ1" s="301"/>
      <c r="UYA1" s="301"/>
      <c r="UYB1" s="301"/>
      <c r="UYC1" s="301"/>
      <c r="UYD1" s="301"/>
      <c r="UYE1" s="301"/>
      <c r="UYF1" s="301"/>
      <c r="UYG1" s="301"/>
      <c r="UYH1" s="301"/>
      <c r="UYI1" s="301"/>
      <c r="UYJ1" s="301"/>
      <c r="UYK1" s="301"/>
      <c r="UYL1" s="301"/>
      <c r="UYM1" s="301"/>
      <c r="UYN1" s="301"/>
      <c r="UYO1" s="301"/>
      <c r="UYP1" s="301"/>
      <c r="UYQ1" s="301"/>
      <c r="UYR1" s="301"/>
      <c r="UYS1" s="301"/>
      <c r="UYT1" s="301"/>
      <c r="UYU1" s="301"/>
      <c r="UYV1" s="301"/>
      <c r="UYW1" s="301"/>
      <c r="UYX1" s="301"/>
      <c r="UYY1" s="301"/>
      <c r="UYZ1" s="301"/>
      <c r="UZA1" s="301"/>
      <c r="UZB1" s="301"/>
      <c r="UZC1" s="301"/>
      <c r="UZD1" s="301"/>
      <c r="UZE1" s="301"/>
      <c r="UZF1" s="301"/>
      <c r="UZG1" s="301"/>
      <c r="UZH1" s="301"/>
      <c r="UZI1" s="301"/>
      <c r="UZJ1" s="301"/>
      <c r="UZK1" s="301"/>
      <c r="UZL1" s="301"/>
      <c r="UZM1" s="301"/>
      <c r="UZN1" s="301"/>
      <c r="UZO1" s="301"/>
      <c r="UZP1" s="301"/>
      <c r="UZQ1" s="301"/>
      <c r="UZR1" s="301"/>
      <c r="UZS1" s="301"/>
      <c r="UZT1" s="301"/>
      <c r="UZU1" s="301"/>
      <c r="UZV1" s="301"/>
      <c r="UZW1" s="301"/>
      <c r="UZX1" s="301"/>
      <c r="UZY1" s="301"/>
      <c r="UZZ1" s="301"/>
      <c r="VAA1" s="301"/>
      <c r="VAB1" s="301"/>
      <c r="VAC1" s="301"/>
      <c r="VAD1" s="301"/>
      <c r="VAE1" s="301"/>
      <c r="VAF1" s="301"/>
      <c r="VAG1" s="301"/>
      <c r="VAH1" s="301"/>
      <c r="VAI1" s="301"/>
      <c r="VAJ1" s="301"/>
      <c r="VAK1" s="301"/>
      <c r="VAL1" s="301"/>
      <c r="VAM1" s="301"/>
      <c r="VAN1" s="301"/>
      <c r="VAO1" s="301"/>
      <c r="VAP1" s="301"/>
      <c r="VAQ1" s="301"/>
      <c r="VAR1" s="301"/>
      <c r="VAS1" s="301"/>
      <c r="VAT1" s="301"/>
      <c r="VAU1" s="301"/>
      <c r="VAV1" s="301"/>
      <c r="VAW1" s="301"/>
      <c r="VAX1" s="301"/>
      <c r="VAY1" s="301"/>
      <c r="VAZ1" s="301"/>
      <c r="VBA1" s="301"/>
      <c r="VBB1" s="301"/>
      <c r="VBC1" s="301"/>
      <c r="VBD1" s="301"/>
      <c r="VBE1" s="301"/>
      <c r="VBF1" s="301"/>
      <c r="VBG1" s="301"/>
      <c r="VBH1" s="301"/>
      <c r="VBI1" s="301"/>
      <c r="VBJ1" s="301"/>
      <c r="VBK1" s="301"/>
      <c r="VBL1" s="301"/>
      <c r="VBM1" s="301"/>
      <c r="VBN1" s="301"/>
      <c r="VBO1" s="301"/>
      <c r="VBP1" s="301"/>
      <c r="VBQ1" s="301"/>
      <c r="VBR1" s="301"/>
      <c r="VBS1" s="301"/>
      <c r="VBT1" s="301"/>
      <c r="VBU1" s="301"/>
      <c r="VBV1" s="301"/>
      <c r="VBW1" s="301"/>
      <c r="VBX1" s="301"/>
      <c r="VBY1" s="301"/>
      <c r="VBZ1" s="301"/>
      <c r="VCA1" s="301"/>
      <c r="VCB1" s="301"/>
      <c r="VCC1" s="301"/>
      <c r="VCD1" s="301"/>
      <c r="VCE1" s="301"/>
      <c r="VCF1" s="301"/>
      <c r="VCG1" s="301"/>
      <c r="VCH1" s="301"/>
      <c r="VCI1" s="301"/>
      <c r="VCJ1" s="301"/>
      <c r="VCK1" s="301"/>
      <c r="VCL1" s="301"/>
      <c r="VCM1" s="301"/>
      <c r="VCN1" s="301"/>
      <c r="VCO1" s="301"/>
      <c r="VCP1" s="301"/>
      <c r="VCQ1" s="301"/>
      <c r="VCR1" s="301"/>
      <c r="VCS1" s="301"/>
      <c r="VCT1" s="301"/>
      <c r="VCU1" s="301"/>
      <c r="VCV1" s="301"/>
      <c r="VCW1" s="301"/>
      <c r="VCX1" s="301"/>
      <c r="VCY1" s="301"/>
      <c r="VCZ1" s="301"/>
      <c r="VDA1" s="301"/>
      <c r="VDB1" s="301"/>
      <c r="VDC1" s="301"/>
      <c r="VDD1" s="301"/>
      <c r="VDE1" s="301"/>
      <c r="VDF1" s="301"/>
      <c r="VDG1" s="301"/>
      <c r="VDH1" s="301"/>
      <c r="VDI1" s="301"/>
      <c r="VDJ1" s="301"/>
      <c r="VDK1" s="301"/>
      <c r="VDL1" s="301"/>
      <c r="VDM1" s="301"/>
      <c r="VDN1" s="301"/>
      <c r="VDO1" s="301"/>
      <c r="VDP1" s="301"/>
      <c r="VDQ1" s="301"/>
      <c r="VDR1" s="301"/>
      <c r="VDS1" s="301"/>
      <c r="VDT1" s="301"/>
      <c r="VDU1" s="301"/>
      <c r="VDV1" s="301"/>
      <c r="VDW1" s="301"/>
      <c r="VDX1" s="301"/>
      <c r="VDY1" s="301"/>
      <c r="VDZ1" s="301"/>
      <c r="VEA1" s="301"/>
      <c r="VEB1" s="301"/>
      <c r="VEC1" s="301"/>
      <c r="VED1" s="301"/>
      <c r="VEE1" s="301"/>
      <c r="VEF1" s="301"/>
      <c r="VEG1" s="301"/>
      <c r="VEH1" s="301"/>
      <c r="VEI1" s="301"/>
      <c r="VEJ1" s="301"/>
      <c r="VEK1" s="301"/>
      <c r="VEL1" s="301"/>
      <c r="VEM1" s="301"/>
      <c r="VEN1" s="301"/>
      <c r="VEO1" s="301"/>
      <c r="VEP1" s="301"/>
      <c r="VEQ1" s="301"/>
      <c r="VER1" s="301"/>
      <c r="VES1" s="301"/>
      <c r="VET1" s="301"/>
      <c r="VEU1" s="301"/>
      <c r="VEV1" s="301"/>
      <c r="VEW1" s="301"/>
      <c r="VEX1" s="301"/>
      <c r="VEY1" s="301"/>
      <c r="VEZ1" s="301"/>
      <c r="VFA1" s="301"/>
      <c r="VFB1" s="301"/>
      <c r="VFC1" s="301"/>
      <c r="VFD1" s="301"/>
      <c r="VFE1" s="301"/>
      <c r="VFF1" s="301"/>
      <c r="VFG1" s="301"/>
      <c r="VFH1" s="301"/>
      <c r="VFI1" s="301"/>
      <c r="VFJ1" s="301"/>
      <c r="VFK1" s="301"/>
      <c r="VFL1" s="301"/>
      <c r="VFM1" s="301"/>
      <c r="VFN1" s="301"/>
      <c r="VFO1" s="301"/>
      <c r="VFP1" s="301"/>
      <c r="VFQ1" s="301"/>
      <c r="VFR1" s="301"/>
      <c r="VFS1" s="301"/>
      <c r="VFT1" s="301"/>
      <c r="VFU1" s="301"/>
      <c r="VFV1" s="301"/>
      <c r="VFW1" s="301"/>
      <c r="VFX1" s="301"/>
      <c r="VFY1" s="301"/>
      <c r="VFZ1" s="301"/>
      <c r="VGA1" s="301"/>
      <c r="VGB1" s="301"/>
      <c r="VGC1" s="301"/>
      <c r="VGD1" s="301"/>
      <c r="VGE1" s="301"/>
      <c r="VGF1" s="301"/>
      <c r="VGG1" s="301"/>
      <c r="VGH1" s="301"/>
      <c r="VGI1" s="301"/>
      <c r="VGJ1" s="301"/>
      <c r="VGK1" s="301"/>
      <c r="VGL1" s="301"/>
      <c r="VGM1" s="301"/>
      <c r="VGN1" s="301"/>
      <c r="VGO1" s="301"/>
      <c r="VGP1" s="301"/>
      <c r="VGQ1" s="301"/>
      <c r="VGR1" s="301"/>
      <c r="VGS1" s="301"/>
      <c r="VGT1" s="301"/>
      <c r="VGU1" s="301"/>
      <c r="VGV1" s="301"/>
      <c r="VGW1" s="301"/>
      <c r="VGX1" s="301"/>
      <c r="VGY1" s="301"/>
      <c r="VGZ1" s="301"/>
      <c r="VHA1" s="301"/>
      <c r="VHB1" s="301"/>
      <c r="VHC1" s="301"/>
      <c r="VHD1" s="301"/>
      <c r="VHE1" s="301"/>
      <c r="VHF1" s="301"/>
      <c r="VHG1" s="301"/>
      <c r="VHH1" s="301"/>
      <c r="VHI1" s="301"/>
      <c r="VHJ1" s="301"/>
      <c r="VHK1" s="301"/>
      <c r="VHL1" s="301"/>
      <c r="VHM1" s="301"/>
      <c r="VHN1" s="301"/>
      <c r="VHO1" s="301"/>
      <c r="VHP1" s="301"/>
      <c r="VHQ1" s="301"/>
      <c r="VHR1" s="301"/>
      <c r="VHS1" s="301"/>
      <c r="VHT1" s="301"/>
      <c r="VHU1" s="301"/>
      <c r="VHV1" s="301"/>
      <c r="VHW1" s="301"/>
      <c r="VHX1" s="301"/>
      <c r="VHY1" s="301"/>
      <c r="VHZ1" s="301"/>
      <c r="VIA1" s="301"/>
      <c r="VIB1" s="301"/>
      <c r="VIC1" s="301"/>
      <c r="VID1" s="301"/>
      <c r="VIE1" s="301"/>
      <c r="VIF1" s="301"/>
      <c r="VIG1" s="301"/>
      <c r="VIH1" s="301"/>
      <c r="VII1" s="301"/>
      <c r="VIJ1" s="301"/>
      <c r="VIK1" s="301"/>
      <c r="VIL1" s="301"/>
      <c r="VIM1" s="301"/>
      <c r="VIN1" s="301"/>
      <c r="VIO1" s="301"/>
      <c r="VIP1" s="301"/>
      <c r="VIQ1" s="301"/>
      <c r="VIR1" s="301"/>
      <c r="VIS1" s="301"/>
      <c r="VIT1" s="301"/>
      <c r="VIU1" s="301"/>
      <c r="VIV1" s="301"/>
      <c r="VIW1" s="301"/>
      <c r="VIX1" s="301"/>
      <c r="VIY1" s="301"/>
      <c r="VIZ1" s="301"/>
      <c r="VJA1" s="301"/>
      <c r="VJB1" s="301"/>
      <c r="VJC1" s="301"/>
      <c r="VJD1" s="301"/>
      <c r="VJE1" s="301"/>
      <c r="VJF1" s="301"/>
      <c r="VJG1" s="301"/>
      <c r="VJH1" s="301"/>
      <c r="VJI1" s="301"/>
      <c r="VJJ1" s="301"/>
      <c r="VJK1" s="301"/>
      <c r="VJL1" s="301"/>
      <c r="VJM1" s="301"/>
      <c r="VJN1" s="301"/>
      <c r="VJO1" s="301"/>
      <c r="VJP1" s="301"/>
      <c r="VJQ1" s="301"/>
      <c r="VJR1" s="301"/>
      <c r="VJS1" s="301"/>
      <c r="VJT1" s="301"/>
      <c r="VJU1" s="301"/>
      <c r="VJV1" s="301"/>
      <c r="VJW1" s="301"/>
      <c r="VJX1" s="301"/>
      <c r="VJY1" s="301"/>
      <c r="VJZ1" s="301"/>
      <c r="VKA1" s="301"/>
      <c r="VKB1" s="301"/>
      <c r="VKC1" s="301"/>
      <c r="VKD1" s="301"/>
      <c r="VKE1" s="301"/>
      <c r="VKF1" s="301"/>
      <c r="VKG1" s="301"/>
      <c r="VKH1" s="301"/>
      <c r="VKI1" s="301"/>
      <c r="VKJ1" s="301"/>
      <c r="VKK1" s="301"/>
      <c r="VKL1" s="301"/>
      <c r="VKM1" s="301"/>
      <c r="VKN1" s="301"/>
      <c r="VKO1" s="301"/>
      <c r="VKP1" s="301"/>
      <c r="VKQ1" s="301"/>
      <c r="VKR1" s="301"/>
      <c r="VKS1" s="301"/>
      <c r="VKT1" s="301"/>
      <c r="VKU1" s="301"/>
      <c r="VKV1" s="301"/>
      <c r="VKW1" s="301"/>
      <c r="VKX1" s="301"/>
      <c r="VKY1" s="301"/>
      <c r="VKZ1" s="301"/>
      <c r="VLA1" s="301"/>
      <c r="VLB1" s="301"/>
      <c r="VLC1" s="301"/>
      <c r="VLD1" s="301"/>
      <c r="VLE1" s="301"/>
      <c r="VLF1" s="301"/>
      <c r="VLG1" s="301"/>
      <c r="VLH1" s="301"/>
      <c r="VLI1" s="301"/>
      <c r="VLJ1" s="301"/>
      <c r="VLK1" s="301"/>
      <c r="VLL1" s="301"/>
      <c r="VLM1" s="301"/>
      <c r="VLN1" s="301"/>
      <c r="VLO1" s="301"/>
      <c r="VLP1" s="301"/>
      <c r="VLQ1" s="301"/>
      <c r="VLR1" s="301"/>
      <c r="VLS1" s="301"/>
      <c r="VLT1" s="301"/>
      <c r="VLU1" s="301"/>
      <c r="VLV1" s="301"/>
      <c r="VLW1" s="301"/>
      <c r="VLX1" s="301"/>
      <c r="VLY1" s="301"/>
      <c r="VLZ1" s="301"/>
      <c r="VMA1" s="301"/>
      <c r="VMB1" s="301"/>
      <c r="VMC1" s="301"/>
      <c r="VMD1" s="301"/>
      <c r="VME1" s="301"/>
      <c r="VMF1" s="301"/>
      <c r="VMG1" s="301"/>
      <c r="VMH1" s="301"/>
      <c r="VMI1" s="301"/>
      <c r="VMJ1" s="301"/>
      <c r="VMK1" s="301"/>
      <c r="VML1" s="301"/>
      <c r="VMM1" s="301"/>
      <c r="VMN1" s="301"/>
      <c r="VMO1" s="301"/>
      <c r="VMP1" s="301"/>
      <c r="VMQ1" s="301"/>
      <c r="VMR1" s="301"/>
      <c r="VMS1" s="301"/>
      <c r="VMT1" s="301"/>
      <c r="VMU1" s="301"/>
      <c r="VMV1" s="301"/>
      <c r="VMW1" s="301"/>
      <c r="VMX1" s="301"/>
      <c r="VMY1" s="301"/>
      <c r="VMZ1" s="301"/>
      <c r="VNA1" s="301"/>
      <c r="VNB1" s="301"/>
      <c r="VNC1" s="301"/>
      <c r="VND1" s="301"/>
      <c r="VNE1" s="301"/>
      <c r="VNF1" s="301"/>
      <c r="VNG1" s="301"/>
      <c r="VNH1" s="301"/>
      <c r="VNI1" s="301"/>
      <c r="VNJ1" s="301"/>
      <c r="VNK1" s="301"/>
      <c r="VNL1" s="301"/>
      <c r="VNM1" s="301"/>
      <c r="VNN1" s="301"/>
      <c r="VNO1" s="301"/>
      <c r="VNP1" s="301"/>
      <c r="VNQ1" s="301"/>
      <c r="VNR1" s="301"/>
      <c r="VNS1" s="301"/>
      <c r="VNT1" s="301"/>
      <c r="VNU1" s="301"/>
      <c r="VNV1" s="301"/>
      <c r="VNW1" s="301"/>
      <c r="VNX1" s="301"/>
      <c r="VNY1" s="301"/>
      <c r="VNZ1" s="301"/>
      <c r="VOA1" s="301"/>
      <c r="VOB1" s="301"/>
      <c r="VOC1" s="301"/>
      <c r="VOD1" s="301"/>
      <c r="VOE1" s="301"/>
      <c r="VOF1" s="301"/>
      <c r="VOG1" s="301"/>
      <c r="VOH1" s="301"/>
      <c r="VOI1" s="301"/>
      <c r="VOJ1" s="301"/>
      <c r="VOK1" s="301"/>
      <c r="VOL1" s="301"/>
      <c r="VOM1" s="301"/>
      <c r="VON1" s="301"/>
      <c r="VOO1" s="301"/>
      <c r="VOP1" s="301"/>
      <c r="VOQ1" s="301"/>
      <c r="VOR1" s="301"/>
      <c r="VOS1" s="301"/>
      <c r="VOT1" s="301"/>
      <c r="VOU1" s="301"/>
      <c r="VOV1" s="301"/>
      <c r="VOW1" s="301"/>
      <c r="VOX1" s="301"/>
      <c r="VOY1" s="301"/>
      <c r="VOZ1" s="301"/>
      <c r="VPA1" s="301"/>
      <c r="VPB1" s="301"/>
      <c r="VPC1" s="301"/>
      <c r="VPD1" s="301"/>
      <c r="VPE1" s="301"/>
      <c r="VPF1" s="301"/>
      <c r="VPG1" s="301"/>
      <c r="VPH1" s="301"/>
      <c r="VPI1" s="301"/>
      <c r="VPJ1" s="301"/>
      <c r="VPK1" s="301"/>
      <c r="VPL1" s="301"/>
      <c r="VPM1" s="301"/>
      <c r="VPN1" s="301"/>
      <c r="VPO1" s="301"/>
      <c r="VPP1" s="301"/>
      <c r="VPQ1" s="301"/>
      <c r="VPR1" s="301"/>
      <c r="VPS1" s="301"/>
      <c r="VPT1" s="301"/>
      <c r="VPU1" s="301"/>
      <c r="VPV1" s="301"/>
      <c r="VPW1" s="301"/>
      <c r="VPX1" s="301"/>
      <c r="VPY1" s="301"/>
      <c r="VPZ1" s="301"/>
      <c r="VQA1" s="301"/>
      <c r="VQB1" s="301"/>
      <c r="VQC1" s="301"/>
      <c r="VQD1" s="301"/>
      <c r="VQE1" s="301"/>
      <c r="VQF1" s="301"/>
      <c r="VQG1" s="301"/>
      <c r="VQH1" s="301"/>
      <c r="VQI1" s="301"/>
      <c r="VQJ1" s="301"/>
      <c r="VQK1" s="301"/>
      <c r="VQL1" s="301"/>
      <c r="VQM1" s="301"/>
      <c r="VQN1" s="301"/>
      <c r="VQO1" s="301"/>
      <c r="VQP1" s="301"/>
      <c r="VQQ1" s="301"/>
      <c r="VQR1" s="301"/>
      <c r="VQS1" s="301"/>
      <c r="VQT1" s="301"/>
      <c r="VQU1" s="301"/>
      <c r="VQV1" s="301"/>
      <c r="VQW1" s="301"/>
      <c r="VQX1" s="301"/>
      <c r="VQY1" s="301"/>
      <c r="VQZ1" s="301"/>
      <c r="VRA1" s="301"/>
      <c r="VRB1" s="301"/>
      <c r="VRC1" s="301"/>
      <c r="VRD1" s="301"/>
      <c r="VRE1" s="301"/>
      <c r="VRF1" s="301"/>
      <c r="VRG1" s="301"/>
      <c r="VRH1" s="301"/>
      <c r="VRI1" s="301"/>
      <c r="VRJ1" s="301"/>
      <c r="VRK1" s="301"/>
      <c r="VRL1" s="301"/>
      <c r="VRM1" s="301"/>
      <c r="VRN1" s="301"/>
      <c r="VRO1" s="301"/>
      <c r="VRP1" s="301"/>
      <c r="VRQ1" s="301"/>
      <c r="VRR1" s="301"/>
      <c r="VRS1" s="301"/>
      <c r="VRT1" s="301"/>
      <c r="VRU1" s="301"/>
      <c r="VRV1" s="301"/>
      <c r="VRW1" s="301"/>
      <c r="VRX1" s="301"/>
      <c r="VRY1" s="301"/>
      <c r="VRZ1" s="301"/>
      <c r="VSA1" s="301"/>
      <c r="VSB1" s="301"/>
      <c r="VSC1" s="301"/>
      <c r="VSD1" s="301"/>
      <c r="VSE1" s="301"/>
      <c r="VSF1" s="301"/>
      <c r="VSG1" s="301"/>
      <c r="VSH1" s="301"/>
      <c r="VSI1" s="301"/>
      <c r="VSJ1" s="301"/>
      <c r="VSK1" s="301"/>
      <c r="VSL1" s="301"/>
      <c r="VSM1" s="301"/>
      <c r="VSN1" s="301"/>
      <c r="VSO1" s="301"/>
      <c r="VSP1" s="301"/>
      <c r="VSQ1" s="301"/>
      <c r="VSR1" s="301"/>
      <c r="VSS1" s="301"/>
      <c r="VST1" s="301"/>
      <c r="VSU1" s="301"/>
      <c r="VSV1" s="301"/>
      <c r="VSW1" s="301"/>
      <c r="VSX1" s="301"/>
      <c r="VSY1" s="301"/>
      <c r="VSZ1" s="301"/>
      <c r="VTA1" s="301"/>
      <c r="VTB1" s="301"/>
      <c r="VTC1" s="301"/>
      <c r="VTD1" s="301"/>
      <c r="VTE1" s="301"/>
      <c r="VTF1" s="301"/>
      <c r="VTG1" s="301"/>
      <c r="VTH1" s="301"/>
      <c r="VTI1" s="301"/>
      <c r="VTJ1" s="301"/>
      <c r="VTK1" s="301"/>
      <c r="VTL1" s="301"/>
      <c r="VTM1" s="301"/>
      <c r="VTN1" s="301"/>
      <c r="VTO1" s="301"/>
      <c r="VTP1" s="301"/>
      <c r="VTQ1" s="301"/>
      <c r="VTR1" s="301"/>
      <c r="VTS1" s="301"/>
      <c r="VTT1" s="301"/>
      <c r="VTU1" s="301"/>
      <c r="VTV1" s="301"/>
      <c r="VTW1" s="301"/>
      <c r="VTX1" s="301"/>
      <c r="VTY1" s="301"/>
      <c r="VTZ1" s="301"/>
      <c r="VUA1" s="301"/>
      <c r="VUB1" s="301"/>
      <c r="VUC1" s="301"/>
      <c r="VUD1" s="301"/>
      <c r="VUE1" s="301"/>
      <c r="VUF1" s="301"/>
      <c r="VUG1" s="301"/>
      <c r="VUH1" s="301"/>
      <c r="VUI1" s="301"/>
      <c r="VUJ1" s="301"/>
      <c r="VUK1" s="301"/>
      <c r="VUL1" s="301"/>
      <c r="VUM1" s="301"/>
      <c r="VUN1" s="301"/>
      <c r="VUO1" s="301"/>
      <c r="VUP1" s="301"/>
      <c r="VUQ1" s="301"/>
      <c r="VUR1" s="301"/>
      <c r="VUS1" s="301"/>
      <c r="VUT1" s="301"/>
      <c r="VUU1" s="301"/>
      <c r="VUV1" s="301"/>
      <c r="VUW1" s="301"/>
      <c r="VUX1" s="301"/>
      <c r="VUY1" s="301"/>
      <c r="VUZ1" s="301"/>
      <c r="VVA1" s="301"/>
      <c r="VVB1" s="301"/>
      <c r="VVC1" s="301"/>
      <c r="VVD1" s="301"/>
      <c r="VVE1" s="301"/>
      <c r="VVF1" s="301"/>
      <c r="VVG1" s="301"/>
      <c r="VVH1" s="301"/>
      <c r="VVI1" s="301"/>
      <c r="VVJ1" s="301"/>
      <c r="VVK1" s="301"/>
      <c r="VVL1" s="301"/>
      <c r="VVM1" s="301"/>
      <c r="VVN1" s="301"/>
      <c r="VVO1" s="301"/>
      <c r="VVP1" s="301"/>
      <c r="VVQ1" s="301"/>
      <c r="VVR1" s="301"/>
      <c r="VVS1" s="301"/>
      <c r="VVT1" s="301"/>
      <c r="VVU1" s="301"/>
      <c r="VVV1" s="301"/>
      <c r="VVW1" s="301"/>
      <c r="VVX1" s="301"/>
      <c r="VVY1" s="301"/>
      <c r="VVZ1" s="301"/>
      <c r="VWA1" s="301"/>
      <c r="VWB1" s="301"/>
      <c r="VWC1" s="301"/>
      <c r="VWD1" s="301"/>
      <c r="VWE1" s="301"/>
      <c r="VWF1" s="301"/>
      <c r="VWG1" s="301"/>
      <c r="VWH1" s="301"/>
      <c r="VWI1" s="301"/>
      <c r="VWJ1" s="301"/>
      <c r="VWK1" s="301"/>
      <c r="VWL1" s="301"/>
      <c r="VWM1" s="301"/>
      <c r="VWN1" s="301"/>
      <c r="VWO1" s="301"/>
      <c r="VWP1" s="301"/>
      <c r="VWQ1" s="301"/>
      <c r="VWR1" s="301"/>
      <c r="VWS1" s="301"/>
      <c r="VWT1" s="301"/>
      <c r="VWU1" s="301"/>
      <c r="VWV1" s="301"/>
      <c r="VWW1" s="301"/>
      <c r="VWX1" s="301"/>
      <c r="VWY1" s="301"/>
      <c r="VWZ1" s="301"/>
      <c r="VXA1" s="301"/>
      <c r="VXB1" s="301"/>
      <c r="VXC1" s="301"/>
      <c r="VXD1" s="301"/>
      <c r="VXE1" s="301"/>
      <c r="VXF1" s="301"/>
      <c r="VXG1" s="301"/>
      <c r="VXH1" s="301"/>
      <c r="VXI1" s="301"/>
      <c r="VXJ1" s="301"/>
      <c r="VXK1" s="301"/>
      <c r="VXL1" s="301"/>
      <c r="VXM1" s="301"/>
      <c r="VXN1" s="301"/>
      <c r="VXO1" s="301"/>
      <c r="VXP1" s="301"/>
      <c r="VXQ1" s="301"/>
      <c r="VXR1" s="301"/>
      <c r="VXS1" s="301"/>
      <c r="VXT1" s="301"/>
      <c r="VXU1" s="301"/>
      <c r="VXV1" s="301"/>
      <c r="VXW1" s="301"/>
      <c r="VXX1" s="301"/>
      <c r="VXY1" s="301"/>
      <c r="VXZ1" s="301"/>
      <c r="VYA1" s="301"/>
      <c r="VYB1" s="301"/>
      <c r="VYC1" s="301"/>
      <c r="VYD1" s="301"/>
      <c r="VYE1" s="301"/>
      <c r="VYF1" s="301"/>
      <c r="VYG1" s="301"/>
      <c r="VYH1" s="301"/>
      <c r="VYI1" s="301"/>
      <c r="VYJ1" s="301"/>
      <c r="VYK1" s="301"/>
      <c r="VYL1" s="301"/>
      <c r="VYM1" s="301"/>
      <c r="VYN1" s="301"/>
      <c r="VYO1" s="301"/>
      <c r="VYP1" s="301"/>
      <c r="VYQ1" s="301"/>
      <c r="VYR1" s="301"/>
      <c r="VYS1" s="301"/>
      <c r="VYT1" s="301"/>
      <c r="VYU1" s="301"/>
      <c r="VYV1" s="301"/>
      <c r="VYW1" s="301"/>
      <c r="VYX1" s="301"/>
      <c r="VYY1" s="301"/>
      <c r="VYZ1" s="301"/>
      <c r="VZA1" s="301"/>
      <c r="VZB1" s="301"/>
      <c r="VZC1" s="301"/>
      <c r="VZD1" s="301"/>
      <c r="VZE1" s="301"/>
      <c r="VZF1" s="301"/>
      <c r="VZG1" s="301"/>
      <c r="VZH1" s="301"/>
      <c r="VZI1" s="301"/>
      <c r="VZJ1" s="301"/>
      <c r="VZK1" s="301"/>
      <c r="VZL1" s="301"/>
      <c r="VZM1" s="301"/>
      <c r="VZN1" s="301"/>
      <c r="VZO1" s="301"/>
      <c r="VZP1" s="301"/>
      <c r="VZQ1" s="301"/>
      <c r="VZR1" s="301"/>
      <c r="VZS1" s="301"/>
      <c r="VZT1" s="301"/>
      <c r="VZU1" s="301"/>
      <c r="VZV1" s="301"/>
      <c r="VZW1" s="301"/>
      <c r="VZX1" s="301"/>
      <c r="VZY1" s="301"/>
      <c r="VZZ1" s="301"/>
      <c r="WAA1" s="301"/>
      <c r="WAB1" s="301"/>
      <c r="WAC1" s="301"/>
      <c r="WAD1" s="301"/>
      <c r="WAE1" s="301"/>
      <c r="WAF1" s="301"/>
      <c r="WAG1" s="301"/>
      <c r="WAH1" s="301"/>
      <c r="WAI1" s="301"/>
      <c r="WAJ1" s="301"/>
      <c r="WAK1" s="301"/>
      <c r="WAL1" s="301"/>
      <c r="WAM1" s="301"/>
      <c r="WAN1" s="301"/>
      <c r="WAO1" s="301"/>
      <c r="WAP1" s="301"/>
      <c r="WAQ1" s="301"/>
      <c r="WAR1" s="301"/>
      <c r="WAS1" s="301"/>
      <c r="WAT1" s="301"/>
      <c r="WAU1" s="301"/>
      <c r="WAV1" s="301"/>
      <c r="WAW1" s="301"/>
      <c r="WAX1" s="301"/>
      <c r="WAY1" s="301"/>
      <c r="WAZ1" s="301"/>
      <c r="WBA1" s="301"/>
      <c r="WBB1" s="301"/>
      <c r="WBC1" s="301"/>
      <c r="WBD1" s="301"/>
      <c r="WBE1" s="301"/>
      <c r="WBF1" s="301"/>
      <c r="WBG1" s="301"/>
      <c r="WBH1" s="301"/>
      <c r="WBI1" s="301"/>
      <c r="WBJ1" s="301"/>
      <c r="WBK1" s="301"/>
      <c r="WBL1" s="301"/>
      <c r="WBM1" s="301"/>
      <c r="WBN1" s="301"/>
      <c r="WBO1" s="301"/>
      <c r="WBP1" s="301"/>
      <c r="WBQ1" s="301"/>
      <c r="WBR1" s="301"/>
      <c r="WBS1" s="301"/>
      <c r="WBT1" s="301"/>
      <c r="WBU1" s="301"/>
      <c r="WBV1" s="301"/>
      <c r="WBW1" s="301"/>
      <c r="WBX1" s="301"/>
      <c r="WBY1" s="301"/>
      <c r="WBZ1" s="301"/>
      <c r="WCA1" s="301"/>
      <c r="WCB1" s="301"/>
      <c r="WCC1" s="301"/>
      <c r="WCD1" s="301"/>
      <c r="WCE1" s="301"/>
      <c r="WCF1" s="301"/>
      <c r="WCG1" s="301"/>
      <c r="WCH1" s="301"/>
      <c r="WCI1" s="301"/>
      <c r="WCJ1" s="301"/>
      <c r="WCK1" s="301"/>
      <c r="WCL1" s="301"/>
      <c r="WCM1" s="301"/>
      <c r="WCN1" s="301"/>
      <c r="WCO1" s="301"/>
      <c r="WCP1" s="301"/>
      <c r="WCQ1" s="301"/>
      <c r="WCR1" s="301"/>
      <c r="WCS1" s="301"/>
      <c r="WCT1" s="301"/>
      <c r="WCU1" s="301"/>
      <c r="WCV1" s="301"/>
      <c r="WCW1" s="301"/>
      <c r="WCX1" s="301"/>
      <c r="WCY1" s="301"/>
      <c r="WCZ1" s="301"/>
      <c r="WDA1" s="301"/>
      <c r="WDB1" s="301"/>
      <c r="WDC1" s="301"/>
      <c r="WDD1" s="301"/>
      <c r="WDE1" s="301"/>
      <c r="WDF1" s="301"/>
      <c r="WDG1" s="301"/>
      <c r="WDH1" s="301"/>
      <c r="WDI1" s="301"/>
      <c r="WDJ1" s="301"/>
      <c r="WDK1" s="301"/>
      <c r="WDL1" s="301"/>
      <c r="WDM1" s="301"/>
      <c r="WDN1" s="301"/>
      <c r="WDO1" s="301"/>
      <c r="WDP1" s="301"/>
      <c r="WDQ1" s="301"/>
      <c r="WDR1" s="301"/>
      <c r="WDS1" s="301"/>
      <c r="WDT1" s="301"/>
      <c r="WDU1" s="301"/>
      <c r="WDV1" s="301"/>
      <c r="WDW1" s="301"/>
      <c r="WDX1" s="301"/>
      <c r="WDY1" s="301"/>
      <c r="WDZ1" s="301"/>
      <c r="WEA1" s="301"/>
      <c r="WEB1" s="301"/>
      <c r="WEC1" s="301"/>
      <c r="WED1" s="301"/>
      <c r="WEE1" s="301"/>
      <c r="WEF1" s="301"/>
      <c r="WEG1" s="301"/>
      <c r="WEH1" s="301"/>
      <c r="WEI1" s="301"/>
      <c r="WEJ1" s="301"/>
      <c r="WEK1" s="301"/>
      <c r="WEL1" s="301"/>
      <c r="WEM1" s="301"/>
      <c r="WEN1" s="301"/>
      <c r="WEO1" s="301"/>
      <c r="WEP1" s="301"/>
      <c r="WEQ1" s="301"/>
      <c r="WER1" s="301"/>
      <c r="WES1" s="301"/>
      <c r="WET1" s="301"/>
      <c r="WEU1" s="301"/>
      <c r="WEV1" s="301"/>
      <c r="WEW1" s="301"/>
      <c r="WEX1" s="301"/>
      <c r="WEY1" s="301"/>
      <c r="WEZ1" s="301"/>
      <c r="WFA1" s="301"/>
      <c r="WFB1" s="301"/>
      <c r="WFC1" s="301"/>
      <c r="WFD1" s="301"/>
      <c r="WFE1" s="301"/>
      <c r="WFF1" s="301"/>
      <c r="WFG1" s="301"/>
      <c r="WFH1" s="301"/>
      <c r="WFI1" s="301"/>
      <c r="WFJ1" s="301"/>
      <c r="WFK1" s="301"/>
      <c r="WFL1" s="301"/>
      <c r="WFM1" s="301"/>
      <c r="WFN1" s="301"/>
      <c r="WFO1" s="301"/>
      <c r="WFP1" s="301"/>
      <c r="WFQ1" s="301"/>
      <c r="WFR1" s="301"/>
      <c r="WFS1" s="301"/>
      <c r="WFT1" s="301"/>
      <c r="WFU1" s="301"/>
      <c r="WFV1" s="301"/>
      <c r="WFW1" s="301"/>
      <c r="WFX1" s="301"/>
      <c r="WFY1" s="301"/>
      <c r="WFZ1" s="301"/>
      <c r="WGA1" s="301"/>
      <c r="WGB1" s="301"/>
      <c r="WGC1" s="301"/>
      <c r="WGD1" s="301"/>
      <c r="WGE1" s="301"/>
      <c r="WGF1" s="301"/>
      <c r="WGG1" s="301"/>
      <c r="WGH1" s="301"/>
      <c r="WGI1" s="301"/>
      <c r="WGJ1" s="301"/>
      <c r="WGK1" s="301"/>
      <c r="WGL1" s="301"/>
      <c r="WGM1" s="301"/>
      <c r="WGN1" s="301"/>
      <c r="WGO1" s="301"/>
      <c r="WGP1" s="301"/>
      <c r="WGQ1" s="301"/>
      <c r="WGR1" s="301"/>
      <c r="WGS1" s="301"/>
      <c r="WGT1" s="301"/>
      <c r="WGU1" s="301"/>
      <c r="WGV1" s="301"/>
      <c r="WGW1" s="301"/>
      <c r="WGX1" s="301"/>
      <c r="WGY1" s="301"/>
      <c r="WGZ1" s="301"/>
      <c r="WHA1" s="301"/>
      <c r="WHB1" s="301"/>
      <c r="WHC1" s="301"/>
      <c r="WHD1" s="301"/>
      <c r="WHE1" s="301"/>
      <c r="WHF1" s="301"/>
      <c r="WHG1" s="301"/>
      <c r="WHH1" s="301"/>
      <c r="WHI1" s="301"/>
      <c r="WHJ1" s="301"/>
      <c r="WHK1" s="301"/>
      <c r="WHL1" s="301"/>
      <c r="WHM1" s="301"/>
      <c r="WHN1" s="301"/>
      <c r="WHO1" s="301"/>
      <c r="WHP1" s="301"/>
      <c r="WHQ1" s="301"/>
      <c r="WHR1" s="301"/>
      <c r="WHS1" s="301"/>
      <c r="WHT1" s="301"/>
      <c r="WHU1" s="301"/>
      <c r="WHV1" s="301"/>
      <c r="WHW1" s="301"/>
      <c r="WHX1" s="301"/>
      <c r="WHY1" s="301"/>
      <c r="WHZ1" s="301"/>
      <c r="WIA1" s="301"/>
      <c r="WIB1" s="301"/>
      <c r="WIC1" s="301"/>
      <c r="WID1" s="301"/>
      <c r="WIE1" s="301"/>
      <c r="WIF1" s="301"/>
      <c r="WIG1" s="301"/>
      <c r="WIH1" s="301"/>
      <c r="WII1" s="301"/>
      <c r="WIJ1" s="301"/>
      <c r="WIK1" s="301"/>
      <c r="WIL1" s="301"/>
      <c r="WIM1" s="301"/>
      <c r="WIN1" s="301"/>
      <c r="WIO1" s="301"/>
      <c r="WIP1" s="301"/>
      <c r="WIQ1" s="301"/>
      <c r="WIR1" s="301"/>
      <c r="WIS1" s="301"/>
      <c r="WIT1" s="301"/>
      <c r="WIU1" s="301"/>
      <c r="WIV1" s="301"/>
      <c r="WIW1" s="301"/>
      <c r="WIX1" s="301"/>
      <c r="WIY1" s="301"/>
      <c r="WIZ1" s="301"/>
      <c r="WJA1" s="301"/>
      <c r="WJB1" s="301"/>
      <c r="WJC1" s="301"/>
      <c r="WJD1" s="301"/>
      <c r="WJE1" s="301"/>
      <c r="WJF1" s="301"/>
      <c r="WJG1" s="301"/>
      <c r="WJH1" s="301"/>
      <c r="WJI1" s="301"/>
      <c r="WJJ1" s="301"/>
      <c r="WJK1" s="301"/>
      <c r="WJL1" s="301"/>
      <c r="WJM1" s="301"/>
      <c r="WJN1" s="301"/>
      <c r="WJO1" s="301"/>
      <c r="WJP1" s="301"/>
      <c r="WJQ1" s="301"/>
      <c r="WJR1" s="301"/>
      <c r="WJS1" s="301"/>
      <c r="WJT1" s="301"/>
      <c r="WJU1" s="301"/>
      <c r="WJV1" s="301"/>
      <c r="WJW1" s="301"/>
      <c r="WJX1" s="301"/>
      <c r="WJY1" s="301"/>
      <c r="WJZ1" s="301"/>
      <c r="WKA1" s="301"/>
      <c r="WKB1" s="301"/>
      <c r="WKC1" s="301"/>
      <c r="WKD1" s="301"/>
      <c r="WKE1" s="301"/>
      <c r="WKF1" s="301"/>
      <c r="WKG1" s="301"/>
      <c r="WKH1" s="301"/>
      <c r="WKI1" s="301"/>
      <c r="WKJ1" s="301"/>
      <c r="WKK1" s="301"/>
      <c r="WKL1" s="301"/>
      <c r="WKM1" s="301"/>
      <c r="WKN1" s="301"/>
      <c r="WKO1" s="301"/>
      <c r="WKP1" s="301"/>
      <c r="WKQ1" s="301"/>
      <c r="WKR1" s="301"/>
      <c r="WKS1" s="301"/>
      <c r="WKT1" s="301"/>
      <c r="WKU1" s="301"/>
      <c r="WKV1" s="301"/>
      <c r="WKW1" s="301"/>
      <c r="WKX1" s="301"/>
      <c r="WKY1" s="301"/>
      <c r="WKZ1" s="301"/>
      <c r="WLA1" s="301"/>
      <c r="WLB1" s="301"/>
      <c r="WLC1" s="301"/>
      <c r="WLD1" s="301"/>
      <c r="WLE1" s="301"/>
      <c r="WLF1" s="301"/>
      <c r="WLG1" s="301"/>
      <c r="WLH1" s="301"/>
      <c r="WLI1" s="301"/>
      <c r="WLJ1" s="301"/>
      <c r="WLK1" s="301"/>
      <c r="WLL1" s="301"/>
      <c r="WLM1" s="301"/>
      <c r="WLN1" s="301"/>
      <c r="WLO1" s="301"/>
      <c r="WLP1" s="301"/>
      <c r="WLQ1" s="301"/>
      <c r="WLR1" s="301"/>
      <c r="WLS1" s="301"/>
      <c r="WLT1" s="301"/>
      <c r="WLU1" s="301"/>
      <c r="WLV1" s="301"/>
      <c r="WLW1" s="301"/>
      <c r="WLX1" s="301"/>
      <c r="WLY1" s="301"/>
      <c r="WLZ1" s="301"/>
      <c r="WMA1" s="301"/>
      <c r="WMB1" s="301"/>
      <c r="WMC1" s="301"/>
      <c r="WMD1" s="301"/>
      <c r="WME1" s="301"/>
      <c r="WMF1" s="301"/>
      <c r="WMG1" s="301"/>
      <c r="WMH1" s="301"/>
      <c r="WMI1" s="301"/>
      <c r="WMJ1" s="301"/>
      <c r="WMK1" s="301"/>
      <c r="WML1" s="301"/>
      <c r="WMM1" s="301"/>
      <c r="WMN1" s="301"/>
      <c r="WMO1" s="301"/>
      <c r="WMP1" s="301"/>
      <c r="WMQ1" s="301"/>
      <c r="WMR1" s="301"/>
      <c r="WMS1" s="301"/>
      <c r="WMT1" s="301"/>
      <c r="WMU1" s="301"/>
      <c r="WMV1" s="301"/>
      <c r="WMW1" s="301"/>
      <c r="WMX1" s="301"/>
      <c r="WMY1" s="301"/>
      <c r="WMZ1" s="301"/>
      <c r="WNA1" s="301"/>
      <c r="WNB1" s="301"/>
      <c r="WNC1" s="301"/>
      <c r="WND1" s="301"/>
      <c r="WNE1" s="301"/>
      <c r="WNF1" s="301"/>
      <c r="WNG1" s="301"/>
      <c r="WNH1" s="301"/>
      <c r="WNI1" s="301"/>
      <c r="WNJ1" s="301"/>
      <c r="WNK1" s="301"/>
      <c r="WNL1" s="301"/>
      <c r="WNM1" s="301"/>
      <c r="WNN1" s="301"/>
      <c r="WNO1" s="301"/>
      <c r="WNP1" s="301"/>
      <c r="WNQ1" s="301"/>
      <c r="WNR1" s="301"/>
      <c r="WNS1" s="301"/>
      <c r="WNT1" s="301"/>
      <c r="WNU1" s="301"/>
      <c r="WNV1" s="301"/>
      <c r="WNW1" s="301"/>
      <c r="WNX1" s="301"/>
      <c r="WNY1" s="301"/>
      <c r="WNZ1" s="301"/>
      <c r="WOA1" s="301"/>
      <c r="WOB1" s="301"/>
      <c r="WOC1" s="301"/>
      <c r="WOD1" s="301"/>
      <c r="WOE1" s="301"/>
      <c r="WOF1" s="301"/>
      <c r="WOG1" s="301"/>
      <c r="WOH1" s="301"/>
      <c r="WOI1" s="301"/>
      <c r="WOJ1" s="301"/>
      <c r="WOK1" s="301"/>
      <c r="WOL1" s="301"/>
      <c r="WOM1" s="301"/>
      <c r="WON1" s="301"/>
      <c r="WOO1" s="301"/>
      <c r="WOP1" s="301"/>
      <c r="WOQ1" s="301"/>
      <c r="WOR1" s="301"/>
      <c r="WOS1" s="301"/>
      <c r="WOT1" s="301"/>
      <c r="WOU1" s="301"/>
      <c r="WOV1" s="301"/>
      <c r="WOW1" s="301"/>
      <c r="WOX1" s="301"/>
      <c r="WOY1" s="301"/>
      <c r="WOZ1" s="301"/>
      <c r="WPA1" s="301"/>
      <c r="WPB1" s="301"/>
      <c r="WPC1" s="301"/>
      <c r="WPD1" s="301"/>
      <c r="WPE1" s="301"/>
      <c r="WPF1" s="301"/>
      <c r="WPG1" s="301"/>
      <c r="WPH1" s="301"/>
      <c r="WPI1" s="301"/>
      <c r="WPJ1" s="301"/>
      <c r="WPK1" s="301"/>
      <c r="WPL1" s="301"/>
      <c r="WPM1" s="301"/>
      <c r="WPN1" s="301"/>
      <c r="WPO1" s="301"/>
      <c r="WPP1" s="301"/>
      <c r="WPQ1" s="301"/>
      <c r="WPR1" s="301"/>
      <c r="WPS1" s="301"/>
      <c r="WPT1" s="301"/>
      <c r="WPU1" s="301"/>
      <c r="WPV1" s="301"/>
      <c r="WPW1" s="301"/>
      <c r="WPX1" s="301"/>
      <c r="WPY1" s="301"/>
      <c r="WPZ1" s="301"/>
      <c r="WQA1" s="301"/>
      <c r="WQB1" s="301"/>
      <c r="WQC1" s="301"/>
      <c r="WQD1" s="301"/>
      <c r="WQE1" s="301"/>
      <c r="WQF1" s="301"/>
      <c r="WQG1" s="301"/>
      <c r="WQH1" s="301"/>
      <c r="WQI1" s="301"/>
      <c r="WQJ1" s="301"/>
      <c r="WQK1" s="301"/>
      <c r="WQL1" s="301"/>
      <c r="WQM1" s="301"/>
      <c r="WQN1" s="301"/>
      <c r="WQO1" s="301"/>
      <c r="WQP1" s="301"/>
      <c r="WQQ1" s="301"/>
      <c r="WQR1" s="301"/>
      <c r="WQS1" s="301"/>
      <c r="WQT1" s="301"/>
      <c r="WQU1" s="301"/>
      <c r="WQV1" s="301"/>
      <c r="WQW1" s="301"/>
      <c r="WQX1" s="301"/>
      <c r="WQY1" s="301"/>
      <c r="WQZ1" s="301"/>
      <c r="WRA1" s="301"/>
      <c r="WRB1" s="301"/>
      <c r="WRC1" s="301"/>
      <c r="WRD1" s="301"/>
      <c r="WRE1" s="301"/>
      <c r="WRF1" s="301"/>
      <c r="WRG1" s="301"/>
      <c r="WRH1" s="301"/>
      <c r="WRI1" s="301"/>
      <c r="WRJ1" s="301"/>
      <c r="WRK1" s="301"/>
      <c r="WRL1" s="301"/>
      <c r="WRM1" s="301"/>
      <c r="WRN1" s="301"/>
      <c r="WRO1" s="301"/>
      <c r="WRP1" s="301"/>
      <c r="WRQ1" s="301"/>
      <c r="WRR1" s="301"/>
      <c r="WRS1" s="301"/>
      <c r="WRT1" s="301"/>
      <c r="WRU1" s="301"/>
      <c r="WRV1" s="301"/>
      <c r="WRW1" s="301"/>
      <c r="WRX1" s="301"/>
      <c r="WRY1" s="301"/>
      <c r="WRZ1" s="301"/>
      <c r="WSA1" s="301"/>
      <c r="WSB1" s="301"/>
      <c r="WSC1" s="301"/>
      <c r="WSD1" s="301"/>
      <c r="WSE1" s="301"/>
      <c r="WSF1" s="301"/>
      <c r="WSG1" s="301"/>
      <c r="WSH1" s="301"/>
      <c r="WSI1" s="301"/>
      <c r="WSJ1" s="301"/>
      <c r="WSK1" s="301"/>
      <c r="WSL1" s="301"/>
      <c r="WSM1" s="301"/>
      <c r="WSN1" s="301"/>
      <c r="WSO1" s="301"/>
      <c r="WSP1" s="301"/>
      <c r="WSQ1" s="301"/>
      <c r="WSR1" s="301"/>
      <c r="WSS1" s="301"/>
      <c r="WST1" s="301"/>
      <c r="WSU1" s="301"/>
      <c r="WSV1" s="301"/>
      <c r="WSW1" s="301"/>
      <c r="WSX1" s="301"/>
      <c r="WSY1" s="301"/>
      <c r="WSZ1" s="301"/>
      <c r="WTA1" s="301"/>
      <c r="WTB1" s="301"/>
      <c r="WTC1" s="301"/>
      <c r="WTD1" s="301"/>
      <c r="WTE1" s="301"/>
      <c r="WTF1" s="301"/>
      <c r="WTG1" s="301"/>
      <c r="WTH1" s="301"/>
      <c r="WTI1" s="301"/>
      <c r="WTJ1" s="301"/>
      <c r="WTK1" s="301"/>
      <c r="WTL1" s="301"/>
      <c r="WTM1" s="301"/>
      <c r="WTN1" s="301"/>
      <c r="WTO1" s="301"/>
      <c r="WTP1" s="301"/>
      <c r="WTQ1" s="301"/>
      <c r="WTR1" s="301"/>
      <c r="WTS1" s="301"/>
      <c r="WTT1" s="301"/>
      <c r="WTU1" s="301"/>
      <c r="WTV1" s="301"/>
      <c r="WTW1" s="301"/>
      <c r="WTX1" s="301"/>
      <c r="WTY1" s="301"/>
      <c r="WTZ1" s="301"/>
      <c r="WUA1" s="301"/>
      <c r="WUB1" s="301"/>
      <c r="WUC1" s="301"/>
      <c r="WUD1" s="301"/>
      <c r="WUE1" s="301"/>
      <c r="WUF1" s="301"/>
      <c r="WUG1" s="301"/>
      <c r="WUH1" s="301"/>
      <c r="WUI1" s="301"/>
      <c r="WUJ1" s="301"/>
      <c r="WUK1" s="301"/>
      <c r="WUL1" s="301"/>
      <c r="WUM1" s="301"/>
      <c r="WUN1" s="301"/>
      <c r="WUO1" s="301"/>
      <c r="WUP1" s="301"/>
      <c r="WUQ1" s="301"/>
      <c r="WUR1" s="301"/>
      <c r="WUS1" s="301"/>
      <c r="WUT1" s="301"/>
      <c r="WUU1" s="301"/>
      <c r="WUV1" s="301"/>
      <c r="WUW1" s="301"/>
      <c r="WUX1" s="301"/>
      <c r="WUY1" s="301"/>
      <c r="WUZ1" s="301"/>
      <c r="WVA1" s="301"/>
      <c r="WVB1" s="301"/>
      <c r="WVC1" s="301"/>
      <c r="WVD1" s="301"/>
      <c r="WVE1" s="301"/>
      <c r="WVF1" s="301"/>
      <c r="WVG1" s="301"/>
      <c r="WVH1" s="301"/>
      <c r="WVI1" s="301"/>
      <c r="WVJ1" s="301"/>
      <c r="WVK1" s="301"/>
      <c r="WVL1" s="301"/>
      <c r="WVM1" s="301"/>
      <c r="WVN1" s="301"/>
      <c r="WVO1" s="301"/>
      <c r="WVP1" s="301"/>
      <c r="WVQ1" s="301"/>
      <c r="WVR1" s="301"/>
      <c r="WVS1" s="301"/>
      <c r="WVT1" s="301"/>
      <c r="WVU1" s="301"/>
      <c r="WVV1" s="301"/>
      <c r="WVW1" s="301"/>
      <c r="WVX1" s="301"/>
      <c r="WVY1" s="301"/>
      <c r="WVZ1" s="301"/>
      <c r="WWA1" s="301"/>
      <c r="WWB1" s="301"/>
      <c r="WWC1" s="301"/>
      <c r="WWD1" s="301"/>
      <c r="WWE1" s="301"/>
      <c r="WWF1" s="301"/>
      <c r="WWG1" s="301"/>
      <c r="WWH1" s="301"/>
      <c r="WWI1" s="301"/>
      <c r="WWJ1" s="301"/>
      <c r="WWK1" s="301"/>
      <c r="WWL1" s="301"/>
      <c r="WWM1" s="301"/>
      <c r="WWN1" s="301"/>
      <c r="WWO1" s="301"/>
      <c r="WWP1" s="301"/>
      <c r="WWQ1" s="301"/>
      <c r="WWR1" s="301"/>
      <c r="WWS1" s="301"/>
      <c r="WWT1" s="301"/>
      <c r="WWU1" s="301"/>
      <c r="WWV1" s="301"/>
      <c r="WWW1" s="301"/>
      <c r="WWX1" s="301"/>
      <c r="WWY1" s="301"/>
      <c r="WWZ1" s="301"/>
      <c r="WXA1" s="301"/>
      <c r="WXB1" s="301"/>
      <c r="WXC1" s="301"/>
      <c r="WXD1" s="301"/>
      <c r="WXE1" s="301"/>
      <c r="WXF1" s="301"/>
      <c r="WXG1" s="301"/>
      <c r="WXH1" s="301"/>
      <c r="WXI1" s="301"/>
      <c r="WXJ1" s="301"/>
      <c r="WXK1" s="301"/>
      <c r="WXL1" s="301"/>
      <c r="WXM1" s="301"/>
      <c r="WXN1" s="301"/>
      <c r="WXO1" s="301"/>
      <c r="WXP1" s="301"/>
      <c r="WXQ1" s="301"/>
      <c r="WXR1" s="301"/>
      <c r="WXS1" s="301"/>
      <c r="WXT1" s="301"/>
      <c r="WXU1" s="301"/>
      <c r="WXV1" s="301"/>
      <c r="WXW1" s="301"/>
      <c r="WXX1" s="301"/>
      <c r="WXY1" s="301"/>
      <c r="WXZ1" s="301"/>
      <c r="WYA1" s="301"/>
      <c r="WYB1" s="301"/>
      <c r="WYC1" s="301"/>
      <c r="WYD1" s="301"/>
      <c r="WYE1" s="301"/>
      <c r="WYF1" s="301"/>
      <c r="WYG1" s="301"/>
      <c r="WYH1" s="301"/>
      <c r="WYI1" s="301"/>
      <c r="WYJ1" s="301"/>
      <c r="WYK1" s="301"/>
      <c r="WYL1" s="301"/>
      <c r="WYM1" s="301"/>
      <c r="WYN1" s="301"/>
      <c r="WYO1" s="301"/>
      <c r="WYP1" s="301"/>
      <c r="WYQ1" s="301"/>
      <c r="WYR1" s="301"/>
      <c r="WYS1" s="301"/>
      <c r="WYT1" s="301"/>
      <c r="WYU1" s="301"/>
      <c r="WYV1" s="301"/>
      <c r="WYW1" s="301"/>
      <c r="WYX1" s="301"/>
      <c r="WYY1" s="301"/>
      <c r="WYZ1" s="301"/>
      <c r="WZA1" s="301"/>
      <c r="WZB1" s="301"/>
      <c r="WZC1" s="301"/>
      <c r="WZD1" s="301"/>
      <c r="WZE1" s="301"/>
      <c r="WZF1" s="301"/>
      <c r="WZG1" s="301"/>
      <c r="WZH1" s="301"/>
      <c r="WZI1" s="301"/>
      <c r="WZJ1" s="301"/>
      <c r="WZK1" s="301"/>
      <c r="WZL1" s="301"/>
      <c r="WZM1" s="301"/>
      <c r="WZN1" s="301"/>
      <c r="WZO1" s="301"/>
      <c r="WZP1" s="301"/>
      <c r="WZQ1" s="301"/>
      <c r="WZR1" s="301"/>
      <c r="WZS1" s="301"/>
      <c r="WZT1" s="301"/>
      <c r="WZU1" s="301"/>
      <c r="WZV1" s="301"/>
      <c r="WZW1" s="301"/>
      <c r="WZX1" s="301"/>
      <c r="WZY1" s="301"/>
      <c r="WZZ1" s="301"/>
      <c r="XAA1" s="301"/>
      <c r="XAB1" s="301"/>
      <c r="XAC1" s="301"/>
      <c r="XAD1" s="301"/>
      <c r="XAE1" s="301"/>
      <c r="XAF1" s="301"/>
      <c r="XAG1" s="301"/>
      <c r="XAH1" s="301"/>
      <c r="XAI1" s="301"/>
      <c r="XAJ1" s="301"/>
      <c r="XAK1" s="301"/>
      <c r="XAL1" s="301"/>
      <c r="XAM1" s="301"/>
      <c r="XAN1" s="301"/>
      <c r="XAO1" s="301"/>
      <c r="XAP1" s="301"/>
      <c r="XAQ1" s="301"/>
      <c r="XAR1" s="301"/>
      <c r="XAS1" s="301"/>
      <c r="XAT1" s="301"/>
      <c r="XAU1" s="301"/>
      <c r="XAV1" s="301"/>
      <c r="XAW1" s="301"/>
      <c r="XAX1" s="301"/>
      <c r="XAY1" s="301"/>
      <c r="XAZ1" s="301"/>
      <c r="XBA1" s="301"/>
      <c r="XBB1" s="301"/>
      <c r="XBC1" s="301"/>
      <c r="XBD1" s="301"/>
      <c r="XBE1" s="301"/>
      <c r="XBF1" s="301"/>
      <c r="XBG1" s="301"/>
      <c r="XBH1" s="301"/>
      <c r="XBI1" s="301"/>
      <c r="XBJ1" s="301"/>
      <c r="XBK1" s="301"/>
      <c r="XBL1" s="301"/>
      <c r="XBM1" s="301"/>
      <c r="XBN1" s="301"/>
      <c r="XBO1" s="301"/>
      <c r="XBP1" s="301"/>
      <c r="XBQ1" s="301"/>
      <c r="XBR1" s="301"/>
      <c r="XBS1" s="301"/>
      <c r="XBT1" s="301"/>
      <c r="XBU1" s="301"/>
      <c r="XBV1" s="301"/>
      <c r="XBW1" s="301"/>
      <c r="XBX1" s="301"/>
      <c r="XBY1" s="301"/>
      <c r="XBZ1" s="301"/>
      <c r="XCA1" s="301"/>
      <c r="XCB1" s="301"/>
      <c r="XCC1" s="301"/>
      <c r="XCD1" s="301"/>
      <c r="XCE1" s="301"/>
      <c r="XCF1" s="301"/>
      <c r="XCG1" s="301"/>
      <c r="XCH1" s="301"/>
      <c r="XCI1" s="301"/>
      <c r="XCJ1" s="301"/>
      <c r="XCK1" s="301"/>
      <c r="XCL1" s="301"/>
      <c r="XCM1" s="301"/>
      <c r="XCN1" s="301"/>
      <c r="XCO1" s="301"/>
      <c r="XCP1" s="301"/>
      <c r="XCQ1" s="301"/>
      <c r="XCR1" s="301"/>
      <c r="XCS1" s="301"/>
      <c r="XCT1" s="301"/>
      <c r="XCU1" s="301"/>
      <c r="XCV1" s="301"/>
      <c r="XCW1" s="301"/>
      <c r="XCX1" s="301"/>
      <c r="XCY1" s="301"/>
      <c r="XCZ1" s="301"/>
      <c r="XDA1" s="301"/>
      <c r="XDB1" s="301"/>
      <c r="XDC1" s="301"/>
      <c r="XDD1" s="301"/>
      <c r="XDE1" s="301"/>
      <c r="XDF1" s="301"/>
      <c r="XDG1" s="301"/>
      <c r="XDH1" s="301"/>
      <c r="XDI1" s="301"/>
      <c r="XDJ1" s="301"/>
      <c r="XDK1" s="301"/>
      <c r="XDL1" s="301"/>
      <c r="XDM1" s="301"/>
      <c r="XDN1" s="301"/>
      <c r="XDO1" s="301"/>
      <c r="XDP1" s="301"/>
      <c r="XDQ1" s="301"/>
      <c r="XDR1" s="301"/>
      <c r="XDS1" s="301"/>
      <c r="XDT1" s="301"/>
      <c r="XDU1" s="301"/>
      <c r="XDV1" s="301"/>
      <c r="XDW1" s="301"/>
      <c r="XDX1" s="301"/>
      <c r="XDY1" s="301"/>
      <c r="XDZ1" s="301"/>
      <c r="XEA1" s="301"/>
      <c r="XEB1" s="301"/>
      <c r="XEC1" s="301"/>
      <c r="XED1" s="301"/>
      <c r="XEE1" s="301"/>
      <c r="XEF1" s="301"/>
      <c r="XEG1" s="301"/>
      <c r="XEH1" s="301"/>
      <c r="XEI1" s="301"/>
      <c r="XEJ1" s="301"/>
      <c r="XEK1" s="301"/>
      <c r="XEL1" s="301"/>
      <c r="XEM1" s="301"/>
      <c r="XEN1" s="301"/>
      <c r="XEO1" s="301"/>
      <c r="XEP1" s="301"/>
      <c r="XEQ1" s="301"/>
      <c r="XER1" s="301"/>
      <c r="XES1" s="301"/>
      <c r="XET1" s="301"/>
      <c r="XEU1" s="301"/>
      <c r="XEV1" s="301"/>
      <c r="XEW1" s="301"/>
      <c r="XEX1" s="301"/>
      <c r="XEY1" s="301"/>
      <c r="XEZ1" s="301"/>
      <c r="XFA1" s="301"/>
      <c r="XFB1" s="301"/>
      <c r="XFC1" s="301"/>
      <c r="XFD1" s="301"/>
    </row>
    <row r="2" spans="1:16384" s="216" customFormat="1" ht="21">
      <c r="A2" s="215" t="s">
        <v>312</v>
      </c>
    </row>
    <row r="3" spans="1:16384" s="205" customFormat="1" ht="18">
      <c r="A3" s="204" t="s">
        <v>350</v>
      </c>
      <c r="B3" s="205" t="s">
        <v>358</v>
      </c>
    </row>
    <row r="4" spans="1:16384" s="208" customFormat="1" ht="15.6">
      <c r="A4" s="206" t="s">
        <v>313</v>
      </c>
      <c r="B4" s="207" t="s">
        <v>352</v>
      </c>
    </row>
    <row r="5" spans="1:16384" s="211" customFormat="1" ht="15.6">
      <c r="A5" s="209" t="s">
        <v>314</v>
      </c>
      <c r="B5" s="210" t="s">
        <v>353</v>
      </c>
    </row>
    <row r="6" spans="1:16384" s="208" customFormat="1" ht="15.6">
      <c r="A6" s="206" t="s">
        <v>315</v>
      </c>
      <c r="B6" s="207" t="s">
        <v>354</v>
      </c>
    </row>
    <row r="7" spans="1:16384" s="211" customFormat="1" ht="44.4">
      <c r="A7" s="209" t="s">
        <v>316</v>
      </c>
      <c r="B7" s="212" t="s">
        <v>368</v>
      </c>
    </row>
    <row r="8" spans="1:16384" s="208" customFormat="1" ht="15.6">
      <c r="A8" s="206" t="s">
        <v>317</v>
      </c>
      <c r="B8" s="208" t="s">
        <v>332</v>
      </c>
    </row>
    <row r="9" spans="1:16384" s="205" customFormat="1" ht="18">
      <c r="A9" s="204" t="s">
        <v>351</v>
      </c>
      <c r="B9" s="222" t="s">
        <v>357</v>
      </c>
    </row>
    <row r="10" spans="1:16384" s="208" customFormat="1">
      <c r="A10" s="206" t="s">
        <v>318</v>
      </c>
      <c r="B10" s="208" t="s">
        <v>355</v>
      </c>
    </row>
    <row r="11" spans="1:16384" s="211" customFormat="1" ht="28.8">
      <c r="A11" s="209" t="s">
        <v>341</v>
      </c>
      <c r="B11" s="213" t="s">
        <v>333</v>
      </c>
    </row>
    <row r="12" spans="1:16384" s="208" customFormat="1">
      <c r="A12" s="206" t="s">
        <v>342</v>
      </c>
      <c r="B12" s="208" t="s">
        <v>334</v>
      </c>
    </row>
    <row r="13" spans="1:16384" s="211" customFormat="1" ht="28.8">
      <c r="A13" s="209" t="s">
        <v>343</v>
      </c>
      <c r="B13" s="213" t="s">
        <v>335</v>
      </c>
    </row>
    <row r="14" spans="1:16384" s="208" customFormat="1">
      <c r="A14" s="206" t="s">
        <v>344</v>
      </c>
      <c r="B14" s="208" t="s">
        <v>336</v>
      </c>
    </row>
    <row r="15" spans="1:16384" s="211" customFormat="1">
      <c r="A15" s="209" t="s">
        <v>345</v>
      </c>
      <c r="B15" s="211" t="s">
        <v>337</v>
      </c>
    </row>
    <row r="16" spans="1:16384" s="208" customFormat="1">
      <c r="A16" s="206" t="s">
        <v>346</v>
      </c>
      <c r="B16" s="208" t="s">
        <v>794</v>
      </c>
    </row>
    <row r="17" spans="1:2" s="211" customFormat="1">
      <c r="A17" s="209" t="s">
        <v>347</v>
      </c>
      <c r="B17" s="211" t="s">
        <v>339</v>
      </c>
    </row>
    <row r="18" spans="1:2" s="208" customFormat="1">
      <c r="A18" s="206" t="s">
        <v>348</v>
      </c>
      <c r="B18" s="208" t="s">
        <v>338</v>
      </c>
    </row>
    <row r="19" spans="1:2" s="211" customFormat="1" ht="28.8">
      <c r="A19" s="209" t="s">
        <v>349</v>
      </c>
      <c r="B19" s="213" t="s">
        <v>340</v>
      </c>
    </row>
    <row r="20" spans="1:2" s="208" customFormat="1">
      <c r="A20" s="206" t="s">
        <v>407</v>
      </c>
      <c r="B20" s="208" t="s">
        <v>408</v>
      </c>
    </row>
    <row r="21" spans="1:2" s="205" customFormat="1" ht="33.6">
      <c r="A21" s="204" t="s">
        <v>356</v>
      </c>
      <c r="B21" s="220" t="s">
        <v>795</v>
      </c>
    </row>
    <row r="22" spans="1:2" s="208" customFormat="1" ht="15.6">
      <c r="A22" s="206" t="s">
        <v>319</v>
      </c>
      <c r="B22" s="208" t="s">
        <v>359</v>
      </c>
    </row>
    <row r="23" spans="1:2" s="211" customFormat="1" ht="15.6">
      <c r="A23" s="209" t="s">
        <v>320</v>
      </c>
      <c r="B23" s="211" t="s">
        <v>360</v>
      </c>
    </row>
    <row r="24" spans="1:2" s="208" customFormat="1" ht="15.6">
      <c r="A24" s="206" t="s">
        <v>321</v>
      </c>
      <c r="B24" s="208" t="s">
        <v>796</v>
      </c>
    </row>
    <row r="25" spans="1:2" s="211" customFormat="1" ht="15.6">
      <c r="A25" s="209" t="s">
        <v>322</v>
      </c>
      <c r="B25" s="212" t="s">
        <v>361</v>
      </c>
    </row>
    <row r="26" spans="1:2" s="208" customFormat="1" ht="15.6">
      <c r="A26" s="206" t="s">
        <v>323</v>
      </c>
      <c r="B26" s="214" t="s">
        <v>362</v>
      </c>
    </row>
    <row r="27" spans="1:2" s="205" customFormat="1" ht="18">
      <c r="A27" s="204" t="s">
        <v>363</v>
      </c>
      <c r="B27" s="220" t="s">
        <v>364</v>
      </c>
    </row>
    <row r="28" spans="1:2" s="208" customFormat="1" ht="15.6">
      <c r="A28" s="206" t="s">
        <v>324</v>
      </c>
      <c r="B28" s="208" t="s">
        <v>365</v>
      </c>
    </row>
    <row r="29" spans="1:2" s="211" customFormat="1" ht="15.6">
      <c r="A29" s="209" t="s">
        <v>325</v>
      </c>
      <c r="B29" s="211" t="s">
        <v>366</v>
      </c>
    </row>
    <row r="30" spans="1:2" s="208" customFormat="1" ht="30">
      <c r="A30" s="206" t="s">
        <v>326</v>
      </c>
      <c r="B30" s="214" t="s">
        <v>367</v>
      </c>
    </row>
    <row r="31" spans="1:2" s="211" customFormat="1" ht="30">
      <c r="A31" s="209" t="s">
        <v>327</v>
      </c>
      <c r="B31" s="213" t="s">
        <v>369</v>
      </c>
    </row>
    <row r="32" spans="1:2" s="208" customFormat="1" ht="15.6">
      <c r="A32" s="206" t="s">
        <v>328</v>
      </c>
      <c r="B32" s="214" t="s">
        <v>370</v>
      </c>
    </row>
    <row r="33" spans="1:2" s="211" customFormat="1" ht="15.6">
      <c r="A33" s="209" t="s">
        <v>329</v>
      </c>
      <c r="B33" s="213" t="s">
        <v>371</v>
      </c>
    </row>
    <row r="34" spans="1:2" s="208" customFormat="1" ht="44.4">
      <c r="A34" s="206" t="s">
        <v>330</v>
      </c>
      <c r="B34" s="214" t="s">
        <v>374</v>
      </c>
    </row>
    <row r="35" spans="1:2" s="205" customFormat="1" ht="18">
      <c r="A35" s="204" t="s">
        <v>372</v>
      </c>
      <c r="B35" s="220" t="s">
        <v>373</v>
      </c>
    </row>
    <row r="36" spans="1:2" s="208" customFormat="1" ht="58.8">
      <c r="A36" s="206" t="s">
        <v>331</v>
      </c>
      <c r="B36" s="214" t="s">
        <v>375</v>
      </c>
    </row>
    <row r="37" spans="1:2" s="211" customFormat="1" ht="15.6">
      <c r="A37" s="209" t="s">
        <v>376</v>
      </c>
      <c r="B37" s="213" t="s">
        <v>379</v>
      </c>
    </row>
    <row r="38" spans="1:2" s="208" customFormat="1" ht="30">
      <c r="A38" s="206" t="s">
        <v>377</v>
      </c>
      <c r="B38" s="214" t="s">
        <v>378</v>
      </c>
    </row>
    <row r="39" spans="1:2" s="211" customFormat="1" ht="30">
      <c r="A39" s="209" t="s">
        <v>380</v>
      </c>
      <c r="B39" s="213" t="s">
        <v>381</v>
      </c>
    </row>
    <row r="40" spans="1:2" s="208" customFormat="1" ht="15.6">
      <c r="A40" s="206" t="s">
        <v>552</v>
      </c>
      <c r="B40" s="214" t="s">
        <v>553</v>
      </c>
    </row>
    <row r="41" spans="1:2" s="211" customFormat="1" ht="30">
      <c r="A41" s="209" t="s">
        <v>554</v>
      </c>
      <c r="B41" s="213" t="s">
        <v>555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43" sqref="B43"/>
    </sheetView>
  </sheetViews>
  <sheetFormatPr defaultRowHeight="14.4"/>
  <cols>
    <col min="1" max="1" width="53.33203125" customWidth="1"/>
    <col min="2" max="3" width="24.77734375" style="3" customWidth="1"/>
    <col min="4" max="4" width="24.77734375" customWidth="1"/>
  </cols>
  <sheetData>
    <row r="1" spans="1:4">
      <c r="A1" s="303" t="s">
        <v>740</v>
      </c>
    </row>
    <row r="2" spans="1:4" ht="21">
      <c r="A2" s="92" t="s">
        <v>520</v>
      </c>
    </row>
    <row r="3" spans="1:4" ht="21">
      <c r="A3" s="92" t="s">
        <v>551</v>
      </c>
    </row>
    <row r="4" spans="1:4">
      <c r="A4" s="179" t="s">
        <v>119</v>
      </c>
    </row>
    <row r="5" spans="1:4" ht="1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</row>
    <row r="6" spans="1:4" ht="18" customHeight="1">
      <c r="A6" s="318" t="s">
        <v>494</v>
      </c>
      <c r="B6" s="322">
        <v>2010</v>
      </c>
      <c r="C6" s="322">
        <v>2011</v>
      </c>
      <c r="D6" s="322">
        <v>2012</v>
      </c>
    </row>
    <row r="7" spans="1:4" ht="15" customHeight="1" thickBot="1">
      <c r="A7" s="319"/>
      <c r="B7" s="323"/>
      <c r="C7" s="323"/>
      <c r="D7" s="323"/>
    </row>
    <row r="8" spans="1:4" ht="15" thickBot="1">
      <c r="A8" s="226" t="s">
        <v>565</v>
      </c>
      <c r="B8" s="157"/>
      <c r="C8" s="157"/>
      <c r="D8" s="157"/>
    </row>
    <row r="9" spans="1:4" ht="28.8">
      <c r="A9" s="227" t="s">
        <v>566</v>
      </c>
      <c r="B9" s="158">
        <f>SUM(B10:B11)</f>
        <v>6050</v>
      </c>
      <c r="C9" s="158">
        <f>SUM(C10:C11)</f>
        <v>12280</v>
      </c>
      <c r="D9" s="158">
        <f>SUM(D10:D11)</f>
        <v>18750</v>
      </c>
    </row>
    <row r="10" spans="1:4" ht="28.8">
      <c r="A10" s="228" t="s">
        <v>567</v>
      </c>
      <c r="B10" s="159">
        <f>Предположения!C186</f>
        <v>6050</v>
      </c>
      <c r="C10" s="159">
        <f>Предположения!D186</f>
        <v>12280</v>
      </c>
      <c r="D10" s="159">
        <f>Предположения!E186</f>
        <v>18750</v>
      </c>
    </row>
    <row r="11" spans="1:4" ht="28.8">
      <c r="A11" s="229" t="s">
        <v>664</v>
      </c>
      <c r="B11" s="159">
        <v>0</v>
      </c>
      <c r="C11" s="159">
        <v>0</v>
      </c>
      <c r="D11" s="159">
        <v>0</v>
      </c>
    </row>
    <row r="12" spans="1:4" ht="28.8">
      <c r="A12" s="230" t="s">
        <v>568</v>
      </c>
      <c r="B12" s="161">
        <f>SUM(B13:B19)</f>
        <v>14820337.622724142</v>
      </c>
      <c r="C12" s="161">
        <f>SUM(C13:C19)</f>
        <v>23150237.224599142</v>
      </c>
      <c r="D12" s="161">
        <f>SUM(D13:D19)</f>
        <v>18551739.942898363</v>
      </c>
    </row>
    <row r="13" spans="1:4">
      <c r="A13" s="228" t="s">
        <v>569</v>
      </c>
      <c r="B13" s="159">
        <v>0</v>
      </c>
      <c r="C13" s="159">
        <v>0</v>
      </c>
      <c r="D13" s="162">
        <v>0</v>
      </c>
    </row>
    <row r="14" spans="1:4">
      <c r="A14" s="231" t="s">
        <v>570</v>
      </c>
      <c r="B14" s="159">
        <v>0</v>
      </c>
      <c r="C14" s="159">
        <v>0</v>
      </c>
      <c r="D14" s="162">
        <v>0</v>
      </c>
    </row>
    <row r="15" spans="1:4">
      <c r="A15" s="228" t="s">
        <v>571</v>
      </c>
      <c r="B15" s="159">
        <v>0</v>
      </c>
      <c r="C15" s="159">
        <v>0</v>
      </c>
      <c r="D15" s="160">
        <v>0</v>
      </c>
    </row>
    <row r="16" spans="1:4" ht="28.8">
      <c r="A16" s="228" t="s">
        <v>572</v>
      </c>
      <c r="B16" s="159">
        <f>14023015/5</f>
        <v>2804603</v>
      </c>
      <c r="C16" s="159">
        <f>14023015/3.52</f>
        <v>3983811.0795454546</v>
      </c>
      <c r="D16" s="159">
        <f>14023015/5.5</f>
        <v>2549639.0909090908</v>
      </c>
    </row>
    <row r="17" spans="1:4">
      <c r="A17" s="228" t="s">
        <v>573</v>
      </c>
      <c r="B17" s="159">
        <f>58188560/5</f>
        <v>11637712</v>
      </c>
      <c r="C17" s="159">
        <f>58188560/3.52</f>
        <v>16530840.909090908</v>
      </c>
      <c r="D17" s="159">
        <f>58188560/5.5</f>
        <v>10579738.181818182</v>
      </c>
    </row>
    <row r="18" spans="1:4">
      <c r="A18" s="228" t="s">
        <v>574</v>
      </c>
      <c r="B18" s="159">
        <f>'Tr CF 2012'!B49</f>
        <v>56238</v>
      </c>
      <c r="C18" s="159">
        <f>'Tr CF 2012'!C49</f>
        <v>2257872.3758491445</v>
      </c>
      <c r="D18" s="159">
        <f>'Tr CF 2012'!D49</f>
        <v>4586150.9777241219</v>
      </c>
    </row>
    <row r="19" spans="1:4" ht="15" thickBot="1">
      <c r="A19" s="228" t="s">
        <v>575</v>
      </c>
      <c r="B19" s="163">
        <f>321785+B40</f>
        <v>321784.62272414193</v>
      </c>
      <c r="C19" s="163">
        <f>56342+C40</f>
        <v>377712.86011363193</v>
      </c>
      <c r="D19" s="164">
        <f>176354+D40</f>
        <v>836211.69244696945</v>
      </c>
    </row>
    <row r="20" spans="1:4" ht="16.2" thickBot="1">
      <c r="A20" s="232" t="s">
        <v>576</v>
      </c>
      <c r="B20" s="165">
        <f>B12+B9</f>
        <v>14826387.622724142</v>
      </c>
      <c r="C20" s="165">
        <f>C12+C9</f>
        <v>23162517.224599142</v>
      </c>
      <c r="D20" s="165">
        <f>D12+D9</f>
        <v>18570489.942898363</v>
      </c>
    </row>
    <row r="21" spans="1:4" ht="15" thickBot="1">
      <c r="A21" s="226" t="s">
        <v>577</v>
      </c>
      <c r="B21" s="157"/>
      <c r="C21" s="157"/>
    </row>
    <row r="22" spans="1:4" ht="28.8">
      <c r="A22" s="230" t="s">
        <v>578</v>
      </c>
      <c r="B22" s="158">
        <f>SUM(B23:B27)</f>
        <v>12132975.622724142</v>
      </c>
      <c r="C22" s="158">
        <f>SUM(C23:C27)</f>
        <v>14367623.224599142</v>
      </c>
      <c r="D22" s="158">
        <f>SUM(D23:D27)</f>
        <v>15048946.942898361</v>
      </c>
    </row>
    <row r="23" spans="1:4">
      <c r="A23" s="228" t="s">
        <v>579</v>
      </c>
      <c r="B23" s="159">
        <v>10000000</v>
      </c>
      <c r="C23" s="159">
        <f>B23</f>
        <v>10000000</v>
      </c>
      <c r="D23" s="159">
        <f>B23</f>
        <v>10000000</v>
      </c>
    </row>
    <row r="24" spans="1:4" ht="28.8">
      <c r="A24" s="228" t="s">
        <v>580</v>
      </c>
      <c r="B24" s="159">
        <v>0</v>
      </c>
      <c r="C24" s="159">
        <v>0</v>
      </c>
      <c r="D24" s="159">
        <v>0</v>
      </c>
    </row>
    <row r="25" spans="1:4" s="186" customFormat="1" ht="28.8">
      <c r="A25" s="228" t="s">
        <v>581</v>
      </c>
      <c r="B25" s="159">
        <v>0</v>
      </c>
      <c r="C25" s="159">
        <v>0</v>
      </c>
      <c r="D25" s="159">
        <v>0</v>
      </c>
    </row>
    <row r="26" spans="1:4" ht="28.8">
      <c r="A26" s="233" t="s">
        <v>582</v>
      </c>
      <c r="B26" s="159">
        <v>0</v>
      </c>
      <c r="C26" s="159">
        <f>B26+B27</f>
        <v>2132975.6227241415</v>
      </c>
      <c r="D26" s="159">
        <f>C26+C27</f>
        <v>4367623.2245991416</v>
      </c>
    </row>
    <row r="27" spans="1:4" ht="28.8">
      <c r="A27" s="233" t="s">
        <v>583</v>
      </c>
      <c r="B27" s="159">
        <f>'Tr P&amp;L 2012'!B38</f>
        <v>2132975.6227241415</v>
      </c>
      <c r="C27" s="159">
        <f>'Tr P&amp;L 2012'!C38</f>
        <v>2234647.6018749997</v>
      </c>
      <c r="D27" s="159">
        <f>'Tr P&amp;L 2012'!D38</f>
        <v>681323.71829921904</v>
      </c>
    </row>
    <row r="28" spans="1:4" ht="43.2">
      <c r="A28" s="230" t="s">
        <v>587</v>
      </c>
      <c r="B28" s="161">
        <f>B33+B31+B30</f>
        <v>17832</v>
      </c>
      <c r="C28" s="161">
        <f t="shared" ref="C28:D28" si="0">C29+C31+C30</f>
        <v>254098</v>
      </c>
      <c r="D28" s="161">
        <f t="shared" si="0"/>
        <v>363075</v>
      </c>
    </row>
    <row r="29" spans="1:4">
      <c r="A29" s="233" t="s">
        <v>585</v>
      </c>
      <c r="B29" s="3">
        <v>0</v>
      </c>
      <c r="C29" s="159">
        <v>0</v>
      </c>
      <c r="D29" s="159">
        <v>0</v>
      </c>
    </row>
    <row r="30" spans="1:4" ht="28.8">
      <c r="A30" s="233" t="s">
        <v>584</v>
      </c>
      <c r="B30" s="159">
        <v>0</v>
      </c>
      <c r="C30" s="159">
        <v>0</v>
      </c>
      <c r="D30" s="159">
        <v>0</v>
      </c>
    </row>
    <row r="31" spans="1:4" ht="28.8">
      <c r="A31" s="233" t="s">
        <v>586</v>
      </c>
      <c r="B31" s="159">
        <v>17832</v>
      </c>
      <c r="C31" s="159">
        <v>254098</v>
      </c>
      <c r="D31" s="159">
        <v>363075</v>
      </c>
    </row>
    <row r="32" spans="1:4" ht="43.2">
      <c r="A32" s="230" t="s">
        <v>588</v>
      </c>
      <c r="B32" s="161">
        <f>SUM(B33:B37)</f>
        <v>2675580</v>
      </c>
      <c r="C32" s="161">
        <f>SUM(C33:C37)</f>
        <v>8540796</v>
      </c>
      <c r="D32" s="161">
        <f t="shared" ref="D32" si="1">SUM(D33:D37)</f>
        <v>3158468</v>
      </c>
    </row>
    <row r="33" spans="1:4">
      <c r="A33" s="233" t="s">
        <v>589</v>
      </c>
      <c r="B33" s="159">
        <f>'Tr Fin'!B26</f>
        <v>0</v>
      </c>
      <c r="C33" s="159">
        <f>'Tr Fin'!C26</f>
        <v>0</v>
      </c>
      <c r="D33" s="159">
        <f>'Tr Fin'!D26</f>
        <v>0</v>
      </c>
    </row>
    <row r="34" spans="1:4" ht="28.8">
      <c r="A34" s="233" t="s">
        <v>590</v>
      </c>
      <c r="B34" s="159">
        <v>0</v>
      </c>
      <c r="C34" s="159">
        <v>0</v>
      </c>
      <c r="D34" s="159">
        <v>0</v>
      </c>
    </row>
    <row r="35" spans="1:4" ht="28.8">
      <c r="A35" s="233" t="s">
        <v>591</v>
      </c>
      <c r="B35" s="159">
        <v>2578381</v>
      </c>
      <c r="C35" s="159">
        <v>8440716</v>
      </c>
      <c r="D35" s="159">
        <v>3138962</v>
      </c>
    </row>
    <row r="36" spans="1:4">
      <c r="A36" s="233" t="s">
        <v>592</v>
      </c>
      <c r="B36" s="159">
        <v>0</v>
      </c>
      <c r="C36" s="159">
        <v>0</v>
      </c>
      <c r="D36" s="160">
        <v>0</v>
      </c>
    </row>
    <row r="37" spans="1:4" ht="29.4" thickBot="1">
      <c r="A37" s="234" t="s">
        <v>593</v>
      </c>
      <c r="B37" s="163">
        <v>97199</v>
      </c>
      <c r="C37" s="163">
        <v>100080</v>
      </c>
      <c r="D37" s="163">
        <v>19506</v>
      </c>
    </row>
    <row r="38" spans="1:4" ht="29.4" thickBot="1">
      <c r="A38" s="232" t="s">
        <v>594</v>
      </c>
      <c r="B38" s="165">
        <f>B32+B28+B22</f>
        <v>14826387.622724142</v>
      </c>
      <c r="C38" s="165">
        <f>C32+C28+C22</f>
        <v>23162517.224599142</v>
      </c>
      <c r="D38" s="165">
        <f>D32+D28+D22</f>
        <v>18570489.942898363</v>
      </c>
    </row>
    <row r="39" spans="1:4" s="168" customFormat="1">
      <c r="A39" s="166"/>
      <c r="B39" s="167">
        <f>B38-B20</f>
        <v>0</v>
      </c>
      <c r="C39" s="167">
        <f>C38-C20</f>
        <v>0</v>
      </c>
      <c r="D39" s="167">
        <f>D38-D20</f>
        <v>0</v>
      </c>
    </row>
    <row r="40" spans="1:4" hidden="1">
      <c r="B40" s="3">
        <v>-0.37727585807442665</v>
      </c>
      <c r="C40" s="3">
        <v>321370.86011363193</v>
      </c>
      <c r="D40" s="3">
        <v>659857.69244696945</v>
      </c>
    </row>
    <row r="41" spans="1:4">
      <c r="D41" s="3"/>
    </row>
  </sheetData>
  <mergeCells count="4">
    <mergeCell ref="A6:A7"/>
    <mergeCell ref="B6:B7"/>
    <mergeCell ref="C6:C7"/>
    <mergeCell ref="D6:D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4.4"/>
  <cols>
    <col min="1" max="1" width="53.33203125" customWidth="1"/>
    <col min="2" max="3" width="24.77734375" style="3" customWidth="1"/>
    <col min="4" max="4" width="24.77734375" customWidth="1"/>
  </cols>
  <sheetData>
    <row r="1" spans="1:4">
      <c r="A1" s="303" t="s">
        <v>740</v>
      </c>
    </row>
    <row r="2" spans="1:4" ht="21">
      <c r="A2" s="92" t="s">
        <v>541</v>
      </c>
    </row>
    <row r="3" spans="1:4" ht="21">
      <c r="A3" s="92" t="s">
        <v>549</v>
      </c>
    </row>
    <row r="4" spans="1:4">
      <c r="A4" s="179" t="s">
        <v>119</v>
      </c>
    </row>
    <row r="5" spans="1:4" ht="1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</row>
    <row r="6" spans="1:4" ht="18" customHeight="1">
      <c r="A6" s="318" t="s">
        <v>494</v>
      </c>
      <c r="B6" s="322">
        <v>2010</v>
      </c>
      <c r="C6" s="322">
        <v>2011</v>
      </c>
      <c r="D6" s="322">
        <v>2012</v>
      </c>
    </row>
    <row r="7" spans="1:4" ht="15" customHeight="1" thickBot="1">
      <c r="A7" s="319"/>
      <c r="B7" s="323"/>
      <c r="C7" s="323"/>
      <c r="D7" s="323"/>
    </row>
    <row r="8" spans="1:4" ht="15" thickBot="1">
      <c r="A8" s="226" t="s">
        <v>565</v>
      </c>
      <c r="B8" s="157"/>
      <c r="C8" s="157"/>
      <c r="D8" s="157"/>
    </row>
    <row r="9" spans="1:4" ht="28.8">
      <c r="A9" s="227" t="s">
        <v>566</v>
      </c>
      <c r="B9" s="158">
        <f>SUM(B10:B11)</f>
        <v>104313167.84740248</v>
      </c>
      <c r="C9" s="158">
        <f>SUM(C10:C11)</f>
        <v>152315636.80984259</v>
      </c>
      <c r="D9" s="158">
        <f>SUM(D10:D11)</f>
        <v>147593484.54855472</v>
      </c>
    </row>
    <row r="10" spans="1:4" ht="28.8">
      <c r="A10" s="228" t="s">
        <v>567</v>
      </c>
      <c r="B10" s="159">
        <f>'Pr BS 2012'!B10+'Tr BS 2012'!B10</f>
        <v>60749303.369609617</v>
      </c>
      <c r="C10" s="159">
        <f>'Pr BS 2012'!C10+'Tr BS 2012'!C10</f>
        <v>85219104.09352015</v>
      </c>
      <c r="D10" s="159">
        <f>'Pr BS 2012'!D10+'Tr BS 2012'!D10</f>
        <v>84794383.702860162</v>
      </c>
    </row>
    <row r="11" spans="1:4" ht="28.8">
      <c r="A11" s="229" t="s">
        <v>664</v>
      </c>
      <c r="B11" s="159">
        <f>'Pr BS 2012'!B11+'Tr BS 2012'!B11</f>
        <v>43563864.477792859</v>
      </c>
      <c r="C11" s="159">
        <f>'Pr BS 2012'!C11+'Tr BS 2012'!C11</f>
        <v>67096532.716322437</v>
      </c>
      <c r="D11" s="159">
        <f>'Pr BS 2012'!D11+'Tr BS 2012'!D11</f>
        <v>62799100.845694557</v>
      </c>
    </row>
    <row r="12" spans="1:4" ht="28.8">
      <c r="A12" s="230" t="s">
        <v>568</v>
      </c>
      <c r="B12" s="161">
        <f>SUM(B13:B19)</f>
        <v>73238733.642676249</v>
      </c>
      <c r="C12" s="161">
        <f>SUM(C13:C19)</f>
        <v>90281196.307962373</v>
      </c>
      <c r="D12" s="161">
        <f t="shared" ref="D12" si="0">SUM(D13:D19)</f>
        <v>106847233.12200546</v>
      </c>
    </row>
    <row r="13" spans="1:4">
      <c r="A13" s="228" t="s">
        <v>569</v>
      </c>
      <c r="B13" s="159">
        <f>'Pr BS 2012'!B13+'Tr BS 2012'!B13</f>
        <v>11020234</v>
      </c>
      <c r="C13" s="159">
        <f>'Pr BS 2012'!C13+'Tr BS 2012'!C13</f>
        <v>15470962</v>
      </c>
      <c r="D13" s="159">
        <f>'Pr BS 2012'!D13+'Tr BS 2012'!D13</f>
        <v>18912713</v>
      </c>
    </row>
    <row r="14" spans="1:4">
      <c r="A14" s="231" t="s">
        <v>570</v>
      </c>
      <c r="B14" s="159">
        <f>'Pr BS 2012'!B14+'Tr BS 2012'!B14</f>
        <v>0</v>
      </c>
      <c r="C14" s="159">
        <f>'Pr BS 2012'!C14+'Tr BS 2012'!C14</f>
        <v>0</v>
      </c>
      <c r="D14" s="159">
        <f>'Pr BS 2012'!D14+'Tr BS 2012'!D14</f>
        <v>0</v>
      </c>
    </row>
    <row r="15" spans="1:4">
      <c r="A15" s="228" t="s">
        <v>571</v>
      </c>
      <c r="B15" s="159">
        <f>'Pr BS 2012'!B15+'Tr BS 2012'!B15</f>
        <v>9687689</v>
      </c>
      <c r="C15" s="159">
        <f>'Pr BS 2012'!C15+'Tr BS 2012'!C15</f>
        <v>10356036</v>
      </c>
      <c r="D15" s="159">
        <f>'Pr BS 2012'!D15+'Tr BS 2012'!D15</f>
        <v>11783905</v>
      </c>
    </row>
    <row r="16" spans="1:4" ht="28.8">
      <c r="A16" s="228" t="s">
        <v>572</v>
      </c>
      <c r="B16" s="159">
        <f>'Pr BS 2012'!B16+'Tr BS 2012'!B16</f>
        <v>16410944</v>
      </c>
      <c r="C16" s="159">
        <f>'Pr BS 2012'!C16+'Tr BS 2012'!C16</f>
        <v>18133683.079545453</v>
      </c>
      <c r="D16" s="159">
        <f>'Pr BS 2012'!D16+'Tr BS 2012'!D16</f>
        <v>21085933.09090909</v>
      </c>
    </row>
    <row r="17" spans="1:4">
      <c r="A17" s="228" t="s">
        <v>573</v>
      </c>
      <c r="B17" s="159">
        <f>'Pr BS 2012'!B17+'Tr BS 2012'!B17</f>
        <v>19503144</v>
      </c>
      <c r="C17" s="159">
        <f>'Pr BS 2012'!C17+'Tr BS 2012'!C17</f>
        <v>25873491.909090906</v>
      </c>
      <c r="D17" s="159">
        <f>'Pr BS 2012'!D17+'Tr BS 2012'!D17</f>
        <v>17096641.18181818</v>
      </c>
    </row>
    <row r="18" spans="1:4">
      <c r="A18" s="228" t="s">
        <v>574</v>
      </c>
      <c r="B18" s="159">
        <f>'Pr BS 2012'!B18+'Tr BS 2012'!B18</f>
        <v>2417962.0199521054</v>
      </c>
      <c r="C18" s="159">
        <f>'Pr BS 2012'!C18+'Tr BS 2012'!C18</f>
        <v>5143279.4592123777</v>
      </c>
      <c r="D18" s="159">
        <f>'Pr BS 2012'!D18+'Tr BS 2012'!D18</f>
        <v>20383017.156831201</v>
      </c>
    </row>
    <row r="19" spans="1:4" ht="15" thickBot="1">
      <c r="A19" s="228" t="s">
        <v>575</v>
      </c>
      <c r="B19" s="163">
        <f>'Pr BS 2012'!B19+'Tr BS 2012'!B19</f>
        <v>14198760.622724142</v>
      </c>
      <c r="C19" s="163">
        <f>'Pr BS 2012'!C19+'Tr BS 2012'!C19</f>
        <v>15303743.860113632</v>
      </c>
      <c r="D19" s="163">
        <f>'Pr BS 2012'!D19+'Tr BS 2012'!D19</f>
        <v>17585023.692446969</v>
      </c>
    </row>
    <row r="20" spans="1:4" ht="16.2" thickBot="1">
      <c r="A20" s="232" t="s">
        <v>576</v>
      </c>
      <c r="B20" s="165">
        <f>B12+B9</f>
        <v>177551901.49007875</v>
      </c>
      <c r="C20" s="165">
        <f>C12+C9</f>
        <v>242596833.11780494</v>
      </c>
      <c r="D20" s="165">
        <f>D12+D9</f>
        <v>254440717.67056018</v>
      </c>
    </row>
    <row r="21" spans="1:4" ht="15" thickBot="1">
      <c r="A21" s="226" t="s">
        <v>577</v>
      </c>
      <c r="B21" s="157"/>
      <c r="C21" s="157"/>
    </row>
    <row r="22" spans="1:4" ht="28.8">
      <c r="A22" s="230" t="s">
        <v>578</v>
      </c>
      <c r="B22" s="158">
        <f>SUM(B23:B27)</f>
        <v>122080293.34997031</v>
      </c>
      <c r="C22" s="158">
        <f>SUM(C23:C27)</f>
        <v>162192804.44931909</v>
      </c>
      <c r="D22" s="158">
        <f>SUM(D23:D27)</f>
        <v>174027088.23701659</v>
      </c>
    </row>
    <row r="23" spans="1:4">
      <c r="A23" s="228" t="s">
        <v>579</v>
      </c>
      <c r="B23" s="159">
        <f>'Pr BS 2012'!B23+'Tr BS 2012'!B23</f>
        <v>43128927.848508045</v>
      </c>
      <c r="C23" s="159">
        <f>'Pr BS 2012'!C23+'Tr BS 2012'!C23</f>
        <v>43128927.848508045</v>
      </c>
      <c r="D23" s="159">
        <f>'Pr BS 2012'!D23+'Tr BS 2012'!D23</f>
        <v>43128927.848508045</v>
      </c>
    </row>
    <row r="24" spans="1:4" ht="28.8">
      <c r="A24" s="228" t="s">
        <v>580</v>
      </c>
      <c r="B24" s="159">
        <f>'Pr BS 2012'!B24+'Tr BS 2012'!B24</f>
        <v>0</v>
      </c>
      <c r="C24" s="159">
        <f>'Pr BS 2012'!C24+'Tr BS 2012'!C24</f>
        <v>0</v>
      </c>
      <c r="D24" s="159">
        <f>'Pr BS 2012'!D24+'Tr BS 2012'!D24</f>
        <v>0</v>
      </c>
    </row>
    <row r="25" spans="1:4" s="186" customFormat="1" ht="28.8">
      <c r="A25" s="228" t="s">
        <v>581</v>
      </c>
      <c r="B25" s="159">
        <f>'Pr BS 2012'!B25+'Tr BS 2012'!B25</f>
        <v>76004535</v>
      </c>
      <c r="C25" s="159">
        <f>'Pr BS 2012'!C25+'Tr BS 2012'!C25</f>
        <v>103528525</v>
      </c>
      <c r="D25" s="159">
        <f>'Pr BS 2012'!D25+'Tr BS 2012'!D25</f>
        <v>103528525</v>
      </c>
    </row>
    <row r="26" spans="1:4" ht="28.8">
      <c r="A26" s="233" t="s">
        <v>582</v>
      </c>
      <c r="B26" s="159">
        <f>'Pr BS 2012'!B26+'Tr BS 2012'!B26</f>
        <v>0</v>
      </c>
      <c r="C26" s="159">
        <f>'Pr BS 2012'!C26+'Tr BS 2012'!C26</f>
        <v>2946830.5014622658</v>
      </c>
      <c r="D26" s="159">
        <f>'Pr BS 2012'!D26+'Tr BS 2012'!D26</f>
        <v>15535351.600811033</v>
      </c>
    </row>
    <row r="27" spans="1:4" ht="28.8">
      <c r="A27" s="233" t="s">
        <v>583</v>
      </c>
      <c r="B27" s="159">
        <f>'Pr BS 2012'!B27+'Tr BS 2012'!B27</f>
        <v>2946830.5014622658</v>
      </c>
      <c r="C27" s="159">
        <f>'Pr BS 2012'!C27+'Tr BS 2012'!C27</f>
        <v>12588521.099348767</v>
      </c>
      <c r="D27" s="159">
        <f>'Pr BS 2012'!D27+'Tr BS 2012'!D27</f>
        <v>11834283.787697505</v>
      </c>
    </row>
    <row r="28" spans="1:4" ht="43.2">
      <c r="A28" s="230" t="s">
        <v>587</v>
      </c>
      <c r="B28" s="161">
        <f>B29+B31+B30</f>
        <v>7637832</v>
      </c>
      <c r="C28" s="161">
        <f t="shared" ref="C28:D28" si="1">C29+C31+C30</f>
        <v>11850229</v>
      </c>
      <c r="D28" s="161">
        <f t="shared" si="1"/>
        <v>8441468</v>
      </c>
    </row>
    <row r="29" spans="1:4">
      <c r="A29" s="233" t="s">
        <v>585</v>
      </c>
      <c r="B29" s="159">
        <f>'Pr BS 2012'!B29+'Tr BS 2012'!B29</f>
        <v>0</v>
      </c>
      <c r="C29" s="159">
        <f>'Pr BS 2012'!C29+'Tr BS 2012'!C29</f>
        <v>0</v>
      </c>
      <c r="D29" s="159">
        <f>'Pr BS 2012'!D29+'Tr BS 2012'!D29</f>
        <v>0</v>
      </c>
    </row>
    <row r="30" spans="1:4" ht="28.8">
      <c r="A30" s="233" t="s">
        <v>584</v>
      </c>
      <c r="B30" s="159">
        <f>'Pr BS 2012'!B30+'Tr BS 2012'!B30</f>
        <v>7500000</v>
      </c>
      <c r="C30" s="159">
        <f>'Pr BS 2012'!C30+'Tr BS 2012'!C30</f>
        <v>11250000</v>
      </c>
      <c r="D30" s="159">
        <f>'Pr BS 2012'!D30+'Tr BS 2012'!D30</f>
        <v>7500000</v>
      </c>
    </row>
    <row r="31" spans="1:4" ht="28.8">
      <c r="A31" s="233" t="s">
        <v>586</v>
      </c>
      <c r="B31" s="159">
        <f>'Pr BS 2012'!B31+'Tr BS 2012'!B31</f>
        <v>137832</v>
      </c>
      <c r="C31" s="159">
        <f>'Pr BS 2012'!C31+'Tr BS 2012'!C31</f>
        <v>600229</v>
      </c>
      <c r="D31" s="159">
        <f>'Pr BS 2012'!D31+'Tr BS 2012'!D31</f>
        <v>941468</v>
      </c>
    </row>
    <row r="32" spans="1:4" ht="43.2">
      <c r="A32" s="230" t="s">
        <v>588</v>
      </c>
      <c r="B32" s="161">
        <f>SUM(B33:B37)</f>
        <v>47833776.140108407</v>
      </c>
      <c r="C32" s="161">
        <f>SUM(C33:C37)</f>
        <v>68553799.66848588</v>
      </c>
      <c r="D32" s="161">
        <f t="shared" ref="D32" si="2">SUM(D33:D37)</f>
        <v>71972161.433543593</v>
      </c>
    </row>
    <row r="33" spans="1:4">
      <c r="A33" s="233" t="s">
        <v>589</v>
      </c>
      <c r="B33" s="159">
        <f>'Pr BS 2012'!B33+'Tr BS 2012'!B33</f>
        <v>0</v>
      </c>
      <c r="C33" s="159">
        <f>'Pr BS 2012'!C33+'Tr BS 2012'!C33</f>
        <v>10207900.915308449</v>
      </c>
      <c r="D33" s="159">
        <f>'Pr BS 2012'!D33+'Tr BS 2012'!D33</f>
        <v>8051166.775089046</v>
      </c>
    </row>
    <row r="34" spans="1:4" ht="28.8">
      <c r="A34" s="233" t="s">
        <v>590</v>
      </c>
      <c r="B34" s="159">
        <f>'Pr BS 2012'!B34+'Tr BS 2012'!B34</f>
        <v>3750000</v>
      </c>
      <c r="C34" s="159">
        <f>'Pr BS 2012'!C34+'Tr BS 2012'!C34</f>
        <v>3750000</v>
      </c>
      <c r="D34" s="159">
        <f>'Pr BS 2012'!D34+'Tr BS 2012'!D34</f>
        <v>3750000</v>
      </c>
    </row>
    <row r="35" spans="1:4" ht="28.8">
      <c r="A35" s="233" t="s">
        <v>591</v>
      </c>
      <c r="B35" s="159">
        <f>'Pr BS 2012'!B35+'Tr BS 2012'!B35</f>
        <v>28436123</v>
      </c>
      <c r="C35" s="159">
        <f>'Pr BS 2012'!C35+'Tr BS 2012'!C35</f>
        <v>40715807</v>
      </c>
      <c r="D35" s="159">
        <f>'Pr BS 2012'!D35+'Tr BS 2012'!D35</f>
        <v>37252746</v>
      </c>
    </row>
    <row r="36" spans="1:4">
      <c r="A36" s="233" t="s">
        <v>592</v>
      </c>
      <c r="B36" s="159">
        <f>'Pr BS 2012'!B36+'Tr BS 2012'!B36</f>
        <v>0</v>
      </c>
      <c r="C36" s="159">
        <f>'Pr BS 2012'!C36+'Tr BS 2012'!C36</f>
        <v>0</v>
      </c>
      <c r="D36" s="159">
        <f>'Pr BS 2012'!D36+'Tr BS 2012'!D36</f>
        <v>0</v>
      </c>
    </row>
    <row r="37" spans="1:4" ht="29.4" thickBot="1">
      <c r="A37" s="234" t="s">
        <v>593</v>
      </c>
      <c r="B37" s="159">
        <f>'Pr BS 2012'!B37+'Tr BS 2012'!B37</f>
        <v>15647653.140108407</v>
      </c>
      <c r="C37" s="159">
        <f>'Pr BS 2012'!C37+'Tr BS 2012'!C37</f>
        <v>13880091.753177434</v>
      </c>
      <c r="D37" s="159">
        <f>'Pr BS 2012'!D37+'Tr BS 2012'!D37</f>
        <v>22918248.658454537</v>
      </c>
    </row>
    <row r="38" spans="1:4" ht="29.4" thickBot="1">
      <c r="A38" s="232" t="s">
        <v>594</v>
      </c>
      <c r="B38" s="165">
        <f>B32+B28+B22</f>
        <v>177551901.49007872</v>
      </c>
      <c r="C38" s="165">
        <f>C32+C28+C22</f>
        <v>242596833.11780497</v>
      </c>
      <c r="D38" s="165">
        <f>D32+D28+D22</f>
        <v>254440717.67056018</v>
      </c>
    </row>
    <row r="39" spans="1:4" s="168" customFormat="1">
      <c r="A39" s="166"/>
      <c r="B39" s="167">
        <f>B38-B20</f>
        <v>0</v>
      </c>
      <c r="C39" s="167">
        <f>C38-C20</f>
        <v>0</v>
      </c>
      <c r="D39" s="167">
        <f>D38-D20</f>
        <v>0</v>
      </c>
    </row>
    <row r="40" spans="1:4">
      <c r="D40" s="167"/>
    </row>
    <row r="41" spans="1:4">
      <c r="D41" s="3"/>
    </row>
  </sheetData>
  <mergeCells count="4">
    <mergeCell ref="A6:A7"/>
    <mergeCell ref="B6:B7"/>
    <mergeCell ref="C6:C7"/>
    <mergeCell ref="D6:D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7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/>
  <cols>
    <col min="1" max="1" width="79.44140625" style="49" customWidth="1"/>
    <col min="2" max="4" width="24.77734375" style="2" customWidth="1"/>
    <col min="5" max="5" width="18.77734375" style="2" customWidth="1"/>
    <col min="6" max="16384" width="8.88671875" style="2"/>
  </cols>
  <sheetData>
    <row r="1" spans="1:4" ht="14.4">
      <c r="A1" s="303" t="s">
        <v>740</v>
      </c>
    </row>
    <row r="2" spans="1:4" ht="21">
      <c r="A2" s="92" t="s">
        <v>543</v>
      </c>
    </row>
    <row r="3" spans="1:4" ht="21">
      <c r="A3" s="92" t="s">
        <v>550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6">
      <c r="A6" s="1" t="s">
        <v>446</v>
      </c>
      <c r="B6" s="42">
        <f>'Pr P&amp;L proj'!B6</f>
        <v>54998637.5</v>
      </c>
      <c r="C6" s="42">
        <f>'Pr P&amp;L proj'!C6</f>
        <v>96965000</v>
      </c>
      <c r="D6" s="42">
        <f>'Pr P&amp;L proj'!D6</f>
        <v>94724000</v>
      </c>
    </row>
    <row r="7" spans="1:4" s="47" customFormat="1" ht="14.4">
      <c r="A7" s="47" t="s">
        <v>605</v>
      </c>
      <c r="B7" s="125">
        <f>'Pr P&amp;L proj'!B7</f>
        <v>33736137.5</v>
      </c>
      <c r="C7" s="125">
        <f>'Pr P&amp;L proj'!C7</f>
        <v>65780000</v>
      </c>
      <c r="D7" s="125">
        <f>'Pr P&amp;L proj'!D7</f>
        <v>57239000</v>
      </c>
    </row>
    <row r="8" spans="1:4" s="47" customFormat="1" ht="14.4">
      <c r="A8" s="47" t="s">
        <v>606</v>
      </c>
      <c r="B8" s="125">
        <f>'Pr P&amp;L proj'!B8</f>
        <v>21262500.000000004</v>
      </c>
      <c r="C8" s="125">
        <f>'Pr P&amp;L proj'!C8</f>
        <v>31185000</v>
      </c>
      <c r="D8" s="125">
        <f>'Pr P&amp;L proj'!D8</f>
        <v>37485000</v>
      </c>
    </row>
    <row r="9" spans="1:4" s="1" customFormat="1" ht="15.6">
      <c r="A9" s="1" t="s">
        <v>665</v>
      </c>
      <c r="B9" s="42">
        <f>SUM(B10:B23)</f>
        <v>-48721320.396783248</v>
      </c>
      <c r="C9" s="42">
        <f t="shared" ref="C9:D9" si="0">SUM(C10:C23)</f>
        <v>-73785845.667576656</v>
      </c>
      <c r="D9" s="42">
        <f t="shared" si="0"/>
        <v>-71744155.427957177</v>
      </c>
    </row>
    <row r="10" spans="1:4" s="47" customFormat="1" ht="14.4">
      <c r="A10" s="47" t="s">
        <v>445</v>
      </c>
      <c r="B10" s="125">
        <f>'Pr P&amp;L proj'!B10</f>
        <v>-23654762.300984766</v>
      </c>
      <c r="C10" s="125">
        <f>'Pr P&amp;L proj'!C10</f>
        <v>-31949784</v>
      </c>
      <c r="D10" s="125">
        <f>'Pr P&amp;L proj'!D10</f>
        <v>-34119371</v>
      </c>
    </row>
    <row r="11" spans="1:4" s="47" customFormat="1" ht="14.4">
      <c r="A11" s="47" t="s">
        <v>383</v>
      </c>
      <c r="B11" s="125">
        <f>'Pr P&amp;L proj'!B16</f>
        <v>-4356386.4477792857</v>
      </c>
      <c r="C11" s="125">
        <f>'Pr P&amp;L proj'!C16</f>
        <v>-6709653.2716322439</v>
      </c>
      <c r="D11" s="125">
        <f>'Pr P&amp;L proj'!D16</f>
        <v>-6279910.0845694551</v>
      </c>
    </row>
    <row r="12" spans="1:4" s="47" customFormat="1" ht="14.4">
      <c r="A12" s="47" t="s">
        <v>384</v>
      </c>
      <c r="B12" s="125">
        <f>'Pr P&amp;L proj'!B17</f>
        <v>-2856583.3333333302</v>
      </c>
      <c r="C12" s="125">
        <f>'Pr P&amp;L proj'!C17</f>
        <v>-3909778</v>
      </c>
      <c r="D12" s="125">
        <f>'Pr P&amp;L proj'!D17</f>
        <v>-4302756</v>
      </c>
    </row>
    <row r="13" spans="1:4" s="47" customFormat="1" ht="14.4">
      <c r="A13" s="47" t="s">
        <v>385</v>
      </c>
      <c r="B13" s="125">
        <f>'Pr P&amp;L proj'!B18</f>
        <v>-856974.99999999907</v>
      </c>
      <c r="C13" s="125">
        <f>'Pr P&amp;L proj'!C18</f>
        <v>-1172933.3999999999</v>
      </c>
      <c r="D13" s="125">
        <f>'Pr P&amp;L proj'!D18</f>
        <v>-1290826.8</v>
      </c>
    </row>
    <row r="14" spans="1:4" s="47" customFormat="1" ht="14.4">
      <c r="A14" s="47" t="s">
        <v>386</v>
      </c>
      <c r="B14" s="125">
        <f>'Pr P&amp;L proj'!B19</f>
        <v>-1140833.3333333333</v>
      </c>
      <c r="C14" s="125">
        <f>'Pr P&amp;L proj'!C19</f>
        <v>-1521123</v>
      </c>
      <c r="D14" s="125">
        <f>'Pr P&amp;L proj'!D19</f>
        <v>-1672565</v>
      </c>
    </row>
    <row r="15" spans="1:4" s="47" customFormat="1" ht="14.4">
      <c r="A15" s="47" t="s">
        <v>387</v>
      </c>
      <c r="B15" s="125">
        <f>'Pr P&amp;L proj'!B20</f>
        <v>-2085555.5555555555</v>
      </c>
      <c r="C15" s="125">
        <f>'Pr P&amp;L proj'!C20</f>
        <v>-2780741</v>
      </c>
      <c r="D15" s="125">
        <f>'Pr P&amp;L proj'!D20</f>
        <v>-2431876</v>
      </c>
    </row>
    <row r="16" spans="1:4" s="47" customFormat="1" ht="14.4">
      <c r="A16" s="47" t="s">
        <v>607</v>
      </c>
      <c r="B16" s="125">
        <f>'Pr P&amp;L proj'!B21+'Pr P&amp;L proj'!B40</f>
        <v>-2400643.2891078931</v>
      </c>
      <c r="C16" s="125">
        <f>'Pr P&amp;L proj'!C21+'Pr P&amp;L proj'!C40</f>
        <v>-3460569.124502365</v>
      </c>
      <c r="D16" s="125">
        <f>'Pr P&amp;L proj'!D21+'Pr P&amp;L proj'!D40</f>
        <v>-3245045.2056912086</v>
      </c>
    </row>
    <row r="17" spans="1:4" s="47" customFormat="1" ht="14.4">
      <c r="A17" s="47" t="s">
        <v>390</v>
      </c>
      <c r="B17" s="125">
        <f>'Pr P&amp;L proj'!B25</f>
        <v>-94000</v>
      </c>
      <c r="C17" s="125">
        <f>'Pr P&amp;L proj'!C25</f>
        <v>-347000</v>
      </c>
      <c r="D17" s="125">
        <f>'Pr P&amp;L proj'!D25</f>
        <v>-276000</v>
      </c>
    </row>
    <row r="18" spans="1:4" s="47" customFormat="1" ht="14.4">
      <c r="A18" s="47" t="s">
        <v>392</v>
      </c>
      <c r="B18" s="125">
        <f>'Pr P&amp;L proj'!B27</f>
        <v>-510756</v>
      </c>
      <c r="C18" s="125">
        <f>'Pr P&amp;L proj'!C27</f>
        <v>-965342</v>
      </c>
      <c r="D18" s="125">
        <f>'Pr P&amp;L proj'!D27</f>
        <v>-1051276</v>
      </c>
    </row>
    <row r="19" spans="1:4" s="47" customFormat="1" ht="14.4">
      <c r="A19" s="47" t="s">
        <v>448</v>
      </c>
      <c r="B19" s="125">
        <f>'Pr P&amp;L proj'!B28</f>
        <v>-10206850</v>
      </c>
      <c r="C19" s="125">
        <f>'Pr P&amp;L proj'!C28</f>
        <v>-18953800</v>
      </c>
      <c r="D19" s="125">
        <f>'Pr P&amp;L proj'!D28</f>
        <v>-14684600</v>
      </c>
    </row>
    <row r="20" spans="1:4" s="47" customFormat="1" ht="14.4">
      <c r="A20" s="47" t="s">
        <v>393</v>
      </c>
      <c r="B20" s="125">
        <f>'Pr P&amp;L proj'!B29</f>
        <v>0</v>
      </c>
      <c r="C20" s="125">
        <f>'Pr P&amp;L proj'!C29</f>
        <v>280717.27517098235</v>
      </c>
      <c r="D20" s="125">
        <f>'Pr P&amp;L proj'!D29</f>
        <v>221407.08631494874</v>
      </c>
    </row>
    <row r="21" spans="1:4" s="47" customFormat="1" ht="14.4">
      <c r="A21" s="47" t="s">
        <v>394</v>
      </c>
      <c r="B21" s="125">
        <f>'Pr P&amp;L proj'!B30</f>
        <v>-245673</v>
      </c>
      <c r="C21" s="125">
        <f>'Pr P&amp;L proj'!C30</f>
        <v>-139785</v>
      </c>
      <c r="D21" s="125">
        <f>'Pr P&amp;L proj'!D30</f>
        <v>-356972</v>
      </c>
    </row>
    <row r="22" spans="1:4" s="47" customFormat="1" ht="14.4">
      <c r="A22" s="47" t="s">
        <v>459</v>
      </c>
      <c r="B22" s="125">
        <f>'Pr P&amp;L proj'!B38/2</f>
        <v>-168680.6875</v>
      </c>
      <c r="C22" s="125">
        <f>'Pr P&amp;L proj'!C38/2</f>
        <v>-328900</v>
      </c>
      <c r="D22" s="125">
        <f>'Pr P&amp;L proj'!D38/2</f>
        <v>-286195</v>
      </c>
    </row>
    <row r="23" spans="1:4" s="44" customFormat="1" ht="15.6">
      <c r="A23" s="47" t="s">
        <v>608</v>
      </c>
      <c r="B23" s="125">
        <f>'Pr P&amp;L proj'!B45</f>
        <v>-143621.44918908077</v>
      </c>
      <c r="C23" s="125">
        <f>'Pr P&amp;L proj'!C45</f>
        <v>-1827154.1466130179</v>
      </c>
      <c r="D23" s="125">
        <f>'Pr P&amp;L proj'!D45</f>
        <v>-1968169.4240114619</v>
      </c>
    </row>
    <row r="24" spans="1:4" ht="15.6">
      <c r="A24" s="1" t="s">
        <v>452</v>
      </c>
      <c r="B24" s="42">
        <v>0</v>
      </c>
      <c r="C24" s="42">
        <v>0</v>
      </c>
      <c r="D24" s="42">
        <v>0</v>
      </c>
    </row>
    <row r="25" spans="1:4" ht="36">
      <c r="A25" s="9" t="s">
        <v>453</v>
      </c>
      <c r="B25" s="54">
        <f>B6+B9+B24</f>
        <v>6277317.1032167524</v>
      </c>
      <c r="C25" s="54">
        <f>C6+C9+C24</f>
        <v>23179154.332423344</v>
      </c>
      <c r="D25" s="54">
        <f>D6+D9+D24</f>
        <v>22979844.572042823</v>
      </c>
    </row>
    <row r="26" spans="1:4">
      <c r="A26" s="9"/>
      <c r="B26" s="54"/>
      <c r="C26" s="54"/>
      <c r="D26" s="54"/>
    </row>
    <row r="27" spans="1:4" s="44" customFormat="1" ht="21">
      <c r="A27" s="92" t="s">
        <v>454</v>
      </c>
      <c r="B27" s="54"/>
      <c r="C27" s="54"/>
      <c r="D27" s="54"/>
    </row>
    <row r="28" spans="1:4" s="47" customFormat="1" ht="14.4">
      <c r="A28" s="8" t="s">
        <v>464</v>
      </c>
      <c r="B28" s="125">
        <v>0</v>
      </c>
      <c r="C28" s="125">
        <v>0</v>
      </c>
      <c r="D28" s="125">
        <v>0</v>
      </c>
    </row>
    <row r="29" spans="1:4" s="47" customFormat="1" ht="14.4">
      <c r="A29" s="8" t="s">
        <v>488</v>
      </c>
      <c r="B29" s="125">
        <f>-Предположения!C52</f>
        <v>-2178193.2238896429</v>
      </c>
      <c r="C29" s="125">
        <f>-Предположения!D52</f>
        <v>-2396304.7398686586</v>
      </c>
      <c r="D29" s="125">
        <f>-Предположения!E52</f>
        <v>-2415350.0325267138</v>
      </c>
    </row>
    <row r="30" spans="1:4" s="47" customFormat="1" ht="14.4">
      <c r="A30" s="8" t="s">
        <v>489</v>
      </c>
      <c r="B30" s="125">
        <f>-B46</f>
        <v>0</v>
      </c>
      <c r="C30" s="125">
        <f t="shared" ref="C30:D30" si="1">-C46</f>
        <v>-7500000</v>
      </c>
      <c r="D30" s="125">
        <f t="shared" si="1"/>
        <v>0</v>
      </c>
    </row>
    <row r="31" spans="1:4" s="47" customFormat="1" ht="14.4">
      <c r="A31" s="8" t="s">
        <v>465</v>
      </c>
      <c r="B31" s="125">
        <v>0</v>
      </c>
      <c r="C31" s="125">
        <v>0</v>
      </c>
      <c r="D31" s="125">
        <v>0</v>
      </c>
    </row>
    <row r="32" spans="1:4" s="47" customFormat="1" ht="28.8">
      <c r="A32" s="8" t="s">
        <v>466</v>
      </c>
      <c r="B32" s="125">
        <f>-Предположения!C51</f>
        <v>0</v>
      </c>
      <c r="C32" s="125">
        <f>-Предположения!D51</f>
        <v>-23963047.398686584</v>
      </c>
      <c r="D32" s="125">
        <f>-Предположения!E51</f>
        <v>0</v>
      </c>
    </row>
    <row r="33" spans="1:4" s="47" customFormat="1" ht="28.8">
      <c r="A33" s="8" t="s">
        <v>467</v>
      </c>
      <c r="B33" s="125">
        <v>0</v>
      </c>
      <c r="C33" s="125">
        <v>0</v>
      </c>
      <c r="D33" s="125">
        <v>0</v>
      </c>
    </row>
    <row r="34" spans="1:4" s="47" customFormat="1" ht="14.4">
      <c r="A34" s="8" t="s">
        <v>470</v>
      </c>
      <c r="B34" s="125">
        <v>0</v>
      </c>
      <c r="C34" s="125">
        <v>0</v>
      </c>
      <c r="D34" s="125">
        <v>0</v>
      </c>
    </row>
    <row r="35" spans="1:4" s="149" customFormat="1" ht="14.4">
      <c r="A35" s="8" t="s">
        <v>650</v>
      </c>
      <c r="B35" s="125">
        <v>0</v>
      </c>
      <c r="C35" s="125">
        <v>0</v>
      </c>
      <c r="D35" s="125">
        <v>0</v>
      </c>
    </row>
    <row r="36" spans="1:4" s="44" customFormat="1" ht="36">
      <c r="A36" s="9" t="s">
        <v>468</v>
      </c>
      <c r="B36" s="54">
        <f>SUM(B28:B35)</f>
        <v>-2178193.2238896429</v>
      </c>
      <c r="C36" s="54">
        <f t="shared" ref="C36:D36" si="2">SUM(C28:C35)</f>
        <v>-33859352.138555244</v>
      </c>
      <c r="D36" s="54">
        <f t="shared" si="2"/>
        <v>-2415350.0325267138</v>
      </c>
    </row>
    <row r="37" spans="1:4">
      <c r="A37" s="9"/>
      <c r="B37" s="43"/>
      <c r="C37" s="43"/>
      <c r="D37" s="43"/>
    </row>
    <row r="38" spans="1:4" s="1" customFormat="1" ht="21">
      <c r="A38" s="92" t="s">
        <v>455</v>
      </c>
      <c r="B38" s="54"/>
      <c r="C38" s="54"/>
      <c r="D38" s="54"/>
    </row>
    <row r="39" spans="1:4" s="1" customFormat="1" ht="15.6">
      <c r="A39" s="95" t="s">
        <v>404</v>
      </c>
      <c r="B39" s="42">
        <f>'Pr P&amp;L proj'!B37</f>
        <v>1779374.9999999958</v>
      </c>
      <c r="C39" s="42">
        <f>'Pr P&amp;L proj'!C37</f>
        <v>0</v>
      </c>
      <c r="D39" s="42">
        <f>'Pr P&amp;L proj'!D37</f>
        <v>0</v>
      </c>
    </row>
    <row r="40" spans="1:4" s="47" customFormat="1" ht="15.6">
      <c r="A40" s="1" t="s">
        <v>449</v>
      </c>
      <c r="B40" s="42">
        <f>B41+B43+B42</f>
        <v>-651545.171875</v>
      </c>
      <c r="C40" s="42">
        <f t="shared" ref="C40:D40" si="3">C41+C43+C42</f>
        <v>-1405120.0457654225</v>
      </c>
      <c r="D40" s="42">
        <f t="shared" si="3"/>
        <v>-1286607.0887544523</v>
      </c>
    </row>
    <row r="41" spans="1:4" s="47" customFormat="1" ht="14.4">
      <c r="A41" s="47" t="s">
        <v>171</v>
      </c>
      <c r="B41" s="125">
        <f>'Pr P&amp;L proj'!B33</f>
        <v>-42170.171875</v>
      </c>
      <c r="C41" s="125">
        <f>'Pr P&amp;L proj'!C33</f>
        <v>-82225</v>
      </c>
      <c r="D41" s="125">
        <f>'Pr P&amp;L proj'!D33</f>
        <v>-71548.75</v>
      </c>
    </row>
    <row r="42" spans="1:4" s="47" customFormat="1" ht="14.4">
      <c r="A42" s="47" t="s">
        <v>212</v>
      </c>
      <c r="B42" s="125">
        <f>'Pr P&amp;L proj'!B35</f>
        <v>-609375</v>
      </c>
      <c r="C42" s="125">
        <f>'Pr P&amp;L proj'!C35</f>
        <v>-812500</v>
      </c>
      <c r="D42" s="125">
        <f>'Pr P&amp;L proj'!D35</f>
        <v>-812500</v>
      </c>
    </row>
    <row r="43" spans="1:4" s="44" customFormat="1" ht="15.6">
      <c r="A43" s="47" t="s">
        <v>173</v>
      </c>
      <c r="B43" s="125">
        <f>'Pr P&amp;L proj'!B36</f>
        <v>0</v>
      </c>
      <c r="C43" s="125">
        <f>'Pr P&amp;L proj'!C36</f>
        <v>-510395.04576542246</v>
      </c>
      <c r="D43" s="125">
        <f>'Pr P&amp;L proj'!D36</f>
        <v>-402558.3387544523</v>
      </c>
    </row>
    <row r="44" spans="1:4" s="44" customFormat="1" ht="15.6">
      <c r="A44" s="95" t="s">
        <v>456</v>
      </c>
      <c r="B44" s="43">
        <f>'Pr Fin'!B25+'Pr Fin'!B32+'Pr Fin'!B38</f>
        <v>0</v>
      </c>
      <c r="C44" s="43">
        <f>'Pr Fin'!C25+'Pr Fin'!C32+'Pr Fin'!C38</f>
        <v>10207900.915308449</v>
      </c>
      <c r="D44" s="43">
        <f>'Pr Fin'!D25+'Pr Fin'!D32+'Pr Fin'!D38</f>
        <v>8051166.775089046</v>
      </c>
    </row>
    <row r="45" spans="1:4" s="44" customFormat="1" ht="15.6">
      <c r="A45" s="95" t="s">
        <v>457</v>
      </c>
      <c r="B45" s="43">
        <f>'Pr Fin'!B27+'Pr Fin'!B34+'Pr Fin'!B39</f>
        <v>0</v>
      </c>
      <c r="C45" s="43">
        <f>'Pr Fin'!C27+'Pr Fin'!C34+'Pr Fin'!C39</f>
        <v>0</v>
      </c>
      <c r="D45" s="43">
        <f>'Pr Fin'!D27+'Pr Fin'!D34+'Pr Fin'!D39</f>
        <v>-9661400.1301068552</v>
      </c>
    </row>
    <row r="46" spans="1:4" s="44" customFormat="1" ht="15.6">
      <c r="A46" s="95" t="s">
        <v>463</v>
      </c>
      <c r="B46" s="43">
        <f>Лизинг!C32</f>
        <v>0</v>
      </c>
      <c r="C46" s="43">
        <f>Лизинг!D32</f>
        <v>7500000</v>
      </c>
      <c r="D46" s="43">
        <f>Лизинг!E32</f>
        <v>0</v>
      </c>
    </row>
    <row r="47" spans="1:4" s="44" customFormat="1" ht="15.6">
      <c r="A47" s="95" t="s">
        <v>462</v>
      </c>
      <c r="B47" s="43">
        <f>Лизинг!C33</f>
        <v>-2970000</v>
      </c>
      <c r="C47" s="43">
        <f>Лизинг!D33</f>
        <v>-4770000</v>
      </c>
      <c r="D47" s="43">
        <f>Лизинг!E33</f>
        <v>-4470000</v>
      </c>
    </row>
    <row r="48" spans="1:4" ht="31.2">
      <c r="A48" s="97" t="s">
        <v>458</v>
      </c>
      <c r="B48" s="43">
        <f>'Pr P&amp;L proj'!B38/2</f>
        <v>-168680.6875</v>
      </c>
      <c r="C48" s="43">
        <f>'Pr P&amp;L proj'!C38/2</f>
        <v>-328900</v>
      </c>
      <c r="D48" s="43">
        <f>'Pr P&amp;L proj'!D38/2</f>
        <v>-286195</v>
      </c>
    </row>
    <row r="49" spans="1:4" ht="36">
      <c r="A49" s="9" t="s">
        <v>469</v>
      </c>
      <c r="B49" s="54">
        <f>B39+B40+B44+B45+B46+B47+B48</f>
        <v>-2010850.8593750042</v>
      </c>
      <c r="C49" s="54">
        <f t="shared" ref="C49:D49" si="4">C39+C40+C44+C45+C46+C47+C48</f>
        <v>11203880.869543027</v>
      </c>
      <c r="D49" s="54">
        <f t="shared" si="4"/>
        <v>-7653035.443772262</v>
      </c>
    </row>
    <row r="50" spans="1:4" s="148" customFormat="1" ht="21">
      <c r="A50" s="2"/>
      <c r="B50" s="54"/>
      <c r="C50" s="54"/>
      <c r="D50" s="54"/>
    </row>
    <row r="51" spans="1:4" ht="42">
      <c r="A51" s="85" t="s">
        <v>490</v>
      </c>
      <c r="B51" s="86">
        <f>B49+B36+B25</f>
        <v>2088273.0199521054</v>
      </c>
      <c r="C51" s="86">
        <f t="shared" ref="C51:D51" si="5">C49+C36+C25</f>
        <v>523683.06341112778</v>
      </c>
      <c r="D51" s="86">
        <f t="shared" si="5"/>
        <v>12911459.095743846</v>
      </c>
    </row>
    <row r="52" spans="1:4">
      <c r="B52" s="41"/>
      <c r="C52" s="41"/>
      <c r="D52" s="41"/>
    </row>
    <row r="53" spans="1:4" ht="36">
      <c r="A53" s="9" t="s">
        <v>492</v>
      </c>
      <c r="B53" s="54">
        <f>Предположения!B173</f>
        <v>273451</v>
      </c>
      <c r="C53" s="54">
        <f>B54</f>
        <v>2361724.0199521054</v>
      </c>
      <c r="D53" s="54">
        <f t="shared" ref="D53" si="6">C54</f>
        <v>2885407.0833632331</v>
      </c>
    </row>
    <row r="54" spans="1:4" ht="36">
      <c r="A54" s="9" t="s">
        <v>491</v>
      </c>
      <c r="B54" s="54">
        <f>B53+B51</f>
        <v>2361724.0199521054</v>
      </c>
      <c r="C54" s="54">
        <f>C53+C51</f>
        <v>2885407.0833632331</v>
      </c>
      <c r="D54" s="54">
        <f t="shared" ref="D54" si="7">D53+D51</f>
        <v>15796866.179107079</v>
      </c>
    </row>
    <row r="55" spans="1:4">
      <c r="B55" s="41"/>
      <c r="C55" s="41"/>
      <c r="D55" s="41"/>
    </row>
    <row r="56" spans="1:4">
      <c r="B56" s="41"/>
      <c r="C56" s="41"/>
      <c r="D56" s="41"/>
    </row>
    <row r="57" spans="1:4">
      <c r="B57" s="41"/>
      <c r="C57" s="41"/>
      <c r="D57" s="41"/>
    </row>
    <row r="58" spans="1:4">
      <c r="B58" s="41"/>
      <c r="C58" s="41"/>
      <c r="D58" s="41"/>
    </row>
    <row r="59" spans="1:4">
      <c r="B59" s="41"/>
      <c r="C59" s="41"/>
      <c r="D59" s="41"/>
    </row>
    <row r="60" spans="1:4">
      <c r="B60" s="41"/>
      <c r="C60" s="41"/>
      <c r="D60" s="41"/>
    </row>
    <row r="61" spans="1:4">
      <c r="B61" s="41"/>
      <c r="C61" s="41"/>
      <c r="D61" s="41"/>
    </row>
    <row r="62" spans="1:4">
      <c r="B62" s="41"/>
      <c r="C62" s="41"/>
      <c r="D62" s="41"/>
    </row>
    <row r="63" spans="1:4">
      <c r="B63" s="41"/>
      <c r="C63" s="41"/>
      <c r="D63" s="41"/>
    </row>
    <row r="64" spans="1: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  <row r="70" spans="2:4">
      <c r="B70" s="41"/>
      <c r="C70" s="41"/>
      <c r="D70" s="41"/>
    </row>
    <row r="71" spans="2:4">
      <c r="B71" s="41"/>
      <c r="C71" s="41"/>
      <c r="D71" s="41"/>
    </row>
    <row r="72" spans="2:4">
      <c r="B72" s="41"/>
      <c r="C72" s="41"/>
      <c r="D72" s="41"/>
    </row>
    <row r="73" spans="2:4">
      <c r="B73" s="41"/>
      <c r="C73" s="41"/>
      <c r="D73" s="4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H69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/>
  <cols>
    <col min="1" max="1" width="79.44140625" style="49" customWidth="1"/>
    <col min="2" max="4" width="24.77734375" style="2" customWidth="1"/>
    <col min="5" max="5" width="18.77734375" style="2" customWidth="1"/>
    <col min="6" max="16384" width="8.88671875" style="2"/>
  </cols>
  <sheetData>
    <row r="1" spans="1:4" ht="14.4">
      <c r="A1" s="303" t="s">
        <v>740</v>
      </c>
    </row>
    <row r="2" spans="1:4" ht="21">
      <c r="A2" s="92" t="s">
        <v>543</v>
      </c>
    </row>
    <row r="3" spans="1:4" ht="21">
      <c r="A3" s="92" t="s">
        <v>551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6">
      <c r="A6" s="1" t="s">
        <v>446</v>
      </c>
      <c r="B6" s="42">
        <f>B7+B8</f>
        <v>104595903.75</v>
      </c>
      <c r="C6" s="42">
        <f t="shared" ref="C6:D6" si="0">C7+C8</f>
        <v>176490000</v>
      </c>
      <c r="D6" s="42">
        <f t="shared" si="0"/>
        <v>122698012.5</v>
      </c>
    </row>
    <row r="7" spans="1:4" s="47" customFormat="1" ht="14.4">
      <c r="A7" s="47" t="s">
        <v>262</v>
      </c>
      <c r="B7" s="125">
        <f>'Tr P&amp;L 2012'!B8</f>
        <v>8607292.5</v>
      </c>
      <c r="C7" s="125">
        <f>'Tr P&amp;L 2012'!C8</f>
        <v>13986900</v>
      </c>
      <c r="D7" s="125">
        <f>'Tr P&amp;L 2012'!D8</f>
        <v>11043112.5</v>
      </c>
    </row>
    <row r="8" spans="1:4" s="47" customFormat="1" ht="14.4">
      <c r="A8" s="47" t="s">
        <v>263</v>
      </c>
      <c r="B8" s="125">
        <f>'Tr P&amp;L 2012'!B9</f>
        <v>95988611.25</v>
      </c>
      <c r="C8" s="125">
        <f>'Tr P&amp;L 2012'!C9</f>
        <v>162503100</v>
      </c>
      <c r="D8" s="125">
        <f>'Tr P&amp;L 2012'!D9</f>
        <v>111654900</v>
      </c>
    </row>
    <row r="9" spans="1:4" s="1" customFormat="1" ht="15.6">
      <c r="A9" s="1" t="s">
        <v>665</v>
      </c>
      <c r="B9" s="42">
        <f>SUM(B10,B13:B20)</f>
        <v>-102273652.27446336</v>
      </c>
      <c r="C9" s="42">
        <f t="shared" ref="C9:D9" si="1">SUM(C10,C13:C20)</f>
        <v>-173947128.89812502</v>
      </c>
      <c r="D9" s="42">
        <f t="shared" si="1"/>
        <v>-121637340.14732578</v>
      </c>
    </row>
    <row r="10" spans="1:4" s="47" customFormat="1" ht="14.4">
      <c r="A10" s="47" t="s">
        <v>265</v>
      </c>
      <c r="B10" s="125">
        <f>'Tr P&amp;L 2012'!B11</f>
        <v>-83786137.5</v>
      </c>
      <c r="C10" s="125">
        <f>'Tr P&amp;L 2012'!C11</f>
        <v>-136739000</v>
      </c>
      <c r="D10" s="125">
        <f>'Tr P&amp;L 2012'!D11</f>
        <v>-108484000</v>
      </c>
    </row>
    <row r="11" spans="1:4" s="47" customFormat="1" ht="14.4">
      <c r="A11" s="126" t="s">
        <v>266</v>
      </c>
      <c r="B11" s="259">
        <f>'Tr P&amp;L 2012'!B12</f>
        <v>-33736137.5</v>
      </c>
      <c r="C11" s="259">
        <f>'Tr P&amp;L 2012'!C12</f>
        <v>-65780000</v>
      </c>
      <c r="D11" s="259">
        <f>'Tr P&amp;L 2012'!D12</f>
        <v>-57239000</v>
      </c>
    </row>
    <row r="12" spans="1:4" s="47" customFormat="1" ht="14.4">
      <c r="A12" s="126" t="s">
        <v>267</v>
      </c>
      <c r="B12" s="259">
        <f>'Tr P&amp;L 2012'!B13</f>
        <v>-50050000</v>
      </c>
      <c r="C12" s="259">
        <f>'Tr P&amp;L 2012'!C13</f>
        <v>-70959000</v>
      </c>
      <c r="D12" s="259">
        <f>'Tr P&amp;L 2012'!D13</f>
        <v>-51245000</v>
      </c>
    </row>
    <row r="13" spans="1:4" s="47" customFormat="1" ht="14.4">
      <c r="A13" s="47" t="s">
        <v>272</v>
      </c>
      <c r="B13" s="125">
        <f>'Tr P&amp;L 2012'!B14+'Tr P&amp;L 2012'!B32</f>
        <v>-321370.72276468761</v>
      </c>
      <c r="C13" s="125">
        <f>'Tr P&amp;L 2012'!C14+'Tr P&amp;L 2012'!C32</f>
        <v>-338487.42249999999</v>
      </c>
      <c r="D13" s="125">
        <f>'Tr P&amp;L 2012'!D14+'Tr P&amp;L 2012'!D32</f>
        <v>-103970.14484062503</v>
      </c>
    </row>
    <row r="14" spans="1:4" s="47" customFormat="1" ht="14.4">
      <c r="A14" s="47" t="s">
        <v>150</v>
      </c>
      <c r="B14" s="125">
        <f>'Tr P&amp;L 2012'!B15</f>
        <v>-1210</v>
      </c>
      <c r="C14" s="125">
        <f>'Tr P&amp;L 2012'!C15</f>
        <v>-2456</v>
      </c>
      <c r="D14" s="125">
        <f>'Tr P&amp;L 2012'!D15</f>
        <v>-3750</v>
      </c>
    </row>
    <row r="15" spans="1:4" s="47" customFormat="1" ht="14.4">
      <c r="A15" s="47" t="s">
        <v>155</v>
      </c>
      <c r="B15" s="125">
        <f>'Tr P&amp;L 2012'!B18</f>
        <v>-510756</v>
      </c>
      <c r="C15" s="125">
        <f>'Tr P&amp;L 2012'!C18</f>
        <v>-965342</v>
      </c>
      <c r="D15" s="125">
        <f>'Tr P&amp;L 2012'!D18</f>
        <v>-1051276</v>
      </c>
    </row>
    <row r="16" spans="1:4" s="47" customFormat="1" ht="14.4">
      <c r="A16" s="47" t="s">
        <v>280</v>
      </c>
      <c r="B16" s="125">
        <f>'Tr P&amp;L 2012'!B19</f>
        <v>-14406761.25</v>
      </c>
      <c r="C16" s="125">
        <f>'Tr P&amp;L 2012'!C19</f>
        <v>-30987000</v>
      </c>
      <c r="D16" s="125">
        <f>'Tr P&amp;L 2012'!D19</f>
        <v>-8762062.5</v>
      </c>
    </row>
    <row r="17" spans="1:4" s="47" customFormat="1" ht="14.4">
      <c r="A17" s="47" t="s">
        <v>268</v>
      </c>
      <c r="B17" s="125">
        <f>'Tr P&amp;L 2012'!B20</f>
        <v>-1045959.0375</v>
      </c>
      <c r="C17" s="125">
        <f>'Tr P&amp;L 2012'!C20</f>
        <v>-1764900</v>
      </c>
      <c r="D17" s="125">
        <f>'Tr P&amp;L 2012'!D20</f>
        <v>-1226980.125</v>
      </c>
    </row>
    <row r="18" spans="1:4" s="47" customFormat="1" ht="14.4">
      <c r="A18" s="47" t="s">
        <v>281</v>
      </c>
      <c r="B18" s="125">
        <f>'Tr P&amp;L 2012'!B21</f>
        <v>-117532.74422812495</v>
      </c>
      <c r="C18" s="125">
        <f>'Tr P&amp;L 2012'!C21</f>
        <v>-138506.77499999999</v>
      </c>
      <c r="D18" s="125">
        <f>'Tr P&amp;L 2012'!D21</f>
        <v>-73038.489093749813</v>
      </c>
    </row>
    <row r="19" spans="1:4" s="47" customFormat="1" ht="14.4">
      <c r="A19" s="8" t="s">
        <v>282</v>
      </c>
      <c r="B19" s="125">
        <f>'Tr P&amp;L 2012'!B22</f>
        <v>-1360840.89375</v>
      </c>
      <c r="C19" s="125">
        <f>'Tr P&amp;L 2012'!C22</f>
        <v>-2249840</v>
      </c>
      <c r="D19" s="125">
        <f>'Tr P&amp;L 2012'!D22</f>
        <v>-1698330.0625</v>
      </c>
    </row>
    <row r="20" spans="1:4" s="44" customFormat="1" ht="15.6">
      <c r="A20" s="47" t="s">
        <v>608</v>
      </c>
      <c r="B20" s="125">
        <f>'Tr P&amp;L 2012'!B37</f>
        <v>-723084.12622054713</v>
      </c>
      <c r="C20" s="125">
        <f>'Tr P&amp;L 2012'!C37</f>
        <v>-761596.70062499994</v>
      </c>
      <c r="D20" s="125">
        <f>'Tr P&amp;L 2012'!D37</f>
        <v>-233932.8258914063</v>
      </c>
    </row>
    <row r="21" spans="1:4" ht="15.6">
      <c r="A21" s="1" t="s">
        <v>452</v>
      </c>
      <c r="B21" s="42">
        <v>0</v>
      </c>
      <c r="C21" s="42">
        <v>0</v>
      </c>
      <c r="D21" s="42">
        <v>0</v>
      </c>
    </row>
    <row r="22" spans="1:4" ht="36">
      <c r="A22" s="9" t="s">
        <v>453</v>
      </c>
      <c r="B22" s="54">
        <f>B6+B9-B21</f>
        <v>2322251.4755366445</v>
      </c>
      <c r="C22" s="54">
        <f t="shared" ref="C22:D22" si="2">C6+C9-C21</f>
        <v>2542871.1018749774</v>
      </c>
      <c r="D22" s="54">
        <f t="shared" si="2"/>
        <v>1060672.352674216</v>
      </c>
    </row>
    <row r="23" spans="1:4">
      <c r="A23" s="9"/>
      <c r="B23" s="54"/>
      <c r="C23" s="54"/>
      <c r="D23" s="54"/>
    </row>
    <row r="24" spans="1:4" s="44" customFormat="1" ht="21">
      <c r="A24" s="92" t="s">
        <v>454</v>
      </c>
      <c r="B24" s="125"/>
      <c r="C24" s="125"/>
      <c r="D24" s="125"/>
    </row>
    <row r="25" spans="1:4" s="44" customFormat="1" ht="15.6">
      <c r="A25" s="8" t="s">
        <v>464</v>
      </c>
      <c r="B25" s="125"/>
      <c r="C25" s="125"/>
      <c r="D25" s="125"/>
    </row>
    <row r="26" spans="1:4" s="44" customFormat="1" ht="15.6">
      <c r="A26" s="8" t="s">
        <v>488</v>
      </c>
      <c r="B26" s="125"/>
      <c r="C26" s="125"/>
      <c r="D26" s="125"/>
    </row>
    <row r="27" spans="1:4" s="44" customFormat="1" ht="15.6">
      <c r="A27" s="8" t="s">
        <v>489</v>
      </c>
      <c r="B27" s="125"/>
      <c r="C27" s="125"/>
      <c r="D27" s="125"/>
    </row>
    <row r="28" spans="1:4" s="44" customFormat="1" ht="15.6">
      <c r="A28" s="8" t="s">
        <v>465</v>
      </c>
      <c r="B28" s="125"/>
      <c r="C28" s="125"/>
      <c r="D28" s="125"/>
    </row>
    <row r="29" spans="1:4" s="44" customFormat="1" ht="28.8">
      <c r="A29" s="8" t="s">
        <v>466</v>
      </c>
      <c r="B29" s="125"/>
      <c r="C29" s="125"/>
      <c r="D29" s="125"/>
    </row>
    <row r="30" spans="1:4" s="44" customFormat="1" ht="28.8">
      <c r="A30" s="8" t="s">
        <v>467</v>
      </c>
      <c r="B30" s="125"/>
      <c r="C30" s="125"/>
      <c r="D30" s="125"/>
    </row>
    <row r="31" spans="1:4" s="44" customFormat="1" ht="15.6">
      <c r="A31" s="8" t="s">
        <v>470</v>
      </c>
      <c r="B31" s="125"/>
      <c r="C31" s="125"/>
      <c r="D31" s="125"/>
    </row>
    <row r="32" spans="1:4" s="36" customFormat="1">
      <c r="A32" s="8" t="s">
        <v>650</v>
      </c>
      <c r="B32" s="125"/>
      <c r="C32" s="125"/>
      <c r="D32" s="125"/>
    </row>
    <row r="33" spans="1:8" s="44" customFormat="1" ht="36">
      <c r="A33" s="9" t="s">
        <v>468</v>
      </c>
      <c r="B33" s="54">
        <f>SUM(B25:B32)</f>
        <v>0</v>
      </c>
      <c r="C33" s="54">
        <f t="shared" ref="C33:D33" si="3">SUM(C25:C32)</f>
        <v>0</v>
      </c>
      <c r="D33" s="54">
        <f t="shared" si="3"/>
        <v>0</v>
      </c>
    </row>
    <row r="34" spans="1:8">
      <c r="A34" s="9"/>
      <c r="B34" s="43"/>
      <c r="C34" s="43"/>
      <c r="D34" s="43"/>
    </row>
    <row r="35" spans="1:8" s="1" customFormat="1" ht="21">
      <c r="A35" s="92" t="s">
        <v>455</v>
      </c>
      <c r="B35" s="54"/>
      <c r="C35" s="54"/>
      <c r="D35" s="54"/>
    </row>
    <row r="36" spans="1:8" s="1" customFormat="1" ht="15.6">
      <c r="A36" s="95" t="s">
        <v>404</v>
      </c>
      <c r="B36" s="42">
        <f>'Tr P&amp;L 2012'!B29</f>
        <v>0</v>
      </c>
      <c r="C36" s="42">
        <f>'Tr P&amp;L 2012'!C29</f>
        <v>0</v>
      </c>
      <c r="D36" s="42">
        <f>'Tr P&amp;L 2012'!D29</f>
        <v>0</v>
      </c>
    </row>
    <row r="37" spans="1:8" s="47" customFormat="1" ht="15.6">
      <c r="A37" s="1" t="s">
        <v>449</v>
      </c>
      <c r="B37" s="42">
        <f>B38+B39+B40+B41+B42</f>
        <v>-120617.0996875</v>
      </c>
      <c r="C37" s="42">
        <f t="shared" ref="C37:D37" si="4">C38+C39+C40+C41+C42</f>
        <v>-214592.5</v>
      </c>
      <c r="D37" s="42">
        <f t="shared" si="4"/>
        <v>-163572.25937500002</v>
      </c>
    </row>
    <row r="38" spans="1:8" ht="14.4">
      <c r="A38" s="47" t="s">
        <v>285</v>
      </c>
      <c r="B38" s="57">
        <f>'Tr P&amp;L 2012'!B25</f>
        <v>-78446.927812499998</v>
      </c>
      <c r="C38" s="57">
        <f>'Tr P&amp;L 2012'!C25</f>
        <v>-132367.5</v>
      </c>
      <c r="D38" s="57">
        <f>'Tr P&amp;L 2012'!D25</f>
        <v>-92023.509375000009</v>
      </c>
      <c r="E38" s="3"/>
      <c r="F38" s="3"/>
      <c r="G38" s="3"/>
      <c r="H38" s="3"/>
    </row>
    <row r="39" spans="1:8" ht="28.8">
      <c r="A39" s="8" t="s">
        <v>283</v>
      </c>
      <c r="B39" s="57">
        <f>'Tr P&amp;L 2012'!B26</f>
        <v>0</v>
      </c>
      <c r="C39" s="57">
        <f>'Tr P&amp;L 2012'!C26</f>
        <v>0</v>
      </c>
      <c r="D39" s="57">
        <f>'Tr P&amp;L 2012'!D26</f>
        <v>0</v>
      </c>
      <c r="E39" s="3"/>
      <c r="F39" s="3"/>
      <c r="G39" s="3"/>
      <c r="H39" s="3"/>
    </row>
    <row r="40" spans="1:8" ht="14.4">
      <c r="A40" s="47" t="s">
        <v>212</v>
      </c>
      <c r="B40" s="57">
        <f>'Tr P&amp;L 2012'!B27</f>
        <v>0</v>
      </c>
      <c r="C40" s="57">
        <f>'Tr P&amp;L 2012'!C27</f>
        <v>0</v>
      </c>
      <c r="D40" s="57">
        <f>'Tr P&amp;L 2012'!D27</f>
        <v>0</v>
      </c>
      <c r="E40" s="3"/>
      <c r="F40" s="3"/>
      <c r="G40" s="3"/>
      <c r="H40" s="3"/>
    </row>
    <row r="41" spans="1:8" ht="28.8">
      <c r="A41" s="8" t="s">
        <v>284</v>
      </c>
      <c r="B41" s="57">
        <f>'Tr P&amp;L 2012'!B28</f>
        <v>0</v>
      </c>
      <c r="C41" s="57">
        <f>'Tr P&amp;L 2012'!C28</f>
        <v>0</v>
      </c>
      <c r="D41" s="57">
        <f>'Tr P&amp;L 2012'!D28</f>
        <v>0</v>
      </c>
      <c r="E41" s="3"/>
      <c r="F41" s="3"/>
      <c r="G41" s="3"/>
      <c r="H41" s="3"/>
    </row>
    <row r="42" spans="1:8" s="47" customFormat="1" ht="28.8">
      <c r="A42" s="8" t="s">
        <v>295</v>
      </c>
      <c r="B42" s="125">
        <f>'Pr P&amp;L proj'!B33</f>
        <v>-42170.171875</v>
      </c>
      <c r="C42" s="125">
        <f>'Pr P&amp;L proj'!C33</f>
        <v>-82225</v>
      </c>
      <c r="D42" s="125">
        <f>'Pr P&amp;L proj'!D33</f>
        <v>-71548.75</v>
      </c>
    </row>
    <row r="43" spans="1:8" s="44" customFormat="1" ht="15.6">
      <c r="A43" s="95" t="s">
        <v>456</v>
      </c>
      <c r="B43" s="43">
        <f>'Tr Fin'!B24</f>
        <v>0</v>
      </c>
      <c r="C43" s="43">
        <f>'Tr Fin'!C24</f>
        <v>0</v>
      </c>
      <c r="D43" s="43">
        <f>'Tr Fin'!D24</f>
        <v>0</v>
      </c>
    </row>
    <row r="44" spans="1:8" s="44" customFormat="1" ht="15.6">
      <c r="A44" s="95" t="s">
        <v>457</v>
      </c>
      <c r="B44" s="43">
        <f>'Tr Fin'!B25</f>
        <v>0</v>
      </c>
      <c r="C44" s="43">
        <f>'Tr Fin'!C25</f>
        <v>0</v>
      </c>
      <c r="D44" s="43">
        <f>'Tr Fin'!D25</f>
        <v>0</v>
      </c>
    </row>
    <row r="45" spans="1:8" ht="36">
      <c r="A45" s="9" t="s">
        <v>469</v>
      </c>
      <c r="B45" s="54">
        <f>B36+B37+B43+B44</f>
        <v>-120617.0996875</v>
      </c>
      <c r="C45" s="54">
        <f t="shared" ref="C45:D45" si="5">C36+C37+C43+C44</f>
        <v>-214592.5</v>
      </c>
      <c r="D45" s="54">
        <f t="shared" si="5"/>
        <v>-163572.25937500002</v>
      </c>
    </row>
    <row r="46" spans="1:8" s="148" customFormat="1" ht="21">
      <c r="A46" s="2"/>
      <c r="B46" s="54"/>
      <c r="C46" s="54"/>
      <c r="D46" s="54"/>
    </row>
    <row r="47" spans="1:8" ht="42">
      <c r="A47" s="85" t="s">
        <v>490</v>
      </c>
      <c r="B47" s="86">
        <f>B45+B33+B22</f>
        <v>2201634.3758491445</v>
      </c>
      <c r="C47" s="86">
        <f>C45+C33+C22</f>
        <v>2328278.6018749774</v>
      </c>
      <c r="D47" s="86">
        <f>D45+D33+D22</f>
        <v>897100.09329921601</v>
      </c>
    </row>
    <row r="48" spans="1:8">
      <c r="B48" s="41"/>
      <c r="C48" s="41"/>
      <c r="D48" s="41"/>
    </row>
    <row r="49" spans="1:4" ht="36">
      <c r="A49" s="9" t="s">
        <v>492</v>
      </c>
      <c r="B49" s="54">
        <f>Предположения!B190</f>
        <v>56238</v>
      </c>
      <c r="C49" s="54">
        <f>B50</f>
        <v>2257872.3758491445</v>
      </c>
      <c r="D49" s="54">
        <f t="shared" ref="D49" si="6">C50</f>
        <v>4586150.9777241219</v>
      </c>
    </row>
    <row r="50" spans="1:4" ht="36">
      <c r="A50" s="9" t="s">
        <v>491</v>
      </c>
      <c r="B50" s="54">
        <f>B49+B47</f>
        <v>2257872.3758491445</v>
      </c>
      <c r="C50" s="54">
        <f>C49+C47</f>
        <v>4586150.9777241219</v>
      </c>
      <c r="D50" s="54">
        <f t="shared" ref="D50" si="7">D49+D47</f>
        <v>5483251.0710233375</v>
      </c>
    </row>
    <row r="51" spans="1:4">
      <c r="B51" s="41"/>
      <c r="C51" s="41"/>
      <c r="D51" s="41"/>
    </row>
    <row r="52" spans="1:4">
      <c r="B52" s="41"/>
      <c r="C52" s="41"/>
      <c r="D52" s="41"/>
    </row>
    <row r="53" spans="1:4">
      <c r="B53" s="41"/>
      <c r="C53" s="41"/>
      <c r="D53" s="41"/>
    </row>
    <row r="54" spans="1:4">
      <c r="B54" s="41"/>
      <c r="C54" s="41"/>
      <c r="D54" s="41"/>
    </row>
    <row r="55" spans="1:4">
      <c r="B55" s="41"/>
      <c r="C55" s="41"/>
      <c r="D55" s="41"/>
    </row>
    <row r="56" spans="1:4">
      <c r="B56" s="41"/>
      <c r="C56" s="41"/>
      <c r="D56" s="41"/>
    </row>
    <row r="57" spans="1:4">
      <c r="B57" s="41"/>
      <c r="C57" s="41"/>
      <c r="D57" s="41"/>
    </row>
    <row r="58" spans="1:4">
      <c r="B58" s="41"/>
      <c r="C58" s="41"/>
      <c r="D58" s="41"/>
    </row>
    <row r="59" spans="1:4">
      <c r="B59" s="41"/>
      <c r="C59" s="41"/>
      <c r="D59" s="41"/>
    </row>
    <row r="60" spans="1:4">
      <c r="B60" s="41"/>
      <c r="C60" s="41"/>
      <c r="D60" s="41"/>
    </row>
    <row r="61" spans="1:4">
      <c r="B61" s="41"/>
      <c r="C61" s="41"/>
      <c r="D61" s="41"/>
    </row>
    <row r="62" spans="1:4">
      <c r="B62" s="41"/>
      <c r="C62" s="41"/>
      <c r="D62" s="41"/>
    </row>
    <row r="63" spans="1:4">
      <c r="B63" s="41"/>
      <c r="C63" s="41"/>
      <c r="D63" s="41"/>
    </row>
    <row r="64" spans="1: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D5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/>
  <cols>
    <col min="1" max="1" width="79.44140625" style="49" customWidth="1"/>
    <col min="2" max="4" width="24.77734375" style="2" customWidth="1"/>
    <col min="5" max="5" width="18.77734375" style="2" customWidth="1"/>
    <col min="6" max="16384" width="8.88671875" style="2"/>
  </cols>
  <sheetData>
    <row r="1" spans="1:4" ht="14.4">
      <c r="A1" s="303" t="s">
        <v>740</v>
      </c>
    </row>
    <row r="2" spans="1:4" ht="21">
      <c r="A2" s="92" t="s">
        <v>544</v>
      </c>
    </row>
    <row r="3" spans="1:4" ht="21">
      <c r="A3" s="92" t="s">
        <v>549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6">
      <c r="A6" s="1" t="s">
        <v>446</v>
      </c>
      <c r="B6" s="42">
        <f>'Pr CF 2012'!B6+'Tr CF 2012'!B6</f>
        <v>159594541.25</v>
      </c>
      <c r="C6" s="42">
        <f>'Pr CF 2012'!C6+'Tr CF 2012'!C6</f>
        <v>273455000</v>
      </c>
      <c r="D6" s="42">
        <f>'Pr CF 2012'!D6+'Tr CF 2012'!D6</f>
        <v>217422012.5</v>
      </c>
    </row>
    <row r="7" spans="1:4" s="1" customFormat="1" ht="15.6">
      <c r="A7" s="1" t="s">
        <v>665</v>
      </c>
      <c r="B7" s="42">
        <f>'Pr CF 2012'!B9+'Tr CF 2012'!B9</f>
        <v>-150994972.67124659</v>
      </c>
      <c r="C7" s="42">
        <f>'Pr CF 2012'!C9+'Tr CF 2012'!C9</f>
        <v>-247732974.56570166</v>
      </c>
      <c r="D7" s="42">
        <f>'Pr CF 2012'!D9+'Tr CF 2012'!D9</f>
        <v>-193381495.57528296</v>
      </c>
    </row>
    <row r="8" spans="1:4" ht="15.6">
      <c r="A8" s="1" t="s">
        <v>452</v>
      </c>
      <c r="B8" s="42">
        <f>'Pr CF 2012'!B24+'Tr CF 2012'!B21</f>
        <v>0</v>
      </c>
      <c r="C8" s="42">
        <f>'Pr CF 2012'!C24+'Tr CF 2012'!C21</f>
        <v>0</v>
      </c>
      <c r="D8" s="42">
        <f>'Pr CF 2012'!D24+'Tr CF 2012'!D21</f>
        <v>0</v>
      </c>
    </row>
    <row r="9" spans="1:4" ht="36">
      <c r="A9" s="9" t="s">
        <v>453</v>
      </c>
      <c r="B9" s="54">
        <f>B6+B7-B8</f>
        <v>8599568.5787534118</v>
      </c>
      <c r="C9" s="54">
        <f t="shared" ref="C9:D9" si="0">C6+C7-C8</f>
        <v>25722025.434298337</v>
      </c>
      <c r="D9" s="54">
        <f t="shared" si="0"/>
        <v>24040516.924717039</v>
      </c>
    </row>
    <row r="10" spans="1:4">
      <c r="A10" s="9"/>
      <c r="B10" s="54"/>
      <c r="C10" s="54"/>
      <c r="D10" s="54"/>
    </row>
    <row r="11" spans="1:4" s="44" customFormat="1" ht="21">
      <c r="A11" s="92" t="s">
        <v>454</v>
      </c>
      <c r="B11" s="54"/>
      <c r="C11" s="54"/>
      <c r="D11" s="54"/>
    </row>
    <row r="12" spans="1:4" s="47" customFormat="1" ht="14.4">
      <c r="A12" s="8" t="s">
        <v>464</v>
      </c>
      <c r="B12" s="125">
        <f>'Pr CF 2012'!B28+'Tr CF 2012'!B25</f>
        <v>0</v>
      </c>
      <c r="C12" s="125">
        <f>'Pr CF 2012'!C28+'Tr CF 2012'!C25</f>
        <v>0</v>
      </c>
      <c r="D12" s="125">
        <f>'Pr CF 2012'!D28+'Tr CF 2012'!D25</f>
        <v>0</v>
      </c>
    </row>
    <row r="13" spans="1:4" s="47" customFormat="1" ht="14.4">
      <c r="A13" s="8" t="s">
        <v>488</v>
      </c>
      <c r="B13" s="125">
        <f>'Pr CF 2012'!B29+'Tr CF 2012'!B26</f>
        <v>-2178193.2238896429</v>
      </c>
      <c r="C13" s="125">
        <f>'Pr CF 2012'!C29+'Tr CF 2012'!C26</f>
        <v>-2396304.7398686586</v>
      </c>
      <c r="D13" s="125">
        <f>'Pr CF 2012'!D29+'Tr CF 2012'!D26</f>
        <v>-2415350.0325267138</v>
      </c>
    </row>
    <row r="14" spans="1:4" s="47" customFormat="1" ht="14.4">
      <c r="A14" s="8" t="s">
        <v>489</v>
      </c>
      <c r="B14" s="125">
        <f>'Pr CF 2012'!B30+'Tr CF 2012'!B27</f>
        <v>0</v>
      </c>
      <c r="C14" s="125">
        <f>'Pr CF 2012'!C30+'Tr CF 2012'!C27</f>
        <v>-7500000</v>
      </c>
      <c r="D14" s="125">
        <f>'Pr CF 2012'!D30+'Tr CF 2012'!D27</f>
        <v>0</v>
      </c>
    </row>
    <row r="15" spans="1:4" s="47" customFormat="1" ht="14.4">
      <c r="A15" s="8" t="s">
        <v>465</v>
      </c>
      <c r="B15" s="125">
        <f>'Pr CF 2012'!B31+'Tr CF 2012'!B28</f>
        <v>0</v>
      </c>
      <c r="C15" s="125">
        <f>'Pr CF 2012'!C31+'Tr CF 2012'!C28</f>
        <v>0</v>
      </c>
      <c r="D15" s="125">
        <f>'Pr CF 2012'!D31+'Tr CF 2012'!D28</f>
        <v>0</v>
      </c>
    </row>
    <row r="16" spans="1:4" s="47" customFormat="1" ht="28.8">
      <c r="A16" s="8" t="s">
        <v>466</v>
      </c>
      <c r="B16" s="125">
        <f>'Pr CF 2012'!B32+'Tr CF 2012'!B29</f>
        <v>0</v>
      </c>
      <c r="C16" s="125">
        <f>'Pr CF 2012'!C32+'Tr CF 2012'!C29</f>
        <v>-23963047.398686584</v>
      </c>
      <c r="D16" s="125">
        <f>'Pr CF 2012'!D32+'Tr CF 2012'!D29</f>
        <v>0</v>
      </c>
    </row>
    <row r="17" spans="1:4" s="47" customFormat="1" ht="28.8">
      <c r="A17" s="8" t="s">
        <v>467</v>
      </c>
      <c r="B17" s="125">
        <f>'Pr CF 2012'!B33+'Tr CF 2012'!B30</f>
        <v>0</v>
      </c>
      <c r="C17" s="125">
        <f>'Pr CF 2012'!C33+'Tr CF 2012'!C30</f>
        <v>0</v>
      </c>
      <c r="D17" s="125">
        <f>'Pr CF 2012'!D33+'Tr CF 2012'!D30</f>
        <v>0</v>
      </c>
    </row>
    <row r="18" spans="1:4" s="47" customFormat="1" ht="14.4">
      <c r="A18" s="8" t="s">
        <v>470</v>
      </c>
      <c r="B18" s="125">
        <f>'Pr CF 2012'!B34+'Tr CF 2012'!B31</f>
        <v>0</v>
      </c>
      <c r="C18" s="125">
        <f>'Pr CF 2012'!C34+'Tr CF 2012'!C31</f>
        <v>0</v>
      </c>
      <c r="D18" s="125">
        <f>'Pr CF 2012'!D34+'Tr CF 2012'!D31</f>
        <v>0</v>
      </c>
    </row>
    <row r="19" spans="1:4" s="149" customFormat="1" ht="14.4">
      <c r="A19" s="8" t="s">
        <v>650</v>
      </c>
      <c r="B19" s="125">
        <f>'Pr CF 2012'!B35+'Tr CF 2012'!B32</f>
        <v>0</v>
      </c>
      <c r="C19" s="125">
        <f>'Pr CF 2012'!C35+'Tr CF 2012'!C32</f>
        <v>0</v>
      </c>
      <c r="D19" s="125">
        <f>'Pr CF 2012'!D35+'Tr CF 2012'!D32</f>
        <v>0</v>
      </c>
    </row>
    <row r="20" spans="1:4" s="44" customFormat="1" ht="36">
      <c r="A20" s="9" t="s">
        <v>468</v>
      </c>
      <c r="B20" s="54">
        <f>SUM(B12:B19)</f>
        <v>-2178193.2238896429</v>
      </c>
      <c r="C20" s="54">
        <f t="shared" ref="C20:D20" si="1">SUM(C12:C19)</f>
        <v>-33859352.138555244</v>
      </c>
      <c r="D20" s="54">
        <f t="shared" si="1"/>
        <v>-2415350.0325267138</v>
      </c>
    </row>
    <row r="21" spans="1:4">
      <c r="A21" s="9"/>
      <c r="B21" s="43"/>
      <c r="C21" s="43"/>
      <c r="D21" s="43"/>
    </row>
    <row r="22" spans="1:4" s="1" customFormat="1" ht="21">
      <c r="A22" s="92" t="s">
        <v>455</v>
      </c>
      <c r="B22" s="54"/>
      <c r="C22" s="54"/>
      <c r="D22" s="54"/>
    </row>
    <row r="23" spans="1:4" s="1" customFormat="1" ht="15.6">
      <c r="A23" s="95" t="s">
        <v>404</v>
      </c>
      <c r="B23" s="42">
        <f>'Pr CF 2012'!B39+'Tr CF 2012'!B36</f>
        <v>1779374.9999999958</v>
      </c>
      <c r="C23" s="42">
        <f>'Pr CF 2012'!C39+'Tr CF 2012'!C36</f>
        <v>0</v>
      </c>
      <c r="D23" s="42">
        <f>'Pr CF 2012'!D39+'Tr CF 2012'!D36</f>
        <v>0</v>
      </c>
    </row>
    <row r="24" spans="1:4" s="47" customFormat="1" ht="15.6">
      <c r="A24" s="1" t="s">
        <v>449</v>
      </c>
      <c r="B24" s="42">
        <f>'Pr CF 2012'!B40+'Pr CF 2012'!B48+'Tr CF 2012'!B37</f>
        <v>-940842.95906250004</v>
      </c>
      <c r="C24" s="42">
        <f>'Pr CF 2012'!C40+'Pr CF 2012'!C48+'Tr CF 2012'!C37</f>
        <v>-1948612.5457654225</v>
      </c>
      <c r="D24" s="42">
        <f>'Pr CF 2012'!D40+'Pr CF 2012'!D48+'Tr CF 2012'!D37</f>
        <v>-1736374.3481294522</v>
      </c>
    </row>
    <row r="25" spans="1:4" s="44" customFormat="1" ht="15.6">
      <c r="A25" s="95" t="s">
        <v>456</v>
      </c>
      <c r="B25" s="43">
        <f>'Pr CF 2012'!B44+'Tr CF 2012'!B43</f>
        <v>0</v>
      </c>
      <c r="C25" s="43">
        <f>'Pr CF 2012'!C44+'Tr CF 2012'!C43</f>
        <v>10207900.915308449</v>
      </c>
      <c r="D25" s="43">
        <f>'Pr CF 2012'!D44+'Tr CF 2012'!D43</f>
        <v>8051166.775089046</v>
      </c>
    </row>
    <row r="26" spans="1:4" s="44" customFormat="1" ht="15.6">
      <c r="A26" s="95" t="s">
        <v>457</v>
      </c>
      <c r="B26" s="43">
        <f>'Pr CF 2012'!B45+'Tr CF 2012'!B44</f>
        <v>0</v>
      </c>
      <c r="C26" s="43">
        <f>'Pr CF 2012'!C45+'Tr CF 2012'!C44</f>
        <v>0</v>
      </c>
      <c r="D26" s="43">
        <f>'Pr CF 2012'!D45+'Tr CF 2012'!D44</f>
        <v>-9661400.1301068552</v>
      </c>
    </row>
    <row r="27" spans="1:4" s="44" customFormat="1" ht="15.6">
      <c r="A27" s="95" t="s">
        <v>463</v>
      </c>
      <c r="B27" s="43">
        <f>'Pr CF 2012'!B46</f>
        <v>0</v>
      </c>
      <c r="C27" s="43">
        <f>'Pr CF 2012'!C46</f>
        <v>7500000</v>
      </c>
      <c r="D27" s="43">
        <f>'Pr CF 2012'!D46</f>
        <v>0</v>
      </c>
    </row>
    <row r="28" spans="1:4" s="44" customFormat="1" ht="15.6">
      <c r="A28" s="95" t="s">
        <v>462</v>
      </c>
      <c r="B28" s="43">
        <f>'Pr CF 2012'!B47</f>
        <v>-2970000</v>
      </c>
      <c r="C28" s="43">
        <f>'Pr CF 2012'!C47</f>
        <v>-4770000</v>
      </c>
      <c r="D28" s="43">
        <f>'Pr CF 2012'!D47</f>
        <v>-4470000</v>
      </c>
    </row>
    <row r="29" spans="1:4" ht="36">
      <c r="A29" s="9" t="s">
        <v>469</v>
      </c>
      <c r="B29" s="54">
        <f>SUM(B23:B28)</f>
        <v>-2131467.9590625041</v>
      </c>
      <c r="C29" s="54">
        <f t="shared" ref="C29:D29" si="2">SUM(C23:C28)</f>
        <v>10989288.369543027</v>
      </c>
      <c r="D29" s="54">
        <f t="shared" si="2"/>
        <v>-7816607.7031472614</v>
      </c>
    </row>
    <row r="30" spans="1:4" s="148" customFormat="1" ht="21">
      <c r="A30" s="2"/>
      <c r="B30" s="54"/>
      <c r="C30" s="54"/>
      <c r="D30" s="54"/>
    </row>
    <row r="31" spans="1:4" ht="42">
      <c r="A31" s="85" t="s">
        <v>490</v>
      </c>
      <c r="B31" s="86">
        <f>B29+B20+B9</f>
        <v>4289907.3958012648</v>
      </c>
      <c r="C31" s="86">
        <f>C29+C20+C9</f>
        <v>2851961.66528612</v>
      </c>
      <c r="D31" s="86">
        <f>D29+D20+D9</f>
        <v>13808559.189043064</v>
      </c>
    </row>
    <row r="32" spans="1:4">
      <c r="B32" s="41"/>
      <c r="C32" s="41"/>
      <c r="D32" s="41"/>
    </row>
    <row r="33" spans="1:4" ht="36">
      <c r="A33" s="9" t="s">
        <v>492</v>
      </c>
      <c r="B33" s="54">
        <f>'Pr BS 2012'!B18</f>
        <v>2361724.0199521054</v>
      </c>
      <c r="C33" s="54">
        <f>B34</f>
        <v>6651631.4157533702</v>
      </c>
      <c r="D33" s="54">
        <f t="shared" ref="D33" si="3">C34</f>
        <v>9503593.0810394902</v>
      </c>
    </row>
    <row r="34" spans="1:4" ht="36">
      <c r="A34" s="9" t="s">
        <v>491</v>
      </c>
      <c r="B34" s="54">
        <f>B33+B31</f>
        <v>6651631.4157533702</v>
      </c>
      <c r="C34" s="54">
        <f>C33+C31</f>
        <v>9503593.0810394902</v>
      </c>
      <c r="D34" s="54">
        <f t="shared" ref="D34" si="4">D33+D31</f>
        <v>23312152.270082556</v>
      </c>
    </row>
    <row r="35" spans="1:4">
      <c r="B35" s="41"/>
      <c r="C35" s="41"/>
      <c r="D35" s="41"/>
    </row>
    <row r="36" spans="1:4">
      <c r="B36" s="41"/>
      <c r="C36" s="41"/>
      <c r="D36" s="41"/>
    </row>
    <row r="37" spans="1:4">
      <c r="B37" s="41"/>
      <c r="C37" s="41"/>
      <c r="D37" s="41"/>
    </row>
    <row r="38" spans="1:4">
      <c r="B38" s="41"/>
      <c r="C38" s="41"/>
      <c r="D38" s="41"/>
    </row>
    <row r="39" spans="1:4">
      <c r="B39" s="41"/>
      <c r="C39" s="41"/>
      <c r="D39" s="41"/>
    </row>
    <row r="40" spans="1:4">
      <c r="B40" s="41"/>
      <c r="C40" s="41"/>
      <c r="D40" s="41"/>
    </row>
    <row r="41" spans="1:4">
      <c r="B41" s="41"/>
      <c r="C41" s="41"/>
      <c r="D41" s="41"/>
    </row>
    <row r="42" spans="1:4">
      <c r="B42" s="41"/>
      <c r="C42" s="41"/>
      <c r="D42" s="41"/>
    </row>
    <row r="43" spans="1:4">
      <c r="B43" s="41"/>
      <c r="C43" s="41"/>
      <c r="D43" s="41"/>
    </row>
    <row r="44" spans="1:4">
      <c r="B44" s="41"/>
      <c r="C44" s="41"/>
      <c r="D44" s="41"/>
    </row>
    <row r="45" spans="1:4">
      <c r="B45" s="41"/>
      <c r="C45" s="41"/>
      <c r="D45" s="41"/>
    </row>
    <row r="46" spans="1:4">
      <c r="B46" s="41"/>
      <c r="C46" s="41"/>
      <c r="D46" s="41"/>
    </row>
    <row r="47" spans="1:4">
      <c r="B47" s="41"/>
      <c r="C47" s="41"/>
      <c r="D47" s="41"/>
    </row>
    <row r="48" spans="1:4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O256"/>
  <sheetViews>
    <sheetView zoomScale="50" zoomScaleNormal="50" workbookViewId="0">
      <pane xSplit="2" ySplit="3" topLeftCell="C247" activePane="bottomRight" state="frozen"/>
      <selection pane="topRight" activeCell="C1" sqref="C1"/>
      <selection pane="bottomLeft" activeCell="A3" sqref="A3"/>
      <selection pane="bottomRight" activeCell="A63" sqref="A63"/>
    </sheetView>
  </sheetViews>
  <sheetFormatPr defaultRowHeight="14.4"/>
  <cols>
    <col min="1" max="1" width="73.109375" style="5" customWidth="1"/>
    <col min="2" max="2" width="16.77734375" style="5" customWidth="1"/>
    <col min="3" max="4" width="14.77734375" style="5" customWidth="1"/>
    <col min="5" max="5" width="14.77734375" style="23" customWidth="1"/>
    <col min="6" max="15" width="14.77734375" style="5" customWidth="1"/>
    <col min="16" max="16384" width="8.88671875" style="5"/>
  </cols>
  <sheetData>
    <row r="1" spans="1:15">
      <c r="A1" s="303" t="s">
        <v>740</v>
      </c>
    </row>
    <row r="2" spans="1:15" ht="63">
      <c r="A2" s="85" t="s">
        <v>561</v>
      </c>
      <c r="B2" s="9"/>
      <c r="E2" s="22" t="s">
        <v>13</v>
      </c>
    </row>
    <row r="3" spans="1:15" ht="18">
      <c r="A3" s="9"/>
      <c r="B3" s="9"/>
      <c r="C3" s="4">
        <v>2010</v>
      </c>
      <c r="D3" s="4">
        <v>2011</v>
      </c>
      <c r="E3" s="21">
        <v>2012</v>
      </c>
      <c r="F3" s="4">
        <v>2013</v>
      </c>
      <c r="G3" s="4">
        <v>2014</v>
      </c>
      <c r="H3" s="4">
        <v>2015</v>
      </c>
      <c r="I3" s="4">
        <v>2016</v>
      </c>
      <c r="J3" s="4">
        <v>2017</v>
      </c>
      <c r="K3" s="4">
        <v>2018</v>
      </c>
      <c r="L3" s="4">
        <v>2019</v>
      </c>
      <c r="M3" s="4">
        <v>2020</v>
      </c>
      <c r="N3" s="4">
        <v>2021</v>
      </c>
      <c r="O3" s="4">
        <v>2022</v>
      </c>
    </row>
    <row r="4" spans="1:15" ht="18">
      <c r="A4" s="9" t="s">
        <v>5</v>
      </c>
      <c r="B4" s="9"/>
    </row>
    <row r="5" spans="1:15">
      <c r="A5" s="5" t="s">
        <v>6</v>
      </c>
      <c r="C5" s="5">
        <v>30.3596</v>
      </c>
      <c r="D5" s="10">
        <v>29.388999999999999</v>
      </c>
      <c r="E5" s="24">
        <v>31.051400000000001</v>
      </c>
      <c r="F5" s="10">
        <f t="shared" ref="F5:O5" si="0">E5*(1+$B$7)</f>
        <v>31.982942000000001</v>
      </c>
      <c r="G5" s="10">
        <f t="shared" si="0"/>
        <v>32.942430260000002</v>
      </c>
      <c r="H5" s="10">
        <f t="shared" si="0"/>
        <v>33.930703167800004</v>
      </c>
      <c r="I5" s="10">
        <f t="shared" si="0"/>
        <v>34.948624262834002</v>
      </c>
      <c r="J5" s="10">
        <f t="shared" si="0"/>
        <v>35.997082990719022</v>
      </c>
      <c r="K5" s="10">
        <f t="shared" si="0"/>
        <v>37.076995480440594</v>
      </c>
      <c r="L5" s="10">
        <f t="shared" si="0"/>
        <v>38.189305344853814</v>
      </c>
      <c r="M5" s="10">
        <f t="shared" si="0"/>
        <v>39.334984505199429</v>
      </c>
      <c r="N5" s="10">
        <f t="shared" si="0"/>
        <v>40.515034040355417</v>
      </c>
      <c r="O5" s="10">
        <f t="shared" si="0"/>
        <v>41.730485061566078</v>
      </c>
    </row>
    <row r="6" spans="1:15" ht="15" thickBot="1">
      <c r="A6" s="5" t="s">
        <v>7</v>
      </c>
      <c r="C6" s="5">
        <v>30.185099999999998</v>
      </c>
      <c r="D6" s="5">
        <v>30.3505</v>
      </c>
      <c r="E6" s="25">
        <v>31.478000000000002</v>
      </c>
      <c r="F6" s="10">
        <f t="shared" ref="F6:O6" si="1">E6*(1+$B$7)</f>
        <v>32.422340000000005</v>
      </c>
      <c r="G6" s="10">
        <f t="shared" si="1"/>
        <v>33.395010200000009</v>
      </c>
      <c r="H6" s="10">
        <f t="shared" si="1"/>
        <v>34.39686050600001</v>
      </c>
      <c r="I6" s="10">
        <f t="shared" si="1"/>
        <v>35.428766321180014</v>
      </c>
      <c r="J6" s="10">
        <f t="shared" si="1"/>
        <v>36.491629310815412</v>
      </c>
      <c r="K6" s="10">
        <f t="shared" si="1"/>
        <v>37.586378190139875</v>
      </c>
      <c r="L6" s="10">
        <f t="shared" si="1"/>
        <v>38.713969535844072</v>
      </c>
      <c r="M6" s="10">
        <f t="shared" si="1"/>
        <v>39.875388621919392</v>
      </c>
      <c r="N6" s="10">
        <f t="shared" si="1"/>
        <v>41.071650280576975</v>
      </c>
      <c r="O6" s="10">
        <f t="shared" si="1"/>
        <v>42.303799788994283</v>
      </c>
    </row>
    <row r="7" spans="1:15" ht="15" thickBot="1">
      <c r="A7" s="5" t="s">
        <v>10</v>
      </c>
      <c r="B7" s="72">
        <f>Summary!C5</f>
        <v>0.03</v>
      </c>
    </row>
    <row r="8" spans="1:15" ht="15" thickBot="1">
      <c r="A8" s="5" t="s">
        <v>8</v>
      </c>
      <c r="C8" s="11">
        <v>8.7999999999999995E-2</v>
      </c>
      <c r="D8" s="11">
        <v>6.0999999999999999E-2</v>
      </c>
      <c r="E8" s="26">
        <v>6.5000000000000002E-2</v>
      </c>
      <c r="F8" s="11">
        <f t="shared" ref="F8:O8" si="2">E8+$B$9</f>
        <v>6.0000000000000005E-2</v>
      </c>
      <c r="G8" s="11">
        <f t="shared" si="2"/>
        <v>5.5000000000000007E-2</v>
      </c>
      <c r="H8" s="11">
        <f t="shared" si="2"/>
        <v>5.000000000000001E-2</v>
      </c>
      <c r="I8" s="11">
        <f t="shared" si="2"/>
        <v>4.5000000000000012E-2</v>
      </c>
      <c r="J8" s="11">
        <f t="shared" si="2"/>
        <v>4.0000000000000015E-2</v>
      </c>
      <c r="K8" s="11">
        <f t="shared" si="2"/>
        <v>3.5000000000000017E-2</v>
      </c>
      <c r="L8" s="11">
        <f t="shared" si="2"/>
        <v>3.0000000000000016E-2</v>
      </c>
      <c r="M8" s="11">
        <f t="shared" si="2"/>
        <v>2.5000000000000015E-2</v>
      </c>
      <c r="N8" s="11">
        <f t="shared" si="2"/>
        <v>2.0000000000000014E-2</v>
      </c>
      <c r="O8" s="11">
        <f t="shared" si="2"/>
        <v>1.5000000000000013E-2</v>
      </c>
    </row>
    <row r="9" spans="1:15" ht="15" thickBot="1">
      <c r="A9" s="5" t="s">
        <v>9</v>
      </c>
      <c r="B9" s="72">
        <f>Summary!C11</f>
        <v>-5.0000000000000001E-3</v>
      </c>
    </row>
    <row r="10" spans="1:15" ht="29.4" thickBot="1">
      <c r="A10" s="5" t="s">
        <v>250</v>
      </c>
      <c r="B10" s="121">
        <f>AVERAGE(E8:O8)</f>
        <v>4.0000000000000015E-2</v>
      </c>
    </row>
    <row r="11" spans="1:15" ht="15" thickBot="1">
      <c r="A11" s="5" t="s">
        <v>11</v>
      </c>
      <c r="C11" s="11">
        <v>3.5000000000000003E-2</v>
      </c>
      <c r="D11" s="11">
        <v>0.03</v>
      </c>
      <c r="E11" s="27">
        <v>2.5000000000000001E-2</v>
      </c>
      <c r="F11" s="11">
        <f t="shared" ref="F11:O11" si="3">E11+$B$12</f>
        <v>2.7000000000000003E-2</v>
      </c>
      <c r="G11" s="11">
        <f t="shared" si="3"/>
        <v>2.9000000000000005E-2</v>
      </c>
      <c r="H11" s="11">
        <f t="shared" si="3"/>
        <v>3.1000000000000007E-2</v>
      </c>
      <c r="I11" s="11">
        <f t="shared" si="3"/>
        <v>3.3000000000000008E-2</v>
      </c>
      <c r="J11" s="11">
        <f t="shared" si="3"/>
        <v>3.500000000000001E-2</v>
      </c>
      <c r="K11" s="11">
        <f t="shared" si="3"/>
        <v>3.7000000000000012E-2</v>
      </c>
      <c r="L11" s="11">
        <f t="shared" si="3"/>
        <v>3.9000000000000014E-2</v>
      </c>
      <c r="M11" s="11">
        <f t="shared" si="3"/>
        <v>4.1000000000000016E-2</v>
      </c>
      <c r="N11" s="11">
        <f t="shared" si="3"/>
        <v>4.3000000000000017E-2</v>
      </c>
      <c r="O11" s="11">
        <f t="shared" si="3"/>
        <v>4.5000000000000019E-2</v>
      </c>
    </row>
    <row r="12" spans="1:15" ht="15" thickBot="1">
      <c r="A12" s="5" t="s">
        <v>12</v>
      </c>
      <c r="B12" s="72">
        <v>2E-3</v>
      </c>
    </row>
    <row r="13" spans="1:15" ht="29.4" thickBot="1">
      <c r="A13" s="5" t="s">
        <v>251</v>
      </c>
      <c r="B13" s="121">
        <f>AVERAGE(E11:O11)</f>
        <v>3.5000000000000017E-2</v>
      </c>
    </row>
    <row r="14" spans="1:15" ht="15" thickBot="1">
      <c r="A14" s="5" t="s">
        <v>440</v>
      </c>
      <c r="B14" s="121">
        <f>AVERAGE(C14:E14)</f>
        <v>9.0000000000000011E-2</v>
      </c>
      <c r="C14" s="147">
        <v>0.09</v>
      </c>
      <c r="D14" s="147">
        <v>0.11</v>
      </c>
      <c r="E14" s="147">
        <v>7.0000000000000007E-2</v>
      </c>
      <c r="F14" s="147">
        <f>B14</f>
        <v>9.0000000000000011E-2</v>
      </c>
      <c r="G14" s="11">
        <f>F14</f>
        <v>9.0000000000000011E-2</v>
      </c>
      <c r="H14" s="11">
        <f t="shared" ref="H14:O14" si="4">G14</f>
        <v>9.0000000000000011E-2</v>
      </c>
      <c r="I14" s="11">
        <f t="shared" si="4"/>
        <v>9.0000000000000011E-2</v>
      </c>
      <c r="J14" s="11">
        <f t="shared" si="4"/>
        <v>9.0000000000000011E-2</v>
      </c>
      <c r="K14" s="11">
        <f t="shared" si="4"/>
        <v>9.0000000000000011E-2</v>
      </c>
      <c r="L14" s="11">
        <f t="shared" si="4"/>
        <v>9.0000000000000011E-2</v>
      </c>
      <c r="M14" s="11">
        <f t="shared" si="4"/>
        <v>9.0000000000000011E-2</v>
      </c>
      <c r="N14" s="11">
        <f t="shared" si="4"/>
        <v>9.0000000000000011E-2</v>
      </c>
      <c r="O14" s="11">
        <f t="shared" si="4"/>
        <v>9.0000000000000011E-2</v>
      </c>
    </row>
    <row r="15" spans="1:15">
      <c r="C15" s="12"/>
    </row>
    <row r="16" spans="1:15" ht="18.600000000000001" thickBot="1">
      <c r="A16" s="9" t="s">
        <v>86</v>
      </c>
      <c r="B16" s="9"/>
      <c r="C16" s="4">
        <v>2010</v>
      </c>
      <c r="D16" s="4">
        <v>2011</v>
      </c>
      <c r="E16" s="21">
        <v>2012</v>
      </c>
      <c r="F16" s="4">
        <v>2013</v>
      </c>
      <c r="G16" s="4">
        <v>2014</v>
      </c>
      <c r="H16" s="4">
        <v>2015</v>
      </c>
      <c r="I16" s="4">
        <v>2016</v>
      </c>
      <c r="J16" s="4">
        <v>2017</v>
      </c>
      <c r="K16" s="4">
        <v>2018</v>
      </c>
      <c r="L16" s="4">
        <v>2019</v>
      </c>
      <c r="M16" s="4">
        <v>2020</v>
      </c>
      <c r="N16" s="4">
        <v>2021</v>
      </c>
      <c r="O16" s="4">
        <v>2022</v>
      </c>
    </row>
    <row r="17" spans="1:15" ht="15" thickBot="1">
      <c r="A17" s="5" t="s">
        <v>14</v>
      </c>
      <c r="B17" s="142">
        <v>0.2</v>
      </c>
      <c r="C17" s="11">
        <f>B17</f>
        <v>0.2</v>
      </c>
      <c r="D17" s="11">
        <f>C17</f>
        <v>0.2</v>
      </c>
      <c r="E17" s="27">
        <f t="shared" ref="E17:O17" si="5">D17</f>
        <v>0.2</v>
      </c>
      <c r="F17" s="11">
        <f t="shared" si="5"/>
        <v>0.2</v>
      </c>
      <c r="G17" s="11">
        <f t="shared" si="5"/>
        <v>0.2</v>
      </c>
      <c r="H17" s="11">
        <f t="shared" si="5"/>
        <v>0.2</v>
      </c>
      <c r="I17" s="11">
        <f t="shared" si="5"/>
        <v>0.2</v>
      </c>
      <c r="J17" s="11">
        <f t="shared" si="5"/>
        <v>0.2</v>
      </c>
      <c r="K17" s="11">
        <f t="shared" si="5"/>
        <v>0.2</v>
      </c>
      <c r="L17" s="11">
        <f t="shared" si="5"/>
        <v>0.2</v>
      </c>
      <c r="M17" s="11">
        <f t="shared" si="5"/>
        <v>0.2</v>
      </c>
      <c r="N17" s="11">
        <f t="shared" si="5"/>
        <v>0.2</v>
      </c>
      <c r="O17" s="11">
        <f t="shared" si="5"/>
        <v>0.2</v>
      </c>
    </row>
    <row r="18" spans="1:15" ht="15" thickBot="1">
      <c r="A18" s="5" t="s">
        <v>196</v>
      </c>
      <c r="B18" s="142">
        <v>0</v>
      </c>
      <c r="C18" s="11">
        <f t="shared" ref="C18:O25" si="6">B18</f>
        <v>0</v>
      </c>
      <c r="D18" s="11">
        <f t="shared" si="6"/>
        <v>0</v>
      </c>
      <c r="E18" s="11">
        <f t="shared" si="6"/>
        <v>0</v>
      </c>
      <c r="F18" s="11">
        <f t="shared" si="6"/>
        <v>0</v>
      </c>
      <c r="G18" s="11">
        <f t="shared" si="6"/>
        <v>0</v>
      </c>
      <c r="H18" s="11">
        <f t="shared" si="6"/>
        <v>0</v>
      </c>
      <c r="I18" s="11">
        <f t="shared" si="6"/>
        <v>0</v>
      </c>
      <c r="J18" s="11">
        <f t="shared" si="6"/>
        <v>0</v>
      </c>
      <c r="K18" s="11">
        <f t="shared" si="6"/>
        <v>0</v>
      </c>
      <c r="L18" s="11">
        <f t="shared" si="6"/>
        <v>0</v>
      </c>
      <c r="M18" s="11">
        <f t="shared" si="6"/>
        <v>0</v>
      </c>
      <c r="N18" s="11">
        <f t="shared" si="6"/>
        <v>0</v>
      </c>
      <c r="O18" s="11">
        <f t="shared" si="6"/>
        <v>0</v>
      </c>
    </row>
    <row r="19" spans="1:15" ht="15" thickBot="1">
      <c r="A19" s="5" t="s">
        <v>15</v>
      </c>
      <c r="B19" s="142">
        <v>0.1</v>
      </c>
      <c r="C19" s="11">
        <f t="shared" si="6"/>
        <v>0.1</v>
      </c>
      <c r="D19" s="11">
        <f t="shared" si="6"/>
        <v>0.1</v>
      </c>
      <c r="E19" s="27">
        <f t="shared" ref="E19:O19" si="7">D19</f>
        <v>0.1</v>
      </c>
      <c r="F19" s="11">
        <f t="shared" si="7"/>
        <v>0.1</v>
      </c>
      <c r="G19" s="11">
        <f t="shared" si="7"/>
        <v>0.1</v>
      </c>
      <c r="H19" s="11">
        <f t="shared" si="7"/>
        <v>0.1</v>
      </c>
      <c r="I19" s="11">
        <f t="shared" si="7"/>
        <v>0.1</v>
      </c>
      <c r="J19" s="11">
        <f t="shared" si="7"/>
        <v>0.1</v>
      </c>
      <c r="K19" s="11">
        <f t="shared" si="7"/>
        <v>0.1</v>
      </c>
      <c r="L19" s="11">
        <f t="shared" si="7"/>
        <v>0.1</v>
      </c>
      <c r="M19" s="11">
        <f t="shared" si="7"/>
        <v>0.1</v>
      </c>
      <c r="N19" s="11">
        <f t="shared" si="7"/>
        <v>0.1</v>
      </c>
      <c r="O19" s="11">
        <f t="shared" si="7"/>
        <v>0.1</v>
      </c>
    </row>
    <row r="20" spans="1:15" ht="15" thickBot="1">
      <c r="A20" s="5" t="s">
        <v>16</v>
      </c>
      <c r="B20" s="142">
        <v>0.1</v>
      </c>
      <c r="C20" s="11">
        <f t="shared" si="6"/>
        <v>0.1</v>
      </c>
      <c r="D20" s="11">
        <f t="shared" si="6"/>
        <v>0.1</v>
      </c>
      <c r="E20" s="27">
        <f t="shared" ref="E20:O20" si="8">D20</f>
        <v>0.1</v>
      </c>
      <c r="F20" s="11">
        <f t="shared" si="8"/>
        <v>0.1</v>
      </c>
      <c r="G20" s="11">
        <f t="shared" si="8"/>
        <v>0.1</v>
      </c>
      <c r="H20" s="11">
        <f t="shared" si="8"/>
        <v>0.1</v>
      </c>
      <c r="I20" s="11">
        <f t="shared" si="8"/>
        <v>0.1</v>
      </c>
      <c r="J20" s="11">
        <f t="shared" si="8"/>
        <v>0.1</v>
      </c>
      <c r="K20" s="11">
        <f t="shared" si="8"/>
        <v>0.1</v>
      </c>
      <c r="L20" s="11">
        <f t="shared" si="8"/>
        <v>0.1</v>
      </c>
      <c r="M20" s="11">
        <f t="shared" si="8"/>
        <v>0.1</v>
      </c>
      <c r="N20" s="11">
        <f t="shared" si="8"/>
        <v>0.1</v>
      </c>
      <c r="O20" s="11">
        <f t="shared" si="8"/>
        <v>0.1</v>
      </c>
    </row>
    <row r="21" spans="1:15" ht="15" thickBot="1">
      <c r="A21" s="5" t="s">
        <v>17</v>
      </c>
      <c r="B21" s="142">
        <v>2.1999999999999999E-2</v>
      </c>
      <c r="C21" s="11">
        <f t="shared" si="6"/>
        <v>2.1999999999999999E-2</v>
      </c>
      <c r="D21" s="11">
        <f t="shared" si="6"/>
        <v>2.1999999999999999E-2</v>
      </c>
      <c r="E21" s="27">
        <f t="shared" ref="E21:O21" si="9">D21</f>
        <v>2.1999999999999999E-2</v>
      </c>
      <c r="F21" s="11">
        <f t="shared" si="9"/>
        <v>2.1999999999999999E-2</v>
      </c>
      <c r="G21" s="11">
        <f t="shared" si="9"/>
        <v>2.1999999999999999E-2</v>
      </c>
      <c r="H21" s="11">
        <f t="shared" si="9"/>
        <v>2.1999999999999999E-2</v>
      </c>
      <c r="I21" s="11">
        <f t="shared" si="9"/>
        <v>2.1999999999999999E-2</v>
      </c>
      <c r="J21" s="11">
        <f t="shared" si="9"/>
        <v>2.1999999999999999E-2</v>
      </c>
      <c r="K21" s="11">
        <f t="shared" si="9"/>
        <v>2.1999999999999999E-2</v>
      </c>
      <c r="L21" s="11">
        <f t="shared" si="9"/>
        <v>2.1999999999999999E-2</v>
      </c>
      <c r="M21" s="11">
        <f t="shared" si="9"/>
        <v>2.1999999999999999E-2</v>
      </c>
      <c r="N21" s="11">
        <f t="shared" si="9"/>
        <v>2.1999999999999999E-2</v>
      </c>
      <c r="O21" s="11">
        <f t="shared" si="9"/>
        <v>2.1999999999999999E-2</v>
      </c>
    </row>
    <row r="22" spans="1:15" ht="15" thickBot="1">
      <c r="A22" s="5" t="s">
        <v>18</v>
      </c>
      <c r="B22" s="142">
        <v>3.0000000000000001E-3</v>
      </c>
      <c r="C22" s="11">
        <f t="shared" si="6"/>
        <v>3.0000000000000001E-3</v>
      </c>
      <c r="D22" s="11">
        <f t="shared" si="6"/>
        <v>3.0000000000000001E-3</v>
      </c>
      <c r="E22" s="28">
        <f t="shared" ref="E22:F24" si="10">D22</f>
        <v>3.0000000000000001E-3</v>
      </c>
      <c r="F22" s="18">
        <f t="shared" si="10"/>
        <v>3.0000000000000001E-3</v>
      </c>
      <c r="G22" s="18">
        <f t="shared" ref="G22:O22" si="11">F22</f>
        <v>3.0000000000000001E-3</v>
      </c>
      <c r="H22" s="18">
        <f t="shared" si="11"/>
        <v>3.0000000000000001E-3</v>
      </c>
      <c r="I22" s="18">
        <f t="shared" si="11"/>
        <v>3.0000000000000001E-3</v>
      </c>
      <c r="J22" s="18">
        <f t="shared" si="11"/>
        <v>3.0000000000000001E-3</v>
      </c>
      <c r="K22" s="18">
        <f t="shared" si="11"/>
        <v>3.0000000000000001E-3</v>
      </c>
      <c r="L22" s="18">
        <f t="shared" si="11"/>
        <v>3.0000000000000001E-3</v>
      </c>
      <c r="M22" s="18">
        <f t="shared" si="11"/>
        <v>3.0000000000000001E-3</v>
      </c>
      <c r="N22" s="18">
        <f t="shared" si="11"/>
        <v>3.0000000000000001E-3</v>
      </c>
      <c r="O22" s="18">
        <f t="shared" si="11"/>
        <v>3.0000000000000001E-3</v>
      </c>
    </row>
    <row r="23" spans="1:15" ht="15" thickBot="1">
      <c r="A23" s="5" t="s">
        <v>85</v>
      </c>
      <c r="B23" s="142">
        <v>0.3</v>
      </c>
      <c r="C23" s="11">
        <f t="shared" si="6"/>
        <v>0.3</v>
      </c>
      <c r="D23" s="11">
        <f t="shared" si="6"/>
        <v>0.3</v>
      </c>
      <c r="E23" s="28">
        <f t="shared" si="10"/>
        <v>0.3</v>
      </c>
      <c r="F23" s="18">
        <f t="shared" si="10"/>
        <v>0.3</v>
      </c>
      <c r="G23" s="18">
        <f t="shared" ref="G23:O23" si="12">F23</f>
        <v>0.3</v>
      </c>
      <c r="H23" s="18">
        <f t="shared" si="12"/>
        <v>0.3</v>
      </c>
      <c r="I23" s="18">
        <f t="shared" si="12"/>
        <v>0.3</v>
      </c>
      <c r="J23" s="18">
        <f t="shared" si="12"/>
        <v>0.3</v>
      </c>
      <c r="K23" s="18">
        <f t="shared" si="12"/>
        <v>0.3</v>
      </c>
      <c r="L23" s="18">
        <f t="shared" si="12"/>
        <v>0.3</v>
      </c>
      <c r="M23" s="18">
        <f t="shared" si="12"/>
        <v>0.3</v>
      </c>
      <c r="N23" s="18">
        <f t="shared" si="12"/>
        <v>0.3</v>
      </c>
      <c r="O23" s="18">
        <f t="shared" si="12"/>
        <v>0.3</v>
      </c>
    </row>
    <row r="24" spans="1:15" ht="15" thickBot="1">
      <c r="A24" s="5" t="s">
        <v>84</v>
      </c>
      <c r="B24" s="143">
        <v>70000</v>
      </c>
      <c r="C24" s="122">
        <f>B24</f>
        <v>70000</v>
      </c>
      <c r="D24" s="122">
        <f t="shared" ref="D24" si="13">C24</f>
        <v>70000</v>
      </c>
      <c r="E24" s="122">
        <f t="shared" si="10"/>
        <v>70000</v>
      </c>
      <c r="F24" s="122">
        <f>E24*(1+F8)</f>
        <v>74200</v>
      </c>
      <c r="G24" s="122">
        <f t="shared" ref="G24:O24" si="14">F24*(1+G8)</f>
        <v>78281</v>
      </c>
      <c r="H24" s="122">
        <f t="shared" si="14"/>
        <v>82195.05</v>
      </c>
      <c r="I24" s="122">
        <f t="shared" si="14"/>
        <v>85893.827250000002</v>
      </c>
      <c r="J24" s="122">
        <f t="shared" si="14"/>
        <v>89329.58034</v>
      </c>
      <c r="K24" s="122">
        <f t="shared" si="14"/>
        <v>92456.115651899992</v>
      </c>
      <c r="L24" s="122">
        <f t="shared" si="14"/>
        <v>95229.799121456992</v>
      </c>
      <c r="M24" s="122">
        <f t="shared" si="14"/>
        <v>97610.544099493403</v>
      </c>
      <c r="N24" s="122">
        <f t="shared" si="14"/>
        <v>99562.754981483275</v>
      </c>
      <c r="O24" s="122">
        <f t="shared" si="14"/>
        <v>101056.19630620553</v>
      </c>
    </row>
    <row r="25" spans="1:15" ht="29.4" thickBot="1">
      <c r="A25" s="5" t="s">
        <v>307</v>
      </c>
      <c r="B25" s="144">
        <f>2/3</f>
        <v>0.66666666666666663</v>
      </c>
      <c r="C25" s="11">
        <f t="shared" si="6"/>
        <v>0.66666666666666663</v>
      </c>
      <c r="D25" s="11">
        <f>C25</f>
        <v>0.66666666666666663</v>
      </c>
      <c r="E25" s="28">
        <f>D25</f>
        <v>0.66666666666666663</v>
      </c>
      <c r="F25" s="18">
        <f>E25</f>
        <v>0.66666666666666663</v>
      </c>
      <c r="G25" s="18">
        <f t="shared" ref="G25:O25" si="15">F25</f>
        <v>0.66666666666666663</v>
      </c>
      <c r="H25" s="18">
        <f t="shared" si="15"/>
        <v>0.66666666666666663</v>
      </c>
      <c r="I25" s="18">
        <f t="shared" si="15"/>
        <v>0.66666666666666663</v>
      </c>
      <c r="J25" s="18">
        <f t="shared" si="15"/>
        <v>0.66666666666666663</v>
      </c>
      <c r="K25" s="18">
        <f t="shared" si="15"/>
        <v>0.66666666666666663</v>
      </c>
      <c r="L25" s="18">
        <f t="shared" si="15"/>
        <v>0.66666666666666663</v>
      </c>
      <c r="M25" s="18">
        <f t="shared" si="15"/>
        <v>0.66666666666666663</v>
      </c>
      <c r="N25" s="18">
        <f t="shared" si="15"/>
        <v>0.66666666666666663</v>
      </c>
      <c r="O25" s="18">
        <f t="shared" si="15"/>
        <v>0.66666666666666663</v>
      </c>
    </row>
    <row r="26" spans="1:15" ht="15" thickBot="1">
      <c r="A26" s="5" t="s">
        <v>306</v>
      </c>
      <c r="B26" s="144">
        <v>0.08</v>
      </c>
      <c r="D26" s="18"/>
      <c r="E26" s="28"/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5" thickBot="1">
      <c r="A27" s="5" t="s">
        <v>305</v>
      </c>
      <c r="B27" s="144">
        <v>8.2500000000000004E-2</v>
      </c>
      <c r="D27" s="18"/>
      <c r="E27" s="28"/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5" thickBot="1">
      <c r="A28" s="5" t="s">
        <v>309</v>
      </c>
      <c r="B28" s="144">
        <f>B26*B25</f>
        <v>5.333333333333333E-2</v>
      </c>
      <c r="C28" s="2" t="s">
        <v>311</v>
      </c>
      <c r="D28" s="18"/>
      <c r="E28" s="28"/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ht="15" thickBot="1">
      <c r="A29" s="5" t="s">
        <v>308</v>
      </c>
      <c r="B29" s="144">
        <f>B27*B25</f>
        <v>5.5E-2</v>
      </c>
      <c r="D29" s="18"/>
      <c r="E29" s="28"/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1" spans="1:15" ht="18">
      <c r="A31" s="9" t="s">
        <v>92</v>
      </c>
      <c r="B31" s="9"/>
      <c r="C31" s="4">
        <v>2010</v>
      </c>
      <c r="D31" s="4">
        <v>2011</v>
      </c>
      <c r="E31" s="21">
        <v>2012</v>
      </c>
      <c r="F31" s="4">
        <v>2013</v>
      </c>
      <c r="G31" s="4">
        <v>2014</v>
      </c>
      <c r="H31" s="4">
        <v>2015</v>
      </c>
      <c r="I31" s="4">
        <v>2016</v>
      </c>
      <c r="J31" s="4">
        <v>2017</v>
      </c>
      <c r="K31" s="4">
        <v>2018</v>
      </c>
      <c r="L31" s="4">
        <v>2019</v>
      </c>
      <c r="M31" s="4">
        <v>2020</v>
      </c>
      <c r="N31" s="4">
        <v>2021</v>
      </c>
      <c r="O31" s="4">
        <v>2022</v>
      </c>
    </row>
    <row r="32" spans="1:15">
      <c r="A32" s="5" t="s">
        <v>0</v>
      </c>
      <c r="C32" s="6">
        <v>75000</v>
      </c>
      <c r="D32" s="6">
        <v>100000</v>
      </c>
      <c r="E32" s="29">
        <v>100000</v>
      </c>
      <c r="F32" s="6">
        <v>100000</v>
      </c>
      <c r="G32" s="6">
        <v>100000</v>
      </c>
      <c r="H32" s="6">
        <v>120000</v>
      </c>
      <c r="I32" s="6">
        <v>130000</v>
      </c>
      <c r="J32" s="6">
        <v>140000</v>
      </c>
      <c r="K32" s="6">
        <f>J32</f>
        <v>140000</v>
      </c>
      <c r="L32" s="6">
        <f t="shared" ref="L32:O32" si="16">K32</f>
        <v>140000</v>
      </c>
      <c r="M32" s="6">
        <f t="shared" si="16"/>
        <v>140000</v>
      </c>
      <c r="N32" s="6">
        <f t="shared" si="16"/>
        <v>140000</v>
      </c>
      <c r="O32" s="6">
        <f t="shared" si="16"/>
        <v>140000</v>
      </c>
    </row>
    <row r="33" spans="1:15">
      <c r="A33" s="5" t="s">
        <v>1</v>
      </c>
      <c r="C33" s="6">
        <v>25000</v>
      </c>
      <c r="D33" s="6">
        <f t="shared" ref="D33:O33" si="17">C33+$B$35</f>
        <v>30000</v>
      </c>
      <c r="E33" s="29">
        <f t="shared" si="17"/>
        <v>35000</v>
      </c>
      <c r="F33" s="6">
        <f t="shared" si="17"/>
        <v>40000</v>
      </c>
      <c r="G33" s="6">
        <f t="shared" si="17"/>
        <v>45000</v>
      </c>
      <c r="H33" s="6">
        <f t="shared" si="17"/>
        <v>50000</v>
      </c>
      <c r="I33" s="6">
        <f t="shared" si="17"/>
        <v>55000</v>
      </c>
      <c r="J33" s="6">
        <f t="shared" si="17"/>
        <v>60000</v>
      </c>
      <c r="K33" s="6">
        <f t="shared" si="17"/>
        <v>65000</v>
      </c>
      <c r="L33" s="6">
        <f t="shared" si="17"/>
        <v>70000</v>
      </c>
      <c r="M33" s="6">
        <f t="shared" si="17"/>
        <v>75000</v>
      </c>
      <c r="N33" s="6">
        <f t="shared" si="17"/>
        <v>80000</v>
      </c>
      <c r="O33" s="6">
        <f t="shared" si="17"/>
        <v>85000</v>
      </c>
    </row>
    <row r="34" spans="1:15" ht="15" thickBot="1">
      <c r="A34" s="5" t="s">
        <v>2</v>
      </c>
      <c r="C34" s="6">
        <f>C32-C33</f>
        <v>50000</v>
      </c>
      <c r="D34" s="6">
        <f t="shared" ref="D34:J34" si="18">D32-D33</f>
        <v>70000</v>
      </c>
      <c r="E34" s="29">
        <f t="shared" si="18"/>
        <v>65000</v>
      </c>
      <c r="F34" s="6">
        <f t="shared" si="18"/>
        <v>60000</v>
      </c>
      <c r="G34" s="6">
        <f t="shared" si="18"/>
        <v>55000</v>
      </c>
      <c r="H34" s="6">
        <f t="shared" si="18"/>
        <v>70000</v>
      </c>
      <c r="I34" s="6">
        <f t="shared" si="18"/>
        <v>75000</v>
      </c>
      <c r="J34" s="6">
        <f t="shared" si="18"/>
        <v>80000</v>
      </c>
      <c r="K34" s="6">
        <f t="shared" ref="K34" si="19">K32-K33</f>
        <v>75000</v>
      </c>
      <c r="L34" s="6">
        <f t="shared" ref="L34" si="20">L32-L33</f>
        <v>70000</v>
      </c>
      <c r="M34" s="6">
        <f t="shared" ref="M34" si="21">M32-M33</f>
        <v>65000</v>
      </c>
      <c r="N34" s="6">
        <f t="shared" ref="N34" si="22">N32-N33</f>
        <v>60000</v>
      </c>
      <c r="O34" s="6">
        <f t="shared" ref="O34" si="23">O32-O33</f>
        <v>55000</v>
      </c>
    </row>
    <row r="35" spans="1:15" ht="15" thickBot="1">
      <c r="A35" s="5" t="s">
        <v>3</v>
      </c>
      <c r="B35" s="73">
        <f>Summary!C17</f>
        <v>5000</v>
      </c>
      <c r="D35" s="6"/>
      <c r="E35" s="29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5" t="s">
        <v>4</v>
      </c>
      <c r="C36" s="6">
        <v>0</v>
      </c>
      <c r="D36" s="6">
        <f>D32-C32</f>
        <v>25000</v>
      </c>
      <c r="E36" s="29">
        <f t="shared" ref="E36" si="24">E32-D32</f>
        <v>0</v>
      </c>
      <c r="F36" s="6">
        <f>B38</f>
        <v>0</v>
      </c>
      <c r="G36" s="6">
        <f>B39</f>
        <v>0</v>
      </c>
      <c r="H36" s="6">
        <f>B40</f>
        <v>20000</v>
      </c>
      <c r="I36" s="6">
        <f>B41</f>
        <v>10000</v>
      </c>
      <c r="J36" s="6">
        <f>B42</f>
        <v>10000</v>
      </c>
      <c r="K36" s="6">
        <f t="shared" ref="K36:O36" si="25">K32-J32</f>
        <v>0</v>
      </c>
      <c r="L36" s="6">
        <f t="shared" si="25"/>
        <v>0</v>
      </c>
      <c r="M36" s="6">
        <f t="shared" si="25"/>
        <v>0</v>
      </c>
      <c r="N36" s="6">
        <f t="shared" si="25"/>
        <v>0</v>
      </c>
      <c r="O36" s="6">
        <f t="shared" si="25"/>
        <v>0</v>
      </c>
    </row>
    <row r="37" spans="1:15" ht="15" thickBot="1">
      <c r="A37" s="108" t="s">
        <v>690</v>
      </c>
      <c r="C37" s="6"/>
      <c r="D37" s="6"/>
      <c r="E37" s="29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ht="16.2" thickBot="1">
      <c r="A38" s="4">
        <v>2013</v>
      </c>
      <c r="B38" s="73">
        <f>Summary!C22</f>
        <v>0</v>
      </c>
      <c r="C38" s="6"/>
      <c r="D38" s="6"/>
      <c r="E38" s="29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ht="16.2" thickBot="1">
      <c r="A39" s="4">
        <v>2014</v>
      </c>
      <c r="B39" s="73">
        <f>Summary!C23</f>
        <v>0</v>
      </c>
      <c r="C39" s="6"/>
      <c r="D39" s="6"/>
      <c r="E39" s="29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ht="16.2" thickBot="1">
      <c r="A40" s="4">
        <v>2015</v>
      </c>
      <c r="B40" s="73">
        <f>Summary!C24</f>
        <v>20000</v>
      </c>
      <c r="C40" s="6"/>
      <c r="D40" s="6"/>
      <c r="E40" s="29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ht="16.2" thickBot="1">
      <c r="A41" s="4">
        <v>2016</v>
      </c>
      <c r="B41" s="73">
        <f>Summary!C25</f>
        <v>10000</v>
      </c>
      <c r="C41" s="6"/>
      <c r="D41" s="6"/>
      <c r="E41" s="29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ht="16.2" thickBot="1">
      <c r="A42" s="4">
        <v>2017</v>
      </c>
      <c r="B42" s="73">
        <f>Summary!C26</f>
        <v>10000</v>
      </c>
      <c r="C42" s="6"/>
      <c r="D42" s="6"/>
      <c r="E42" s="29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 ht="15" thickBot="1">
      <c r="A43" s="20" t="s">
        <v>434</v>
      </c>
      <c r="C43" s="6"/>
      <c r="D43" s="6"/>
      <c r="E43" s="29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 ht="15" thickBot="1">
      <c r="A44" s="5" t="s">
        <v>88</v>
      </c>
      <c r="C44" s="84">
        <f>D44*(1-$D$8)</f>
        <v>2645.163</v>
      </c>
      <c r="D44" s="58">
        <f>E44*(1-$D$8)</f>
        <v>2817</v>
      </c>
      <c r="E44" s="59">
        <v>3000</v>
      </c>
      <c r="F44" s="58">
        <f t="shared" ref="F44:O44" si="26">E44*(1+F8)</f>
        <v>3180</v>
      </c>
      <c r="G44" s="58">
        <f t="shared" si="26"/>
        <v>3354.8999999999996</v>
      </c>
      <c r="H44" s="58">
        <f t="shared" si="26"/>
        <v>3522.645</v>
      </c>
      <c r="I44" s="58">
        <f t="shared" si="26"/>
        <v>3681.1640249999996</v>
      </c>
      <c r="J44" s="58">
        <f t="shared" si="26"/>
        <v>3828.4105859999995</v>
      </c>
      <c r="K44" s="58">
        <f t="shared" si="26"/>
        <v>3962.404956509999</v>
      </c>
      <c r="L44" s="58">
        <f t="shared" si="26"/>
        <v>4081.277105205299</v>
      </c>
      <c r="M44" s="58">
        <f t="shared" si="26"/>
        <v>4183.309032835431</v>
      </c>
      <c r="N44" s="58">
        <f t="shared" si="26"/>
        <v>4266.97521349214</v>
      </c>
      <c r="O44" s="58">
        <f t="shared" si="26"/>
        <v>4330.9798416945223</v>
      </c>
    </row>
    <row r="45" spans="1:15" s="63" customFormat="1" ht="15" thickBot="1">
      <c r="A45" s="63" t="s">
        <v>90</v>
      </c>
      <c r="C45" s="64">
        <f t="shared" ref="C45:O45" si="27">C44/C5</f>
        <v>87.12772895558571</v>
      </c>
      <c r="D45" s="64">
        <f t="shared" si="27"/>
        <v>95.852189594746335</v>
      </c>
      <c r="E45" s="65">
        <f t="shared" si="27"/>
        <v>96.614001301068541</v>
      </c>
      <c r="F45" s="64">
        <f t="shared" si="27"/>
        <v>99.428001338963753</v>
      </c>
      <c r="G45" s="64">
        <f t="shared" si="27"/>
        <v>101.84130234233665</v>
      </c>
      <c r="H45" s="64">
        <f t="shared" si="27"/>
        <v>103.81880335869269</v>
      </c>
      <c r="I45" s="64">
        <f t="shared" si="27"/>
        <v>105.33072767945035</v>
      </c>
      <c r="J45" s="64">
        <f t="shared" si="27"/>
        <v>106.35335610352269</v>
      </c>
      <c r="K45" s="64">
        <f t="shared" si="27"/>
        <v>106.86963453120967</v>
      </c>
      <c r="L45" s="64">
        <f t="shared" si="27"/>
        <v>106.86963453120967</v>
      </c>
      <c r="M45" s="64">
        <f t="shared" si="27"/>
        <v>106.35084989756301</v>
      </c>
      <c r="N45" s="64">
        <f t="shared" si="27"/>
        <v>105.31831737428568</v>
      </c>
      <c r="O45" s="64">
        <f t="shared" si="27"/>
        <v>103.78455547077668</v>
      </c>
    </row>
    <row r="46" spans="1:15" s="60" customFormat="1" ht="15" thickBot="1">
      <c r="A46" s="60" t="s">
        <v>437</v>
      </c>
      <c r="C46" s="84">
        <f>D46*(1-$D$8)</f>
        <v>26451.63</v>
      </c>
      <c r="D46" s="58">
        <f>E46*(1-$D$8)</f>
        <v>28170</v>
      </c>
      <c r="E46" s="59">
        <v>30000</v>
      </c>
      <c r="F46" s="58">
        <f t="shared" ref="F46:O46" si="28">E46*(1+F8)</f>
        <v>31800</v>
      </c>
      <c r="G46" s="58">
        <f t="shared" si="28"/>
        <v>33549</v>
      </c>
      <c r="H46" s="58">
        <f t="shared" si="28"/>
        <v>35226.450000000004</v>
      </c>
      <c r="I46" s="58">
        <f t="shared" si="28"/>
        <v>36811.640250000004</v>
      </c>
      <c r="J46" s="58">
        <f t="shared" si="28"/>
        <v>38284.105860000003</v>
      </c>
      <c r="K46" s="58">
        <f t="shared" si="28"/>
        <v>39624.049565100002</v>
      </c>
      <c r="L46" s="58">
        <f t="shared" si="28"/>
        <v>40812.771052053002</v>
      </c>
      <c r="M46" s="58">
        <f t="shared" si="28"/>
        <v>41833.090328354323</v>
      </c>
      <c r="N46" s="58">
        <f t="shared" si="28"/>
        <v>42669.752134921408</v>
      </c>
      <c r="O46" s="58">
        <f t="shared" si="28"/>
        <v>43309.798416945232</v>
      </c>
    </row>
    <row r="47" spans="1:15" s="63" customFormat="1" ht="15" thickBot="1">
      <c r="A47" s="63" t="s">
        <v>438</v>
      </c>
      <c r="C47" s="64">
        <f t="shared" ref="C47:O47" si="29">C46/C5</f>
        <v>871.27728955585712</v>
      </c>
      <c r="D47" s="64">
        <f t="shared" si="29"/>
        <v>958.52189594746335</v>
      </c>
      <c r="E47" s="65">
        <f t="shared" si="29"/>
        <v>966.14001301068549</v>
      </c>
      <c r="F47" s="64">
        <f t="shared" si="29"/>
        <v>994.28001338963747</v>
      </c>
      <c r="G47" s="64">
        <f t="shared" si="29"/>
        <v>1018.4130234233666</v>
      </c>
      <c r="H47" s="64">
        <f t="shared" si="29"/>
        <v>1038.1880335869271</v>
      </c>
      <c r="I47" s="64">
        <f t="shared" si="29"/>
        <v>1053.3072767945037</v>
      </c>
      <c r="J47" s="64">
        <f t="shared" si="29"/>
        <v>1063.533561035227</v>
      </c>
      <c r="K47" s="64">
        <f t="shared" si="29"/>
        <v>1068.696345312097</v>
      </c>
      <c r="L47" s="64">
        <f t="shared" si="29"/>
        <v>1068.696345312097</v>
      </c>
      <c r="M47" s="64">
        <f t="shared" si="29"/>
        <v>1063.5084989756303</v>
      </c>
      <c r="N47" s="64">
        <f t="shared" si="29"/>
        <v>1053.183173742857</v>
      </c>
      <c r="O47" s="64">
        <f t="shared" si="29"/>
        <v>1037.845554707767</v>
      </c>
    </row>
    <row r="48" spans="1:15" s="63" customFormat="1" ht="15" thickBot="1">
      <c r="A48" s="60" t="s">
        <v>89</v>
      </c>
      <c r="C48" s="84">
        <f>C44*5</f>
        <v>13225.815000000001</v>
      </c>
      <c r="D48" s="58">
        <f t="shared" ref="D48:O48" si="30">D44*5</f>
        <v>14085</v>
      </c>
      <c r="E48" s="58">
        <f t="shared" si="30"/>
        <v>15000</v>
      </c>
      <c r="F48" s="58">
        <f t="shared" si="30"/>
        <v>15900</v>
      </c>
      <c r="G48" s="58">
        <f t="shared" si="30"/>
        <v>16774.5</v>
      </c>
      <c r="H48" s="58">
        <f t="shared" si="30"/>
        <v>17613.224999999999</v>
      </c>
      <c r="I48" s="58">
        <f t="shared" si="30"/>
        <v>18405.820124999998</v>
      </c>
      <c r="J48" s="58">
        <f t="shared" si="30"/>
        <v>19142.052929999998</v>
      </c>
      <c r="K48" s="58">
        <f t="shared" si="30"/>
        <v>19812.024782549994</v>
      </c>
      <c r="L48" s="58">
        <f t="shared" si="30"/>
        <v>20406.385526026494</v>
      </c>
      <c r="M48" s="58">
        <f t="shared" si="30"/>
        <v>20916.545164177154</v>
      </c>
      <c r="N48" s="58">
        <f t="shared" si="30"/>
        <v>21334.8760674607</v>
      </c>
      <c r="O48" s="58">
        <f t="shared" si="30"/>
        <v>21654.899208472612</v>
      </c>
    </row>
    <row r="49" spans="1:15" s="63" customFormat="1">
      <c r="A49" s="63" t="s">
        <v>91</v>
      </c>
      <c r="C49" s="64">
        <f t="shared" ref="C49:O49" si="31">C48/C5</f>
        <v>435.63864477792856</v>
      </c>
      <c r="D49" s="64">
        <f t="shared" si="31"/>
        <v>479.26094797373167</v>
      </c>
      <c r="E49" s="64">
        <f t="shared" si="31"/>
        <v>483.07000650534275</v>
      </c>
      <c r="F49" s="64">
        <f t="shared" si="31"/>
        <v>497.14000669481874</v>
      </c>
      <c r="G49" s="64">
        <f t="shared" si="31"/>
        <v>509.20651171168328</v>
      </c>
      <c r="H49" s="64">
        <f t="shared" si="31"/>
        <v>519.09401679346342</v>
      </c>
      <c r="I49" s="64">
        <f t="shared" si="31"/>
        <v>526.65363839725183</v>
      </c>
      <c r="J49" s="64">
        <f t="shared" si="31"/>
        <v>531.76678051761348</v>
      </c>
      <c r="K49" s="64">
        <f t="shared" si="31"/>
        <v>534.34817265604829</v>
      </c>
      <c r="L49" s="64">
        <f t="shared" si="31"/>
        <v>534.34817265604829</v>
      </c>
      <c r="M49" s="64">
        <f t="shared" si="31"/>
        <v>531.75424948781495</v>
      </c>
      <c r="N49" s="64">
        <f t="shared" si="31"/>
        <v>526.59158687142849</v>
      </c>
      <c r="O49" s="64">
        <f t="shared" si="31"/>
        <v>518.92277735388348</v>
      </c>
    </row>
    <row r="50" spans="1:15" s="63" customFormat="1">
      <c r="A50" s="20" t="s">
        <v>435</v>
      </c>
      <c r="C50" s="64"/>
      <c r="D50" s="64"/>
      <c r="E50" s="65"/>
      <c r="F50" s="64"/>
      <c r="G50" s="64"/>
      <c r="H50" s="64"/>
      <c r="I50" s="64"/>
      <c r="J50" s="64"/>
      <c r="K50" s="64"/>
      <c r="L50" s="64"/>
      <c r="M50" s="64"/>
      <c r="N50" s="64"/>
      <c r="O50" s="64"/>
    </row>
    <row r="51" spans="1:15" s="63" customFormat="1">
      <c r="A51" s="63" t="s">
        <v>433</v>
      </c>
      <c r="C51" s="75">
        <f t="shared" ref="C51:O51" si="32">C36*C47</f>
        <v>0</v>
      </c>
      <c r="D51" s="75">
        <f t="shared" si="32"/>
        <v>23963047.398686584</v>
      </c>
      <c r="E51" s="75">
        <f t="shared" si="32"/>
        <v>0</v>
      </c>
      <c r="F51" s="75">
        <f t="shared" si="32"/>
        <v>0</v>
      </c>
      <c r="G51" s="75">
        <f t="shared" si="32"/>
        <v>0</v>
      </c>
      <c r="H51" s="75">
        <f t="shared" si="32"/>
        <v>20763760.671738543</v>
      </c>
      <c r="I51" s="75">
        <f t="shared" si="32"/>
        <v>10533072.767945036</v>
      </c>
      <c r="J51" s="75">
        <f t="shared" si="32"/>
        <v>10635335.61035227</v>
      </c>
      <c r="K51" s="75">
        <f t="shared" si="32"/>
        <v>0</v>
      </c>
      <c r="L51" s="75">
        <f t="shared" si="32"/>
        <v>0</v>
      </c>
      <c r="M51" s="75">
        <f t="shared" si="32"/>
        <v>0</v>
      </c>
      <c r="N51" s="75">
        <f t="shared" si="32"/>
        <v>0</v>
      </c>
      <c r="O51" s="75">
        <f t="shared" si="32"/>
        <v>0</v>
      </c>
    </row>
    <row r="52" spans="1:15" s="63" customFormat="1">
      <c r="A52" s="63" t="s">
        <v>436</v>
      </c>
      <c r="C52" s="75">
        <f>C49*B35</f>
        <v>2178193.2238896429</v>
      </c>
      <c r="D52" s="75">
        <f t="shared" ref="D52:O52" si="33">D49*(D33-C33)</f>
        <v>2396304.7398686586</v>
      </c>
      <c r="E52" s="75">
        <f t="shared" si="33"/>
        <v>2415350.0325267138</v>
      </c>
      <c r="F52" s="75">
        <f t="shared" si="33"/>
        <v>2485700.0334740938</v>
      </c>
      <c r="G52" s="75">
        <f t="shared" si="33"/>
        <v>2546032.5585584166</v>
      </c>
      <c r="H52" s="75">
        <f t="shared" si="33"/>
        <v>2595470.0839673169</v>
      </c>
      <c r="I52" s="75">
        <f t="shared" si="33"/>
        <v>2633268.1919862591</v>
      </c>
      <c r="J52" s="75">
        <f t="shared" si="33"/>
        <v>2658833.9025880676</v>
      </c>
      <c r="K52" s="75">
        <f t="shared" si="33"/>
        <v>2671740.8632802414</v>
      </c>
      <c r="L52" s="75">
        <f t="shared" si="33"/>
        <v>2671740.8632802414</v>
      </c>
      <c r="M52" s="75">
        <f t="shared" si="33"/>
        <v>2658771.2474390748</v>
      </c>
      <c r="N52" s="75">
        <f t="shared" si="33"/>
        <v>2632957.9343571425</v>
      </c>
      <c r="O52" s="75">
        <f t="shared" si="33"/>
        <v>2594613.8867694172</v>
      </c>
    </row>
    <row r="53" spans="1:15" s="63" customFormat="1">
      <c r="A53" s="20" t="s">
        <v>439</v>
      </c>
      <c r="C53" s="75">
        <f>C51+C52</f>
        <v>2178193.2238896429</v>
      </c>
      <c r="D53" s="75">
        <f t="shared" ref="D53:O53" si="34">D51+D52</f>
        <v>26359352.138555244</v>
      </c>
      <c r="E53" s="75">
        <f t="shared" si="34"/>
        <v>2415350.0325267138</v>
      </c>
      <c r="F53" s="75">
        <f t="shared" si="34"/>
        <v>2485700.0334740938</v>
      </c>
      <c r="G53" s="75">
        <f t="shared" si="34"/>
        <v>2546032.5585584166</v>
      </c>
      <c r="H53" s="75">
        <f t="shared" si="34"/>
        <v>23359230.75570586</v>
      </c>
      <c r="I53" s="75">
        <f t="shared" si="34"/>
        <v>13166340.959931295</v>
      </c>
      <c r="J53" s="75">
        <f t="shared" si="34"/>
        <v>13294169.512940338</v>
      </c>
      <c r="K53" s="75">
        <f t="shared" si="34"/>
        <v>2671740.8632802414</v>
      </c>
      <c r="L53" s="75">
        <f t="shared" si="34"/>
        <v>2671740.8632802414</v>
      </c>
      <c r="M53" s="75">
        <f t="shared" si="34"/>
        <v>2658771.2474390748</v>
      </c>
      <c r="N53" s="75">
        <f t="shared" si="34"/>
        <v>2632957.9343571425</v>
      </c>
      <c r="O53" s="75">
        <f t="shared" si="34"/>
        <v>2594613.8867694172</v>
      </c>
    </row>
    <row r="54" spans="1:15">
      <c r="C54" s="6"/>
      <c r="D54" s="6"/>
      <c r="E54" s="29"/>
      <c r="F54" s="6"/>
      <c r="G54" s="6"/>
      <c r="H54" s="6"/>
      <c r="I54" s="6"/>
      <c r="J54" s="6"/>
    </row>
    <row r="55" spans="1:15" ht="18">
      <c r="A55" s="9" t="s">
        <v>117</v>
      </c>
      <c r="B55" s="9"/>
    </row>
    <row r="56" spans="1:15" ht="15" thickBot="1">
      <c r="A56" s="20" t="s">
        <v>93</v>
      </c>
      <c r="B56" s="20"/>
      <c r="C56" s="6"/>
      <c r="D56" s="6"/>
      <c r="E56" s="29"/>
      <c r="F56" s="6"/>
      <c r="G56" s="6"/>
      <c r="H56" s="6"/>
      <c r="I56" s="6"/>
      <c r="J56" s="6"/>
    </row>
    <row r="57" spans="1:15" ht="15" thickBot="1">
      <c r="A57" s="5" t="s">
        <v>102</v>
      </c>
      <c r="B57" s="133">
        <v>0.65</v>
      </c>
      <c r="D57" s="6"/>
      <c r="E57" s="29"/>
      <c r="F57" s="6"/>
      <c r="G57" s="6"/>
      <c r="H57" s="6"/>
      <c r="I57" s="6"/>
      <c r="J57" s="6"/>
    </row>
    <row r="58" spans="1:15" ht="15" thickBot="1">
      <c r="A58" s="5" t="s">
        <v>103</v>
      </c>
      <c r="B58" s="133">
        <v>0.35</v>
      </c>
      <c r="D58" s="6"/>
      <c r="E58" s="29"/>
      <c r="F58" s="6"/>
      <c r="G58" s="6"/>
      <c r="H58" s="6"/>
      <c r="I58" s="6"/>
      <c r="J58" s="6"/>
    </row>
    <row r="59" spans="1:15" ht="15" thickBot="1">
      <c r="A59" s="20" t="s">
        <v>97</v>
      </c>
      <c r="B59" s="30" t="s">
        <v>98</v>
      </c>
      <c r="C59" s="30" t="s">
        <v>99</v>
      </c>
      <c r="D59" s="31" t="s">
        <v>100</v>
      </c>
      <c r="F59" s="6"/>
      <c r="G59" s="6"/>
      <c r="H59" s="6"/>
      <c r="I59" s="6"/>
      <c r="J59" s="6"/>
    </row>
    <row r="60" spans="1:15" ht="15" thickBot="1">
      <c r="A60" s="5" t="s">
        <v>104</v>
      </c>
      <c r="B60" s="257">
        <f>Summary!C32</f>
        <v>3.5</v>
      </c>
      <c r="C60" s="257">
        <f>Summary!C35</f>
        <v>4</v>
      </c>
      <c r="D60" s="257">
        <f>Summary!C38</f>
        <v>4.5</v>
      </c>
      <c r="F60" s="6"/>
      <c r="G60" s="6"/>
      <c r="H60" s="6"/>
      <c r="I60" s="6"/>
      <c r="J60" s="6"/>
    </row>
    <row r="61" spans="1:15" ht="15" thickBot="1">
      <c r="A61" s="5" t="s">
        <v>105</v>
      </c>
      <c r="B61" s="257">
        <f>Summary!C33</f>
        <v>1.2</v>
      </c>
      <c r="C61" s="257">
        <f>Summary!C36</f>
        <v>1.7</v>
      </c>
      <c r="D61" s="257">
        <f>Summary!C39</f>
        <v>2.2000000000000002</v>
      </c>
      <c r="F61" s="6"/>
      <c r="G61" s="6"/>
      <c r="H61" s="6"/>
      <c r="I61" s="6"/>
      <c r="J61" s="6"/>
    </row>
    <row r="62" spans="1:15" ht="15" thickBot="1">
      <c r="A62" s="20" t="s">
        <v>127</v>
      </c>
      <c r="B62" s="30" t="s">
        <v>98</v>
      </c>
      <c r="C62" s="30" t="s">
        <v>99</v>
      </c>
      <c r="D62" s="31" t="s">
        <v>100</v>
      </c>
      <c r="F62" s="6"/>
      <c r="G62" s="6"/>
      <c r="H62" s="6"/>
      <c r="I62" s="6"/>
      <c r="J62" s="6"/>
    </row>
    <row r="63" spans="1:15" ht="15" thickBot="1">
      <c r="A63" s="5" t="s">
        <v>123</v>
      </c>
      <c r="B63" s="258">
        <f>Summary!C45</f>
        <v>250</v>
      </c>
      <c r="C63" s="256">
        <f>Summary!C48</f>
        <v>220</v>
      </c>
      <c r="D63" s="256">
        <f>Summary!C51</f>
        <v>180</v>
      </c>
      <c r="F63" s="6"/>
      <c r="G63" s="6"/>
      <c r="H63" s="6"/>
      <c r="I63" s="6"/>
      <c r="J63" s="6"/>
    </row>
    <row r="64" spans="1:15" ht="15" thickBot="1">
      <c r="A64" s="5" t="s">
        <v>124</v>
      </c>
      <c r="B64" s="258">
        <f>Summary!C46</f>
        <v>700</v>
      </c>
      <c r="C64" s="256">
        <f>Summary!C49</f>
        <v>550</v>
      </c>
      <c r="D64" s="256">
        <f>Summary!C52</f>
        <v>400</v>
      </c>
      <c r="F64" s="6"/>
      <c r="G64" s="6"/>
      <c r="H64" s="6"/>
      <c r="I64" s="6"/>
      <c r="J64" s="6"/>
    </row>
    <row r="65" spans="1:15" ht="15" thickBot="1">
      <c r="A65" s="20" t="s">
        <v>97</v>
      </c>
      <c r="B65" s="20"/>
      <c r="E65" s="5"/>
      <c r="F65" s="6"/>
      <c r="G65" s="6"/>
      <c r="H65" s="6"/>
      <c r="I65" s="6"/>
      <c r="J65" s="6"/>
    </row>
    <row r="66" spans="1:15" ht="15" thickBot="1">
      <c r="A66" s="32">
        <v>2013</v>
      </c>
      <c r="B66" s="76" t="str">
        <f>Summary!C60</f>
        <v>Средняя</v>
      </c>
      <c r="E66" s="5"/>
      <c r="F66" s="6"/>
      <c r="G66" s="6"/>
      <c r="H66" s="6"/>
      <c r="I66" s="6"/>
      <c r="J66" s="6"/>
    </row>
    <row r="67" spans="1:15" ht="15" thickBot="1">
      <c r="A67" s="32">
        <v>2014</v>
      </c>
      <c r="B67" s="76" t="str">
        <f>Summary!C61</f>
        <v>Средняя</v>
      </c>
      <c r="D67" s="6"/>
      <c r="E67" s="29"/>
      <c r="F67" s="6"/>
      <c r="G67" s="6"/>
      <c r="H67" s="6"/>
      <c r="I67" s="6"/>
      <c r="J67" s="6"/>
    </row>
    <row r="68" spans="1:15" ht="15" thickBot="1">
      <c r="A68" s="32">
        <v>2015</v>
      </c>
      <c r="B68" s="76" t="str">
        <f>Summary!C62</f>
        <v>Средняя</v>
      </c>
      <c r="D68" s="6"/>
      <c r="E68" s="29"/>
      <c r="F68" s="6"/>
      <c r="G68" s="6"/>
      <c r="H68" s="6"/>
      <c r="I68" s="6"/>
      <c r="J68" s="6"/>
    </row>
    <row r="69" spans="1:15" ht="15" thickBot="1">
      <c r="A69" s="32">
        <v>2016</v>
      </c>
      <c r="B69" s="76" t="str">
        <f>Summary!C63</f>
        <v>Средняя</v>
      </c>
      <c r="D69" s="6"/>
      <c r="E69" s="29"/>
      <c r="F69" s="6"/>
      <c r="G69" s="6"/>
      <c r="H69" s="6"/>
      <c r="I69" s="6"/>
      <c r="J69" s="6"/>
    </row>
    <row r="70" spans="1:15" ht="15" thickBot="1">
      <c r="A70" s="32">
        <v>2017</v>
      </c>
      <c r="B70" s="76" t="str">
        <f>Summary!C64</f>
        <v>Средняя</v>
      </c>
      <c r="D70" s="6"/>
      <c r="E70" s="29"/>
      <c r="F70" s="6"/>
      <c r="G70" s="6"/>
      <c r="H70" s="6"/>
      <c r="I70" s="6"/>
      <c r="J70" s="6"/>
    </row>
    <row r="71" spans="1:15" ht="15" thickBot="1">
      <c r="A71" s="32">
        <v>2018</v>
      </c>
      <c r="B71" s="76" t="s">
        <v>99</v>
      </c>
      <c r="D71" s="6"/>
      <c r="E71" s="29"/>
      <c r="F71" s="6"/>
      <c r="G71" s="6"/>
      <c r="H71" s="6"/>
      <c r="I71" s="6"/>
      <c r="J71" s="6"/>
    </row>
    <row r="72" spans="1:15" ht="15" thickBot="1">
      <c r="A72" s="32">
        <v>2019</v>
      </c>
      <c r="B72" s="76" t="s">
        <v>99</v>
      </c>
      <c r="D72" s="6"/>
      <c r="E72" s="29"/>
      <c r="F72" s="6"/>
      <c r="G72" s="6"/>
      <c r="H72" s="6"/>
      <c r="I72" s="6"/>
      <c r="J72" s="6"/>
    </row>
    <row r="73" spans="1:15" ht="15" thickBot="1">
      <c r="A73" s="32">
        <v>2020</v>
      </c>
      <c r="B73" s="76" t="s">
        <v>99</v>
      </c>
      <c r="D73" s="6"/>
      <c r="E73" s="29"/>
      <c r="F73" s="6"/>
      <c r="G73" s="6"/>
      <c r="H73" s="6"/>
      <c r="I73" s="6"/>
      <c r="J73" s="6"/>
    </row>
    <row r="74" spans="1:15" ht="15" thickBot="1">
      <c r="A74" s="32">
        <v>2021</v>
      </c>
      <c r="B74" s="76" t="s">
        <v>99</v>
      </c>
      <c r="D74" s="6"/>
      <c r="E74" s="29"/>
      <c r="F74" s="6"/>
      <c r="G74" s="6"/>
      <c r="H74" s="6"/>
      <c r="I74" s="6"/>
      <c r="J74" s="6"/>
    </row>
    <row r="75" spans="1:15" ht="15" thickBot="1">
      <c r="A75" s="32">
        <v>2022</v>
      </c>
      <c r="B75" s="76" t="s">
        <v>99</v>
      </c>
      <c r="D75" s="6"/>
      <c r="E75" s="29"/>
      <c r="F75" s="6"/>
      <c r="G75" s="6"/>
      <c r="H75" s="6"/>
      <c r="I75" s="6"/>
      <c r="J75" s="6"/>
    </row>
    <row r="76" spans="1:15" ht="15.6">
      <c r="A76" s="20" t="s">
        <v>111</v>
      </c>
      <c r="B76" s="20"/>
      <c r="C76" s="4">
        <v>2010</v>
      </c>
      <c r="D76" s="4">
        <v>2011</v>
      </c>
      <c r="E76" s="21">
        <v>2012</v>
      </c>
      <c r="F76" s="4">
        <v>2013</v>
      </c>
      <c r="G76" s="4">
        <v>2014</v>
      </c>
      <c r="H76" s="4">
        <v>2015</v>
      </c>
      <c r="I76" s="4">
        <v>2016</v>
      </c>
      <c r="J76" s="4">
        <v>2017</v>
      </c>
      <c r="K76" s="4">
        <v>2018</v>
      </c>
      <c r="L76" s="4">
        <v>2019</v>
      </c>
      <c r="M76" s="4">
        <v>2020</v>
      </c>
      <c r="N76" s="4">
        <v>2021</v>
      </c>
      <c r="O76" s="4">
        <v>2022</v>
      </c>
    </row>
    <row r="77" spans="1:15" s="8" customFormat="1" ht="15.6">
      <c r="A77" s="8" t="s">
        <v>97</v>
      </c>
      <c r="F77" s="33" t="str">
        <f>B66</f>
        <v>Средняя</v>
      </c>
      <c r="G77" s="33" t="str">
        <f>B67</f>
        <v>Средняя</v>
      </c>
      <c r="H77" s="34" t="str">
        <f>B68</f>
        <v>Средняя</v>
      </c>
      <c r="I77" s="33" t="str">
        <f>B69</f>
        <v>Средняя</v>
      </c>
      <c r="J77" s="33" t="str">
        <f>B70</f>
        <v>Средняя</v>
      </c>
      <c r="K77" s="33" t="str">
        <f>B71</f>
        <v>Средняя</v>
      </c>
      <c r="L77" s="33" t="str">
        <f>B72</f>
        <v>Средняя</v>
      </c>
      <c r="M77" s="33" t="str">
        <f>B73</f>
        <v>Средняя</v>
      </c>
      <c r="N77" s="33" t="str">
        <f>B74</f>
        <v>Средняя</v>
      </c>
      <c r="O77" s="33" t="str">
        <f>B75</f>
        <v>Средняя</v>
      </c>
    </row>
    <row r="78" spans="1:15" s="111" customFormat="1">
      <c r="A78" s="111" t="s">
        <v>104</v>
      </c>
      <c r="C78" s="110">
        <v>4.2</v>
      </c>
      <c r="D78" s="110">
        <v>5</v>
      </c>
      <c r="E78" s="112">
        <v>3.5</v>
      </c>
      <c r="F78" s="110">
        <f t="shared" ref="F78:O78" si="35">IF(F77=$B$59,$B$60,IF(F77=$C$59,$C$60,$D$60))</f>
        <v>4</v>
      </c>
      <c r="G78" s="110">
        <f t="shared" si="35"/>
        <v>4</v>
      </c>
      <c r="H78" s="110">
        <f t="shared" si="35"/>
        <v>4</v>
      </c>
      <c r="I78" s="110">
        <f t="shared" si="35"/>
        <v>4</v>
      </c>
      <c r="J78" s="110">
        <f t="shared" si="35"/>
        <v>4</v>
      </c>
      <c r="K78" s="110">
        <f t="shared" si="35"/>
        <v>4</v>
      </c>
      <c r="L78" s="110">
        <f t="shared" si="35"/>
        <v>4</v>
      </c>
      <c r="M78" s="110">
        <f t="shared" si="35"/>
        <v>4</v>
      </c>
      <c r="N78" s="110">
        <f t="shared" si="35"/>
        <v>4</v>
      </c>
      <c r="O78" s="110">
        <f t="shared" si="35"/>
        <v>4</v>
      </c>
    </row>
    <row r="79" spans="1:15" s="111" customFormat="1">
      <c r="A79" s="111" t="s">
        <v>105</v>
      </c>
      <c r="C79" s="110">
        <v>1.5</v>
      </c>
      <c r="D79" s="110">
        <v>2.2000000000000002</v>
      </c>
      <c r="E79" s="112">
        <v>1.7</v>
      </c>
      <c r="F79" s="110">
        <f t="shared" ref="F79:O79" si="36">IF(F77=$B$59,$B$61,IF(F77=$C$59,$C$61,$D$61))</f>
        <v>1.7</v>
      </c>
      <c r="G79" s="110">
        <f t="shared" si="36"/>
        <v>1.7</v>
      </c>
      <c r="H79" s="110">
        <f t="shared" si="36"/>
        <v>1.7</v>
      </c>
      <c r="I79" s="110">
        <f t="shared" si="36"/>
        <v>1.7</v>
      </c>
      <c r="J79" s="110">
        <f t="shared" si="36"/>
        <v>1.7</v>
      </c>
      <c r="K79" s="110">
        <f t="shared" si="36"/>
        <v>1.7</v>
      </c>
      <c r="L79" s="110">
        <f t="shared" si="36"/>
        <v>1.7</v>
      </c>
      <c r="M79" s="110">
        <f t="shared" si="36"/>
        <v>1.7</v>
      </c>
      <c r="N79" s="110">
        <f t="shared" si="36"/>
        <v>1.7</v>
      </c>
      <c r="O79" s="110">
        <f t="shared" si="36"/>
        <v>1.7</v>
      </c>
    </row>
    <row r="80" spans="1:15" ht="15" thickBot="1">
      <c r="A80" s="20" t="s">
        <v>110</v>
      </c>
      <c r="B80" s="20"/>
      <c r="C80" s="6"/>
      <c r="D80" s="6"/>
      <c r="E80" s="29"/>
      <c r="F80" s="6"/>
      <c r="G80" s="6"/>
      <c r="H80" s="6"/>
      <c r="I80" s="6"/>
      <c r="J80" s="6"/>
    </row>
    <row r="81" spans="1:15" ht="15" thickBot="1">
      <c r="A81" s="5" t="s">
        <v>112</v>
      </c>
      <c r="B81" s="133">
        <v>0.03</v>
      </c>
      <c r="D81" s="6"/>
      <c r="E81" s="29"/>
      <c r="F81" s="6"/>
      <c r="G81" s="6"/>
      <c r="H81" s="6"/>
      <c r="I81" s="6"/>
      <c r="J81" s="6"/>
    </row>
    <row r="82" spans="1:15" ht="15" thickBot="1">
      <c r="A82" s="5" t="s">
        <v>113</v>
      </c>
      <c r="B82" s="133">
        <v>0.1</v>
      </c>
      <c r="D82" s="6"/>
      <c r="E82" s="29"/>
      <c r="F82" s="6"/>
      <c r="G82" s="6"/>
      <c r="H82" s="6"/>
      <c r="I82" s="6"/>
      <c r="J82" s="6"/>
    </row>
    <row r="83" spans="1:15" ht="15" thickBot="1">
      <c r="A83" s="35" t="s">
        <v>115</v>
      </c>
      <c r="B83" s="138"/>
      <c r="D83" s="6"/>
      <c r="E83" s="29"/>
      <c r="F83" s="6"/>
      <c r="G83" s="6"/>
      <c r="H83" s="6"/>
      <c r="I83" s="6"/>
      <c r="J83" s="6"/>
    </row>
    <row r="84" spans="1:15" s="111" customFormat="1" ht="15" thickBot="1">
      <c r="A84" s="111" t="s">
        <v>104</v>
      </c>
      <c r="B84" s="139">
        <v>0.25</v>
      </c>
      <c r="D84" s="110"/>
      <c r="E84" s="112"/>
      <c r="F84" s="110"/>
      <c r="G84" s="110"/>
      <c r="H84" s="110"/>
      <c r="I84" s="110"/>
      <c r="J84" s="110"/>
    </row>
    <row r="85" spans="1:15" s="111" customFormat="1" ht="15" thickBot="1">
      <c r="A85" s="111" t="s">
        <v>105</v>
      </c>
      <c r="B85" s="140">
        <v>0</v>
      </c>
      <c r="D85" s="110"/>
      <c r="E85" s="112"/>
      <c r="F85" s="110"/>
      <c r="G85" s="110"/>
      <c r="H85" s="110"/>
      <c r="I85" s="110"/>
      <c r="J85" s="110"/>
    </row>
    <row r="86" spans="1:15" ht="15" thickBot="1">
      <c r="A86" s="35" t="s">
        <v>174</v>
      </c>
      <c r="B86" s="141">
        <v>300</v>
      </c>
      <c r="D86" s="6"/>
      <c r="E86" s="29"/>
      <c r="F86" s="6"/>
      <c r="G86" s="6"/>
      <c r="H86" s="6"/>
      <c r="I86" s="6"/>
      <c r="J86" s="6"/>
    </row>
    <row r="87" spans="1:15" ht="29.4" thickBot="1">
      <c r="A87" s="5" t="s">
        <v>178</v>
      </c>
      <c r="C87" s="75">
        <f t="shared" ref="C87:O87" si="37">$B$86*C36</f>
        <v>0</v>
      </c>
      <c r="D87" s="75">
        <f t="shared" si="37"/>
        <v>7500000</v>
      </c>
      <c r="E87" s="75">
        <f t="shared" si="37"/>
        <v>0</v>
      </c>
      <c r="F87" s="75">
        <f t="shared" si="37"/>
        <v>0</v>
      </c>
      <c r="G87" s="75">
        <f t="shared" si="37"/>
        <v>0</v>
      </c>
      <c r="H87" s="75">
        <f t="shared" si="37"/>
        <v>6000000</v>
      </c>
      <c r="I87" s="75">
        <f t="shared" si="37"/>
        <v>3000000</v>
      </c>
      <c r="J87" s="75">
        <f t="shared" si="37"/>
        <v>3000000</v>
      </c>
      <c r="K87" s="75">
        <f t="shared" si="37"/>
        <v>0</v>
      </c>
      <c r="L87" s="75">
        <f t="shared" si="37"/>
        <v>0</v>
      </c>
      <c r="M87" s="75">
        <f t="shared" si="37"/>
        <v>0</v>
      </c>
      <c r="N87" s="75">
        <f t="shared" si="37"/>
        <v>0</v>
      </c>
      <c r="O87" s="75">
        <f t="shared" si="37"/>
        <v>0</v>
      </c>
    </row>
    <row r="88" spans="1:15" ht="15" thickBot="1">
      <c r="A88" s="5" t="s">
        <v>175</v>
      </c>
      <c r="B88" s="73">
        <v>5</v>
      </c>
      <c r="D88" s="6"/>
      <c r="E88" s="29"/>
      <c r="F88" s="6"/>
      <c r="G88" s="6"/>
      <c r="H88" s="6"/>
      <c r="I88" s="6"/>
      <c r="J88" s="6"/>
    </row>
    <row r="89" spans="1:15" ht="15" thickBot="1">
      <c r="A89" s="5" t="s">
        <v>176</v>
      </c>
      <c r="B89" s="74">
        <v>0.08</v>
      </c>
      <c r="D89" s="6"/>
      <c r="E89" s="29"/>
      <c r="F89" s="6"/>
      <c r="G89" s="6"/>
      <c r="H89" s="6"/>
      <c r="I89" s="6"/>
      <c r="J89" s="6"/>
    </row>
    <row r="90" spans="1:15">
      <c r="A90" s="5" t="s">
        <v>177</v>
      </c>
      <c r="C90" s="19"/>
      <c r="D90" s="6"/>
      <c r="E90" s="29"/>
      <c r="F90" s="6"/>
      <c r="G90" s="6"/>
      <c r="H90" s="6"/>
      <c r="I90" s="6"/>
      <c r="J90" s="6"/>
    </row>
    <row r="91" spans="1:15">
      <c r="A91" s="35" t="s">
        <v>199</v>
      </c>
      <c r="B91" s="35"/>
      <c r="C91" s="19"/>
      <c r="D91" s="6"/>
      <c r="E91" s="29"/>
      <c r="F91" s="6"/>
      <c r="G91" s="6"/>
      <c r="H91" s="6"/>
      <c r="I91" s="6"/>
      <c r="J91" s="6"/>
    </row>
    <row r="92" spans="1:15" s="60" customFormat="1">
      <c r="A92" s="60" t="s">
        <v>197</v>
      </c>
      <c r="C92" s="58">
        <f>C93*C5</f>
        <v>15506347.8576</v>
      </c>
      <c r="D92" s="58">
        <f>D93*D5</f>
        <v>28370436.037999999</v>
      </c>
      <c r="E92" s="58">
        <f>E93*E5</f>
        <v>32643591.586400002</v>
      </c>
      <c r="F92" s="58">
        <f t="shared" ref="F92:O92" si="38">E92*(1+F8)</f>
        <v>34602207.081584007</v>
      </c>
      <c r="G92" s="58">
        <f t="shared" si="38"/>
        <v>36505328.471071124</v>
      </c>
      <c r="H92" s="58">
        <f t="shared" si="38"/>
        <v>38330594.89462468</v>
      </c>
      <c r="I92" s="58">
        <f t="shared" si="38"/>
        <v>40055471.664882787</v>
      </c>
      <c r="J92" s="58">
        <f t="shared" si="38"/>
        <v>41657690.5314781</v>
      </c>
      <c r="K92" s="58">
        <f t="shared" si="38"/>
        <v>43115709.700079829</v>
      </c>
      <c r="L92" s="58">
        <f t="shared" si="38"/>
        <v>44409180.991082221</v>
      </c>
      <c r="M92" s="58">
        <f t="shared" si="38"/>
        <v>45519410.515859276</v>
      </c>
      <c r="N92" s="58">
        <f t="shared" si="38"/>
        <v>46429798.726176463</v>
      </c>
      <c r="O92" s="58">
        <f t="shared" si="38"/>
        <v>47126245.707069114</v>
      </c>
    </row>
    <row r="93" spans="1:15" s="70" customFormat="1">
      <c r="A93" s="70" t="s">
        <v>198</v>
      </c>
      <c r="C93" s="88">
        <v>510756</v>
      </c>
      <c r="D93" s="88">
        <v>965342</v>
      </c>
      <c r="E93" s="88">
        <v>1051276</v>
      </c>
      <c r="F93" s="75">
        <f t="shared" ref="F93:O93" si="39">F92/F5</f>
        <v>1081895.6893203885</v>
      </c>
      <c r="G93" s="75">
        <f t="shared" si="39"/>
        <v>1108155.2934301065</v>
      </c>
      <c r="H93" s="75">
        <f t="shared" si="39"/>
        <v>1129672.8719433125</v>
      </c>
      <c r="I93" s="75">
        <f t="shared" si="39"/>
        <v>1146124.4186220984</v>
      </c>
      <c r="J93" s="75">
        <f t="shared" si="39"/>
        <v>1157251.8401621189</v>
      </c>
      <c r="K93" s="75">
        <f t="shared" si="39"/>
        <v>1162869.5675415464</v>
      </c>
      <c r="L93" s="75">
        <f t="shared" si="39"/>
        <v>1162869.5675415464</v>
      </c>
      <c r="M93" s="75">
        <f t="shared" si="39"/>
        <v>1157224.5696408593</v>
      </c>
      <c r="N93" s="75">
        <f t="shared" si="39"/>
        <v>1145989.379644346</v>
      </c>
      <c r="O93" s="75">
        <f t="shared" si="39"/>
        <v>1129300.2139213702</v>
      </c>
    </row>
    <row r="94" spans="1:15">
      <c r="A94" s="32"/>
      <c r="B94" s="32"/>
      <c r="C94" s="6"/>
      <c r="D94" s="6"/>
      <c r="E94" s="29"/>
      <c r="F94" s="6"/>
      <c r="G94" s="6"/>
      <c r="H94" s="6"/>
      <c r="I94" s="6"/>
      <c r="J94" s="6"/>
    </row>
    <row r="95" spans="1:15" ht="18">
      <c r="A95" s="9" t="s">
        <v>120</v>
      </c>
      <c r="B95" s="9"/>
      <c r="C95" s="4">
        <v>2010</v>
      </c>
      <c r="D95" s="4">
        <v>2011</v>
      </c>
      <c r="E95" s="21">
        <v>2012</v>
      </c>
      <c r="F95" s="4">
        <v>2013</v>
      </c>
      <c r="G95" s="4">
        <v>2014</v>
      </c>
      <c r="H95" s="4">
        <v>2015</v>
      </c>
      <c r="I95" s="4">
        <v>2016</v>
      </c>
      <c r="J95" s="4">
        <v>2017</v>
      </c>
      <c r="K95" s="4">
        <v>2018</v>
      </c>
      <c r="L95" s="4">
        <v>2019</v>
      </c>
      <c r="M95" s="4">
        <v>2020</v>
      </c>
      <c r="N95" s="4">
        <v>2021</v>
      </c>
      <c r="O95" s="4">
        <v>2022</v>
      </c>
    </row>
    <row r="96" spans="1:15" s="8" customFormat="1" ht="15.6">
      <c r="A96" s="8" t="s">
        <v>97</v>
      </c>
      <c r="F96" s="33" t="str">
        <f>B66</f>
        <v>Средняя</v>
      </c>
      <c r="G96" s="33" t="str">
        <f>B67</f>
        <v>Средняя</v>
      </c>
      <c r="H96" s="34" t="str">
        <f>B68</f>
        <v>Средняя</v>
      </c>
      <c r="I96" s="33" t="str">
        <f>B69</f>
        <v>Средняя</v>
      </c>
      <c r="J96" s="33" t="str">
        <f>B70</f>
        <v>Средняя</v>
      </c>
      <c r="K96" s="33" t="str">
        <f>B71</f>
        <v>Средняя</v>
      </c>
      <c r="L96" s="33" t="str">
        <f>B72</f>
        <v>Средняя</v>
      </c>
      <c r="M96" s="33" t="str">
        <f>B73</f>
        <v>Средняя</v>
      </c>
      <c r="N96" s="33" t="str">
        <f>B74</f>
        <v>Средняя</v>
      </c>
      <c r="O96" s="33" t="str">
        <f>B75</f>
        <v>Средняя</v>
      </c>
    </row>
    <row r="97" spans="1:15" s="66" customFormat="1" ht="15.6">
      <c r="A97" s="66" t="s">
        <v>128</v>
      </c>
      <c r="F97" s="67">
        <f t="shared" ref="F97:O97" si="40">IF(F96=$B$62,$B$63,IF(F96=$C$62,$C$63,$D$63))</f>
        <v>220</v>
      </c>
      <c r="G97" s="67">
        <f t="shared" si="40"/>
        <v>220</v>
      </c>
      <c r="H97" s="67">
        <f t="shared" si="40"/>
        <v>220</v>
      </c>
      <c r="I97" s="67">
        <f t="shared" si="40"/>
        <v>220</v>
      </c>
      <c r="J97" s="67">
        <f t="shared" si="40"/>
        <v>220</v>
      </c>
      <c r="K97" s="67">
        <f t="shared" si="40"/>
        <v>220</v>
      </c>
      <c r="L97" s="67">
        <f t="shared" si="40"/>
        <v>220</v>
      </c>
      <c r="M97" s="67">
        <f t="shared" si="40"/>
        <v>220</v>
      </c>
      <c r="N97" s="67">
        <f t="shared" si="40"/>
        <v>220</v>
      </c>
      <c r="O97" s="67">
        <f t="shared" si="40"/>
        <v>220</v>
      </c>
    </row>
    <row r="98" spans="1:15" s="66" customFormat="1" ht="15.6">
      <c r="A98" s="66" t="s">
        <v>129</v>
      </c>
      <c r="F98" s="67">
        <f t="shared" ref="F98:O98" si="41">IF(F96=$B$62,$B$64,IF(F96=$C$62,$C$64,$D$64))</f>
        <v>550</v>
      </c>
      <c r="G98" s="67">
        <f t="shared" si="41"/>
        <v>550</v>
      </c>
      <c r="H98" s="67">
        <f t="shared" si="41"/>
        <v>550</v>
      </c>
      <c r="I98" s="67">
        <f t="shared" si="41"/>
        <v>550</v>
      </c>
      <c r="J98" s="67">
        <f t="shared" si="41"/>
        <v>550</v>
      </c>
      <c r="K98" s="67">
        <f t="shared" si="41"/>
        <v>550</v>
      </c>
      <c r="L98" s="67">
        <f t="shared" si="41"/>
        <v>550</v>
      </c>
      <c r="M98" s="67">
        <f t="shared" si="41"/>
        <v>550</v>
      </c>
      <c r="N98" s="67">
        <f t="shared" si="41"/>
        <v>550</v>
      </c>
      <c r="O98" s="67">
        <f t="shared" si="41"/>
        <v>550</v>
      </c>
    </row>
    <row r="99" spans="1:15" s="8" customFormat="1">
      <c r="A99" s="20" t="s">
        <v>121</v>
      </c>
      <c r="B99" s="20"/>
      <c r="C99" s="6"/>
      <c r="D99" s="6"/>
      <c r="E99" s="29"/>
      <c r="F99" s="6"/>
      <c r="G99" s="6"/>
      <c r="H99" s="6"/>
      <c r="I99" s="6"/>
      <c r="J99" s="6"/>
    </row>
    <row r="100" spans="1:15" s="60" customFormat="1">
      <c r="A100" s="60" t="s">
        <v>125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</row>
    <row r="101" spans="1:15" s="60" customFormat="1">
      <c r="A101" s="60" t="s">
        <v>126</v>
      </c>
      <c r="C101" s="58">
        <f>600*C5</f>
        <v>18215.760000000002</v>
      </c>
      <c r="D101" s="58">
        <f>450*D5</f>
        <v>13225.05</v>
      </c>
      <c r="E101" s="58">
        <f>700*E5</f>
        <v>21735.98</v>
      </c>
      <c r="F101" s="58">
        <f t="shared" ref="F101:O101" si="42">F5*F98*(1+$B$10)^(F95-$E$95)</f>
        <v>18294.242824000001</v>
      </c>
      <c r="G101" s="58">
        <f t="shared" si="42"/>
        <v>19596.792913068806</v>
      </c>
      <c r="H101" s="58">
        <f t="shared" si="42"/>
        <v>20992.084568479306</v>
      </c>
      <c r="I101" s="58">
        <f t="shared" si="42"/>
        <v>22486.720989755031</v>
      </c>
      <c r="J101" s="58">
        <f t="shared" si="42"/>
        <v>24087.775524225592</v>
      </c>
      <c r="K101" s="58">
        <f t="shared" si="42"/>
        <v>25802.825141550453</v>
      </c>
      <c r="L101" s="58">
        <f t="shared" si="42"/>
        <v>27639.986291628848</v>
      </c>
      <c r="M101" s="58">
        <f t="shared" si="42"/>
        <v>29607.953315592826</v>
      </c>
      <c r="N101" s="58">
        <f t="shared" si="42"/>
        <v>31716.03959166304</v>
      </c>
      <c r="O101" s="58">
        <f t="shared" si="42"/>
        <v>33974.221610589448</v>
      </c>
    </row>
    <row r="102" spans="1:15">
      <c r="A102" s="20" t="s">
        <v>122</v>
      </c>
      <c r="B102" s="20"/>
      <c r="C102" s="6"/>
      <c r="D102" s="6"/>
      <c r="E102" s="29"/>
      <c r="F102" s="6"/>
      <c r="G102" s="6"/>
      <c r="H102" s="6"/>
      <c r="I102" s="6"/>
      <c r="J102" s="6"/>
    </row>
    <row r="103" spans="1:15" s="63" customFormat="1">
      <c r="A103" s="63" t="s">
        <v>123</v>
      </c>
      <c r="C103" s="66">
        <v>185</v>
      </c>
      <c r="D103" s="66">
        <v>220</v>
      </c>
      <c r="E103" s="68">
        <v>280</v>
      </c>
      <c r="F103" s="66">
        <f t="shared" ref="F103:O103" si="43">F97*(1+$B$13)^(F95-$E$95)</f>
        <v>227.7</v>
      </c>
      <c r="G103" s="66">
        <f t="shared" si="43"/>
        <v>235.66949999999997</v>
      </c>
      <c r="H103" s="66">
        <f t="shared" si="43"/>
        <v>243.91793249999995</v>
      </c>
      <c r="I103" s="66">
        <f t="shared" si="43"/>
        <v>252.45506013749994</v>
      </c>
      <c r="J103" s="66">
        <f t="shared" si="43"/>
        <v>261.29098724231238</v>
      </c>
      <c r="K103" s="66">
        <f t="shared" si="43"/>
        <v>270.43617179579331</v>
      </c>
      <c r="L103" s="66">
        <f t="shared" si="43"/>
        <v>279.90143780864611</v>
      </c>
      <c r="M103" s="66">
        <f t="shared" si="43"/>
        <v>289.69798813194865</v>
      </c>
      <c r="N103" s="66">
        <f t="shared" si="43"/>
        <v>299.83741771656679</v>
      </c>
      <c r="O103" s="66">
        <f t="shared" si="43"/>
        <v>310.33172733664662</v>
      </c>
    </row>
    <row r="104" spans="1:15" s="63" customFormat="1">
      <c r="A104" s="63" t="s">
        <v>124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</row>
    <row r="105" spans="1:15" s="63" customFormat="1">
      <c r="A105" s="20" t="s">
        <v>164</v>
      </c>
      <c r="B105" s="20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</row>
    <row r="106" spans="1:15" s="63" customFormat="1">
      <c r="A106" s="63" t="s">
        <v>123</v>
      </c>
      <c r="C106" s="66">
        <v>30</v>
      </c>
      <c r="D106" s="66">
        <v>35</v>
      </c>
      <c r="E106" s="66">
        <v>40</v>
      </c>
      <c r="F106" s="66">
        <f t="shared" ref="F106:O106" si="44">E106*(1+F8)*E5/F5</f>
        <v>41.165048543689323</v>
      </c>
      <c r="G106" s="66">
        <f t="shared" si="44"/>
        <v>42.164200207371103</v>
      </c>
      <c r="H106" s="66">
        <f t="shared" si="44"/>
        <v>42.982922541494816</v>
      </c>
      <c r="I106" s="66">
        <f t="shared" si="44"/>
        <v>43.608887432875804</v>
      </c>
      <c r="J106" s="66">
        <f t="shared" si="44"/>
        <v>44.03227468950567</v>
      </c>
      <c r="K106" s="66">
        <f t="shared" si="44"/>
        <v>44.246023595765401</v>
      </c>
      <c r="L106" s="66">
        <f t="shared" si="44"/>
        <v>44.246023595765401</v>
      </c>
      <c r="M106" s="66">
        <f t="shared" si="44"/>
        <v>44.031237073455856</v>
      </c>
      <c r="N106" s="66">
        <f t="shared" si="44"/>
        <v>43.603749334878607</v>
      </c>
      <c r="O106" s="66">
        <f t="shared" si="44"/>
        <v>42.968743276603682</v>
      </c>
    </row>
    <row r="107" spans="1:15" s="63" customFormat="1">
      <c r="A107" s="63" t="s">
        <v>124</v>
      </c>
      <c r="C107" s="66">
        <v>5</v>
      </c>
      <c r="D107" s="66">
        <v>6</v>
      </c>
      <c r="E107" s="66">
        <v>7</v>
      </c>
      <c r="F107" s="66">
        <f t="shared" ref="F107:O107" si="45">E107*(1+F8)*E5/F5</f>
        <v>7.2038834951456305</v>
      </c>
      <c r="G107" s="66">
        <f t="shared" si="45"/>
        <v>7.3787350362899415</v>
      </c>
      <c r="H107" s="66">
        <f t="shared" si="45"/>
        <v>7.5220114447615902</v>
      </c>
      <c r="I107" s="66">
        <f t="shared" si="45"/>
        <v>7.6315553007532637</v>
      </c>
      <c r="J107" s="66">
        <f t="shared" si="45"/>
        <v>7.7056480706634902</v>
      </c>
      <c r="K107" s="66">
        <f t="shared" si="45"/>
        <v>7.7430541292589439</v>
      </c>
      <c r="L107" s="66">
        <f t="shared" si="45"/>
        <v>7.743054129258943</v>
      </c>
      <c r="M107" s="66">
        <f t="shared" si="45"/>
        <v>7.7054664878547721</v>
      </c>
      <c r="N107" s="66">
        <f t="shared" si="45"/>
        <v>7.6306561336037548</v>
      </c>
      <c r="O107" s="66">
        <f t="shared" si="45"/>
        <v>7.5195300734056429</v>
      </c>
    </row>
    <row r="108" spans="1:15">
      <c r="A108" s="20" t="s">
        <v>165</v>
      </c>
      <c r="B108" s="20"/>
    </row>
    <row r="109" spans="1:15">
      <c r="A109" s="63" t="s">
        <v>123</v>
      </c>
      <c r="B109" s="63"/>
      <c r="C109" s="66">
        <v>25</v>
      </c>
      <c r="D109" s="66">
        <v>27</v>
      </c>
      <c r="E109" s="66">
        <v>30</v>
      </c>
      <c r="F109" s="66">
        <f t="shared" ref="F109:O109" si="46">E109*(1+F8)*E5/F5</f>
        <v>30.873786407766989</v>
      </c>
      <c r="G109" s="66">
        <f t="shared" si="46"/>
        <v>31.623150155528325</v>
      </c>
      <c r="H109" s="66">
        <f t="shared" si="46"/>
        <v>32.237191906121112</v>
      </c>
      <c r="I109" s="66">
        <f t="shared" si="46"/>
        <v>32.706665574656853</v>
      </c>
      <c r="J109" s="66">
        <f t="shared" si="46"/>
        <v>33.024206017129252</v>
      </c>
      <c r="K109" s="66">
        <f t="shared" si="46"/>
        <v>33.184517696824045</v>
      </c>
      <c r="L109" s="66">
        <f t="shared" si="46"/>
        <v>33.184517696824045</v>
      </c>
      <c r="M109" s="66">
        <f t="shared" si="46"/>
        <v>33.023427805091885</v>
      </c>
      <c r="N109" s="66">
        <f t="shared" si="46"/>
        <v>32.702812001158954</v>
      </c>
      <c r="O109" s="66">
        <f t="shared" si="46"/>
        <v>32.226557457452756</v>
      </c>
    </row>
    <row r="110" spans="1:15">
      <c r="A110" s="63" t="s">
        <v>124</v>
      </c>
      <c r="B110" s="63"/>
      <c r="C110" s="66">
        <v>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</row>
    <row r="111" spans="1:15" ht="28.8">
      <c r="A111" s="20" t="s">
        <v>166</v>
      </c>
      <c r="B111" s="20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</row>
    <row r="112" spans="1:15" ht="15" thickBot="1">
      <c r="A112" s="63" t="s">
        <v>167</v>
      </c>
      <c r="B112" s="63"/>
      <c r="C112" s="61">
        <f>B20*'Pr Sales'!B29*C5/4</f>
        <v>25605391.001125</v>
      </c>
      <c r="D112" s="61">
        <f>D20*'Pr Sales'!C29*D5/4</f>
        <v>48330210.5</v>
      </c>
      <c r="E112" s="61">
        <f>E20*'Pr Sales'!D29*E5/4</f>
        <v>44433777.115000002</v>
      </c>
      <c r="F112" s="61">
        <f>F20*'Pr Sales'!E29*F5/4</f>
        <v>42957740.626193255</v>
      </c>
      <c r="G112" s="61">
        <f>G20*'Pr Sales'!F29*G5/4</f>
        <v>45164312.901515387</v>
      </c>
      <c r="H112" s="61">
        <f>H20*'Pr Sales'!G29*H5/4</f>
        <v>58247613.881024733</v>
      </c>
      <c r="I112" s="61">
        <f>I20*'Pr Sales'!H29*I5/4</f>
        <v>67299310.56183444</v>
      </c>
      <c r="J112" s="61">
        <f>J20*'Pr Sales'!I29*J5/4</f>
        <v>77674732.293187514</v>
      </c>
      <c r="K112" s="61">
        <f>K20*'Pr Sales'!J29*K5/4</f>
        <v>82805148.36115256</v>
      </c>
      <c r="L112" s="61">
        <f>L20*'Pr Sales'!K29*L5/4</f>
        <v>88274428.410406694</v>
      </c>
      <c r="M112" s="61">
        <f>M20*'Pr Sales'!L29*M5/4</f>
        <v>94104954.406914055</v>
      </c>
      <c r="N112" s="61">
        <f>N20*'Pr Sales'!M29*N5/4</f>
        <v>100320586.64549072</v>
      </c>
      <c r="O112" s="61">
        <f>O20*'Pr Sales'!N29*O5/4</f>
        <v>106946761.39342538</v>
      </c>
    </row>
    <row r="113" spans="1:15" ht="15" thickBot="1">
      <c r="A113" s="63" t="s">
        <v>168</v>
      </c>
      <c r="B113" s="74">
        <v>0.05</v>
      </c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</row>
    <row r="114" spans="1:15">
      <c r="A114" s="63" t="s">
        <v>169</v>
      </c>
      <c r="B114" s="63"/>
      <c r="C114" s="61">
        <f t="shared" ref="C114:O114" si="47">C112*$B$113</f>
        <v>1280269.5500562501</v>
      </c>
      <c r="D114" s="61">
        <f t="shared" si="47"/>
        <v>2416510.5249999999</v>
      </c>
      <c r="E114" s="61">
        <f t="shared" si="47"/>
        <v>2221688.8557500001</v>
      </c>
      <c r="F114" s="61">
        <f t="shared" si="47"/>
        <v>2147887.0313096629</v>
      </c>
      <c r="G114" s="61">
        <f t="shared" si="47"/>
        <v>2258215.6450757696</v>
      </c>
      <c r="H114" s="61">
        <f t="shared" si="47"/>
        <v>2912380.6940512368</v>
      </c>
      <c r="I114" s="61">
        <f t="shared" si="47"/>
        <v>3364965.5280917222</v>
      </c>
      <c r="J114" s="61">
        <f t="shared" si="47"/>
        <v>3883736.614659376</v>
      </c>
      <c r="K114" s="61">
        <f t="shared" si="47"/>
        <v>4140257.418057628</v>
      </c>
      <c r="L114" s="61">
        <f t="shared" si="47"/>
        <v>4413721.4205203345</v>
      </c>
      <c r="M114" s="61">
        <f t="shared" si="47"/>
        <v>4705247.720345703</v>
      </c>
      <c r="N114" s="61">
        <f t="shared" si="47"/>
        <v>5016029.3322745366</v>
      </c>
      <c r="O114" s="61">
        <f t="shared" si="47"/>
        <v>5347338.0696712695</v>
      </c>
    </row>
    <row r="115" spans="1:15">
      <c r="A115" s="63" t="s">
        <v>170</v>
      </c>
      <c r="B115" s="63"/>
      <c r="C115" s="69">
        <f t="shared" ref="C115:O115" si="48">C114/C5</f>
        <v>42170.171875</v>
      </c>
      <c r="D115" s="69">
        <f t="shared" si="48"/>
        <v>82225</v>
      </c>
      <c r="E115" s="69">
        <f t="shared" si="48"/>
        <v>71548.75</v>
      </c>
      <c r="F115" s="69">
        <f t="shared" si="48"/>
        <v>67157.268750000003</v>
      </c>
      <c r="G115" s="69">
        <f t="shared" si="48"/>
        <v>68550.365812500007</v>
      </c>
      <c r="H115" s="69">
        <f t="shared" si="48"/>
        <v>85833.195959671866</v>
      </c>
      <c r="I115" s="69">
        <f t="shared" si="48"/>
        <v>96283.204248190785</v>
      </c>
      <c r="J115" s="69">
        <f t="shared" si="48"/>
        <v>107890.31476969129</v>
      </c>
      <c r="K115" s="69">
        <f t="shared" si="48"/>
        <v>111666.4757866305</v>
      </c>
      <c r="L115" s="69">
        <f t="shared" si="48"/>
        <v>115574.80243916257</v>
      </c>
      <c r="M115" s="69">
        <f t="shared" si="48"/>
        <v>119619.92052453326</v>
      </c>
      <c r="N115" s="69">
        <f t="shared" si="48"/>
        <v>123806.6177428919</v>
      </c>
      <c r="O115" s="69">
        <f t="shared" si="48"/>
        <v>128139.84936389312</v>
      </c>
    </row>
    <row r="116" spans="1:15" ht="15" thickBot="1">
      <c r="A116" s="20" t="s">
        <v>206</v>
      </c>
      <c r="B116" s="20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</row>
    <row r="117" spans="1:15" ht="15" thickBot="1">
      <c r="A117" s="63" t="s">
        <v>210</v>
      </c>
      <c r="B117" s="137">
        <v>2.5</v>
      </c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</row>
    <row r="118" spans="1:15" ht="15" thickBot="1">
      <c r="A118" s="63" t="s">
        <v>124</v>
      </c>
      <c r="B118" s="137">
        <v>0</v>
      </c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</row>
    <row r="119" spans="1:15" ht="15" thickBot="1">
      <c r="A119" s="63" t="s">
        <v>207</v>
      </c>
      <c r="B119" s="63"/>
      <c r="C119" s="89">
        <f>$B$117*C122</f>
        <v>548437.50000000012</v>
      </c>
      <c r="D119" s="89">
        <f t="shared" ref="D119:O119" si="49">$B$117*D122</f>
        <v>731250</v>
      </c>
      <c r="E119" s="89">
        <f t="shared" si="49"/>
        <v>731250</v>
      </c>
      <c r="F119" s="89">
        <f t="shared" si="49"/>
        <v>731250</v>
      </c>
      <c r="G119" s="89">
        <f t="shared" si="49"/>
        <v>731250</v>
      </c>
      <c r="H119" s="89">
        <f t="shared" si="49"/>
        <v>877500.00000000012</v>
      </c>
      <c r="I119" s="89">
        <f t="shared" si="49"/>
        <v>950625.00000000012</v>
      </c>
      <c r="J119" s="89">
        <f t="shared" si="49"/>
        <v>1023750.0000000001</v>
      </c>
      <c r="K119" s="89">
        <f t="shared" si="49"/>
        <v>1023750.0000000001</v>
      </c>
      <c r="L119" s="89">
        <f t="shared" si="49"/>
        <v>1023750.0000000001</v>
      </c>
      <c r="M119" s="89">
        <f t="shared" si="49"/>
        <v>1023750.0000000001</v>
      </c>
      <c r="N119" s="89">
        <f t="shared" si="49"/>
        <v>1023750.0000000001</v>
      </c>
      <c r="O119" s="89">
        <f t="shared" si="49"/>
        <v>1023750.0000000001</v>
      </c>
    </row>
    <row r="120" spans="1:15" ht="15" thickBot="1">
      <c r="A120" s="63" t="s">
        <v>209</v>
      </c>
      <c r="B120" s="90">
        <v>-20</v>
      </c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</row>
    <row r="121" spans="1:15">
      <c r="A121" s="63" t="s">
        <v>208</v>
      </c>
      <c r="B121" s="63"/>
      <c r="C121" s="69">
        <f>$C$63*(1-C11)+$B$120</f>
        <v>192.29999999999998</v>
      </c>
      <c r="D121" s="69">
        <f>$C$63*(1-D11)+$B$120</f>
        <v>193.4</v>
      </c>
      <c r="E121" s="69">
        <f>$C$63+$B$120</f>
        <v>200</v>
      </c>
      <c r="F121" s="69">
        <f t="shared" ref="F121:O121" si="50">$C$63*(1+F11)+$B$120</f>
        <v>205.93999999999997</v>
      </c>
      <c r="G121" s="69">
        <f t="shared" si="50"/>
        <v>206.38</v>
      </c>
      <c r="H121" s="69">
        <f t="shared" si="50"/>
        <v>206.82</v>
      </c>
      <c r="I121" s="69">
        <f t="shared" si="50"/>
        <v>207.26</v>
      </c>
      <c r="J121" s="69">
        <f t="shared" si="50"/>
        <v>207.7</v>
      </c>
      <c r="K121" s="69">
        <f t="shared" si="50"/>
        <v>208.14</v>
      </c>
      <c r="L121" s="69">
        <f t="shared" si="50"/>
        <v>208.57999999999998</v>
      </c>
      <c r="M121" s="69">
        <f t="shared" si="50"/>
        <v>209.01999999999998</v>
      </c>
      <c r="N121" s="69">
        <f t="shared" si="50"/>
        <v>209.45999999999998</v>
      </c>
      <c r="O121" s="69">
        <f t="shared" si="50"/>
        <v>209.89999999999998</v>
      </c>
    </row>
    <row r="122" spans="1:15" s="114" customFormat="1">
      <c r="A122" s="114" t="s">
        <v>213</v>
      </c>
      <c r="C122" s="115">
        <f t="shared" ref="C122:O122" si="51">$D$60*$B$57*C32</f>
        <v>219375.00000000003</v>
      </c>
      <c r="D122" s="115">
        <f t="shared" si="51"/>
        <v>292500</v>
      </c>
      <c r="E122" s="115">
        <f t="shared" si="51"/>
        <v>292500</v>
      </c>
      <c r="F122" s="115">
        <f t="shared" si="51"/>
        <v>292500</v>
      </c>
      <c r="G122" s="115">
        <f t="shared" si="51"/>
        <v>292500</v>
      </c>
      <c r="H122" s="115">
        <f t="shared" si="51"/>
        <v>351000.00000000006</v>
      </c>
      <c r="I122" s="115">
        <f t="shared" si="51"/>
        <v>380250.00000000006</v>
      </c>
      <c r="J122" s="115">
        <f t="shared" si="51"/>
        <v>409500.00000000006</v>
      </c>
      <c r="K122" s="115">
        <f t="shared" si="51"/>
        <v>409500.00000000006</v>
      </c>
      <c r="L122" s="115">
        <f t="shared" si="51"/>
        <v>409500.00000000006</v>
      </c>
      <c r="M122" s="115">
        <f t="shared" si="51"/>
        <v>409500.00000000006</v>
      </c>
      <c r="N122" s="115">
        <f t="shared" si="51"/>
        <v>409500.00000000006</v>
      </c>
      <c r="O122" s="115">
        <f t="shared" si="51"/>
        <v>409500.00000000006</v>
      </c>
    </row>
    <row r="123" spans="1:15" ht="29.4" thickBot="1">
      <c r="A123" s="63" t="s">
        <v>211</v>
      </c>
      <c r="B123" s="63"/>
      <c r="C123" s="89">
        <f>IF(C103&lt;C121,(C121-C103)*C122,0)</f>
        <v>1601437.4999999965</v>
      </c>
      <c r="D123" s="89">
        <f t="shared" ref="D123:O123" si="52">IF(D103&lt;D121,(D121-D103)*D122,0)</f>
        <v>0</v>
      </c>
      <c r="E123" s="89">
        <f t="shared" si="52"/>
        <v>0</v>
      </c>
      <c r="F123" s="89">
        <f t="shared" si="52"/>
        <v>0</v>
      </c>
      <c r="G123" s="89">
        <f t="shared" si="52"/>
        <v>0</v>
      </c>
      <c r="H123" s="89">
        <f t="shared" si="52"/>
        <v>0</v>
      </c>
      <c r="I123" s="89">
        <f t="shared" si="52"/>
        <v>0</v>
      </c>
      <c r="J123" s="89">
        <f t="shared" si="52"/>
        <v>0</v>
      </c>
      <c r="K123" s="89">
        <f t="shared" si="52"/>
        <v>0</v>
      </c>
      <c r="L123" s="89">
        <f t="shared" si="52"/>
        <v>0</v>
      </c>
      <c r="M123" s="89">
        <f t="shared" si="52"/>
        <v>0</v>
      </c>
      <c r="N123" s="89">
        <f t="shared" si="52"/>
        <v>0</v>
      </c>
      <c r="O123" s="89">
        <f t="shared" si="52"/>
        <v>0</v>
      </c>
    </row>
    <row r="124" spans="1:15" ht="29.4" thickBot="1">
      <c r="A124" s="63" t="s">
        <v>234</v>
      </c>
      <c r="B124" s="135">
        <v>30</v>
      </c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1:15" ht="15" thickBot="1">
      <c r="A125" s="102" t="s">
        <v>238</v>
      </c>
      <c r="B125" s="136"/>
      <c r="C125" s="101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1:15" ht="15" thickBot="1">
      <c r="A126" s="63" t="s">
        <v>239</v>
      </c>
      <c r="B126" s="135">
        <v>6</v>
      </c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1:15" ht="15" thickBot="1">
      <c r="A127" s="63" t="s">
        <v>240</v>
      </c>
      <c r="B127" s="135">
        <v>3</v>
      </c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1:15" ht="29.4" thickBot="1">
      <c r="A128" s="63" t="s">
        <v>235</v>
      </c>
      <c r="B128" s="133">
        <v>-0.01</v>
      </c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1:15">
      <c r="A129" s="63"/>
      <c r="B129" s="63"/>
      <c r="C129" s="8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</row>
    <row r="130" spans="1:15" ht="18">
      <c r="A130" s="9" t="s">
        <v>194</v>
      </c>
      <c r="B130" s="9"/>
      <c r="C130" s="4">
        <v>2010</v>
      </c>
      <c r="D130" s="4">
        <v>2011</v>
      </c>
      <c r="E130" s="21">
        <v>2012</v>
      </c>
      <c r="F130" s="4">
        <v>2013</v>
      </c>
      <c r="G130" s="4">
        <v>2014</v>
      </c>
      <c r="H130" s="4">
        <v>2015</v>
      </c>
      <c r="I130" s="4">
        <v>2016</v>
      </c>
      <c r="J130" s="4">
        <v>2017</v>
      </c>
      <c r="K130" s="4">
        <v>2018</v>
      </c>
      <c r="L130" s="4">
        <v>2019</v>
      </c>
      <c r="M130" s="4">
        <v>2020</v>
      </c>
      <c r="N130" s="4">
        <v>2021</v>
      </c>
      <c r="O130" s="4">
        <v>2022</v>
      </c>
    </row>
    <row r="131" spans="1:15">
      <c r="A131" s="8" t="s">
        <v>195</v>
      </c>
      <c r="B131" s="8"/>
      <c r="C131" s="66">
        <f>C103</f>
        <v>185</v>
      </c>
      <c r="D131" s="66">
        <f t="shared" ref="D131:O131" si="53">D103</f>
        <v>220</v>
      </c>
      <c r="E131" s="66">
        <f t="shared" si="53"/>
        <v>280</v>
      </c>
      <c r="F131" s="66">
        <f t="shared" si="53"/>
        <v>227.7</v>
      </c>
      <c r="G131" s="66">
        <f t="shared" si="53"/>
        <v>235.66949999999997</v>
      </c>
      <c r="H131" s="66">
        <f t="shared" si="53"/>
        <v>243.91793249999995</v>
      </c>
      <c r="I131" s="66">
        <f t="shared" si="53"/>
        <v>252.45506013749994</v>
      </c>
      <c r="J131" s="66">
        <f t="shared" si="53"/>
        <v>261.29098724231238</v>
      </c>
      <c r="K131" s="66">
        <f t="shared" si="53"/>
        <v>270.43617179579331</v>
      </c>
      <c r="L131" s="66">
        <f t="shared" si="53"/>
        <v>279.90143780864611</v>
      </c>
      <c r="M131" s="66">
        <f t="shared" si="53"/>
        <v>289.69798813194865</v>
      </c>
      <c r="N131" s="66">
        <f t="shared" si="53"/>
        <v>299.83741771656679</v>
      </c>
      <c r="O131" s="66">
        <f t="shared" si="53"/>
        <v>310.33172733664662</v>
      </c>
    </row>
    <row r="132" spans="1:15" ht="29.4" thickBot="1">
      <c r="A132" s="8" t="s">
        <v>216</v>
      </c>
      <c r="B132" s="8"/>
      <c r="C132" s="66">
        <f t="shared" ref="C132:O132" si="54">C131-$B$133</f>
        <v>182</v>
      </c>
      <c r="D132" s="66">
        <f t="shared" si="54"/>
        <v>217</v>
      </c>
      <c r="E132" s="66">
        <f t="shared" si="54"/>
        <v>277</v>
      </c>
      <c r="F132" s="66">
        <f t="shared" si="54"/>
        <v>224.7</v>
      </c>
      <c r="G132" s="66">
        <f t="shared" si="54"/>
        <v>232.66949999999997</v>
      </c>
      <c r="H132" s="66">
        <f t="shared" si="54"/>
        <v>240.91793249999995</v>
      </c>
      <c r="I132" s="66">
        <f t="shared" si="54"/>
        <v>249.45506013749994</v>
      </c>
      <c r="J132" s="66">
        <f t="shared" si="54"/>
        <v>258.29098724231238</v>
      </c>
      <c r="K132" s="66">
        <f t="shared" si="54"/>
        <v>267.43617179579331</v>
      </c>
      <c r="L132" s="66">
        <f t="shared" si="54"/>
        <v>276.90143780864611</v>
      </c>
      <c r="M132" s="66">
        <f t="shared" si="54"/>
        <v>286.69798813194865</v>
      </c>
      <c r="N132" s="66">
        <f t="shared" si="54"/>
        <v>296.83741771656679</v>
      </c>
      <c r="O132" s="66">
        <f t="shared" si="54"/>
        <v>307.33172733664662</v>
      </c>
    </row>
    <row r="133" spans="1:15" ht="29.4" thickBot="1">
      <c r="A133" s="63" t="s">
        <v>259</v>
      </c>
      <c r="B133" s="87">
        <v>3</v>
      </c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</row>
    <row r="134" spans="1:15" ht="15" thickBot="1">
      <c r="A134" s="63" t="s">
        <v>204</v>
      </c>
      <c r="B134" s="87">
        <f>Summary!C70</f>
        <v>5</v>
      </c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</row>
    <row r="135" spans="1:15" ht="29.4" thickBot="1">
      <c r="A135" s="63" t="s">
        <v>205</v>
      </c>
      <c r="B135" s="87">
        <f>Summary!C72</f>
        <v>15</v>
      </c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</row>
    <row r="136" spans="1:15" s="114" customFormat="1" ht="15" thickBot="1">
      <c r="A136" s="114" t="s">
        <v>214</v>
      </c>
      <c r="C136" s="115">
        <f>'Pr Sales'!B25</f>
        <v>182357.5</v>
      </c>
      <c r="D136" s="115">
        <f>'Pr Sales'!C25</f>
        <v>299000</v>
      </c>
      <c r="E136" s="115">
        <f>'Pr Sales'!D25</f>
        <v>204425</v>
      </c>
      <c r="F136" s="115">
        <f>'Pr Sales'!E25</f>
        <v>235950</v>
      </c>
      <c r="G136" s="115">
        <f>'Pr Sales'!F25</f>
        <v>232700</v>
      </c>
      <c r="H136" s="115">
        <f>'Pr Sales'!G25</f>
        <v>281515</v>
      </c>
      <c r="I136" s="115">
        <f>'Pr Sales'!H25</f>
        <v>305110</v>
      </c>
      <c r="J136" s="115">
        <f>'Pr Sales'!I25</f>
        <v>330330</v>
      </c>
      <c r="K136" s="115">
        <f>'Pr Sales'!J25</f>
        <v>330330</v>
      </c>
      <c r="L136" s="115">
        <f>'Pr Sales'!K25</f>
        <v>330330</v>
      </c>
      <c r="M136" s="115">
        <f>'Pr Sales'!L25</f>
        <v>330330</v>
      </c>
      <c r="N136" s="115">
        <f>'Pr Sales'!M25</f>
        <v>330330</v>
      </c>
      <c r="O136" s="115">
        <f>'Pr Sales'!N25</f>
        <v>330330</v>
      </c>
    </row>
    <row r="137" spans="1:15" ht="15" thickBot="1">
      <c r="A137" s="63" t="s">
        <v>219</v>
      </c>
      <c r="B137" s="74">
        <v>0.05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1:15" s="114" customFormat="1">
      <c r="A138" s="114" t="s">
        <v>215</v>
      </c>
      <c r="C138" s="115">
        <v>275000</v>
      </c>
      <c r="D138" s="115">
        <v>327000</v>
      </c>
      <c r="E138" s="115">
        <v>185000</v>
      </c>
      <c r="F138" s="115">
        <f t="shared" ref="F138:O138" si="55">IF(F96=$B$62,$B$141*(1+$B$137*(F130-$E$130)),IF(F96=$C$62,$C$141*(1+$B$137*(F130-$E$130)),$D$141*(1+$B$137*(F130-$E$130))))</f>
        <v>315000</v>
      </c>
      <c r="G138" s="115">
        <f t="shared" si="55"/>
        <v>330000</v>
      </c>
      <c r="H138" s="115">
        <f t="shared" si="55"/>
        <v>345000</v>
      </c>
      <c r="I138" s="115">
        <f t="shared" si="55"/>
        <v>360000</v>
      </c>
      <c r="J138" s="115">
        <f t="shared" si="55"/>
        <v>375000</v>
      </c>
      <c r="K138" s="115">
        <f t="shared" si="55"/>
        <v>390000</v>
      </c>
      <c r="L138" s="115">
        <f t="shared" si="55"/>
        <v>405000</v>
      </c>
      <c r="M138" s="115">
        <f t="shared" si="55"/>
        <v>420000</v>
      </c>
      <c r="N138" s="115">
        <f t="shared" si="55"/>
        <v>435000</v>
      </c>
      <c r="O138" s="115">
        <f t="shared" si="55"/>
        <v>450000</v>
      </c>
    </row>
    <row r="139" spans="1:15" ht="28.8">
      <c r="A139" s="63" t="s">
        <v>217</v>
      </c>
      <c r="B139" s="63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</row>
    <row r="140" spans="1:15" ht="28.8">
      <c r="A140" s="20" t="s">
        <v>218</v>
      </c>
      <c r="B140" s="30" t="s">
        <v>98</v>
      </c>
      <c r="C140" s="30" t="s">
        <v>99</v>
      </c>
      <c r="D140" s="31" t="s">
        <v>100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</row>
    <row r="141" spans="1:15" s="114" customFormat="1">
      <c r="A141" s="114" t="s">
        <v>107</v>
      </c>
      <c r="B141" s="109">
        <v>200000</v>
      </c>
      <c r="C141" s="109">
        <v>300000</v>
      </c>
      <c r="D141" s="109">
        <v>400000</v>
      </c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</row>
    <row r="142" spans="1:15" ht="15" thickBot="1">
      <c r="A142" s="20" t="s">
        <v>252</v>
      </c>
      <c r="B142" s="20"/>
      <c r="C142" s="6"/>
      <c r="D142" s="6"/>
      <c r="E142" s="6"/>
      <c r="F142" s="69"/>
      <c r="G142" s="69"/>
      <c r="H142" s="69"/>
      <c r="I142" s="69"/>
      <c r="J142" s="69"/>
      <c r="K142" s="69"/>
      <c r="L142" s="69"/>
      <c r="M142" s="69"/>
      <c r="N142" s="69"/>
      <c r="O142" s="69"/>
    </row>
    <row r="143" spans="1:15" ht="15" thickBot="1">
      <c r="A143" s="5" t="s">
        <v>230</v>
      </c>
      <c r="B143" s="74">
        <v>0.1</v>
      </c>
      <c r="D143" s="19"/>
      <c r="E143" s="19"/>
      <c r="F143" s="69"/>
      <c r="G143" s="69"/>
      <c r="H143" s="69"/>
      <c r="I143" s="69"/>
      <c r="J143" s="69"/>
      <c r="K143" s="69"/>
      <c r="L143" s="69"/>
      <c r="M143" s="69"/>
      <c r="N143" s="69"/>
      <c r="O143" s="69"/>
    </row>
    <row r="144" spans="1:15" ht="15" thickBot="1">
      <c r="A144" s="5" t="s">
        <v>231</v>
      </c>
      <c r="B144" s="74">
        <f>1-B143</f>
        <v>0.9</v>
      </c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</row>
    <row r="145" spans="1:15" ht="29.4" thickBot="1">
      <c r="A145" s="5" t="s">
        <v>232</v>
      </c>
      <c r="B145" s="74">
        <v>0.75</v>
      </c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</row>
    <row r="146" spans="1:15" ht="29.4" thickBot="1">
      <c r="A146" s="63" t="s">
        <v>233</v>
      </c>
      <c r="B146" s="74">
        <v>1E-3</v>
      </c>
      <c r="D146" s="69"/>
      <c r="E146" s="69"/>
      <c r="F146" s="69"/>
      <c r="G146" s="69"/>
      <c r="H146" s="105"/>
      <c r="I146" s="106"/>
      <c r="J146" s="106"/>
      <c r="K146" s="106"/>
      <c r="L146" s="106"/>
      <c r="M146" s="106"/>
      <c r="N146" s="106"/>
      <c r="O146" s="69"/>
    </row>
    <row r="147" spans="1:15" ht="28.8">
      <c r="A147" s="20" t="s">
        <v>246</v>
      </c>
      <c r="B147" s="20"/>
      <c r="C147" s="30" t="s">
        <v>98</v>
      </c>
      <c r="D147" s="30" t="s">
        <v>99</v>
      </c>
      <c r="E147" s="31" t="s">
        <v>100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</row>
    <row r="148" spans="1:15">
      <c r="A148" s="5" t="s">
        <v>247</v>
      </c>
      <c r="C148" s="113">
        <v>20</v>
      </c>
      <c r="D148" s="113">
        <v>40</v>
      </c>
      <c r="E148" s="113">
        <v>70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</row>
    <row r="149" spans="1:15" ht="15.6">
      <c r="C149" s="4">
        <v>2010</v>
      </c>
      <c r="D149" s="4">
        <v>2011</v>
      </c>
      <c r="E149" s="21">
        <v>2012</v>
      </c>
      <c r="F149" s="4">
        <v>2013</v>
      </c>
      <c r="G149" s="4">
        <v>2014</v>
      </c>
      <c r="H149" s="4">
        <v>2015</v>
      </c>
      <c r="I149" s="4">
        <v>2016</v>
      </c>
      <c r="J149" s="4">
        <v>2017</v>
      </c>
      <c r="K149" s="4">
        <v>2018</v>
      </c>
      <c r="L149" s="4">
        <v>2019</v>
      </c>
      <c r="M149" s="4">
        <v>2020</v>
      </c>
      <c r="N149" s="4">
        <v>2021</v>
      </c>
      <c r="O149" s="4">
        <v>2022</v>
      </c>
    </row>
    <row r="150" spans="1:15">
      <c r="A150" s="5" t="s">
        <v>249</v>
      </c>
      <c r="C150" s="66">
        <v>35</v>
      </c>
      <c r="D150" s="66">
        <v>55</v>
      </c>
      <c r="E150" s="66">
        <v>25</v>
      </c>
      <c r="F150" s="66">
        <f>IF(F96=$C$147,$C$148,IF(F96=$D$147,$D$148,$E$148))</f>
        <v>40</v>
      </c>
      <c r="G150" s="66">
        <f t="shared" ref="G150:O150" si="56">IF(G96=$C$147,$C$148,IF(G96=$D$147,$D$148,$E$148))</f>
        <v>40</v>
      </c>
      <c r="H150" s="66">
        <f t="shared" si="56"/>
        <v>40</v>
      </c>
      <c r="I150" s="66">
        <f t="shared" si="56"/>
        <v>40</v>
      </c>
      <c r="J150" s="66">
        <f t="shared" si="56"/>
        <v>40</v>
      </c>
      <c r="K150" s="66">
        <f t="shared" si="56"/>
        <v>40</v>
      </c>
      <c r="L150" s="66">
        <f t="shared" si="56"/>
        <v>40</v>
      </c>
      <c r="M150" s="66">
        <f t="shared" si="56"/>
        <v>40</v>
      </c>
      <c r="N150" s="66">
        <f t="shared" si="56"/>
        <v>40</v>
      </c>
      <c r="O150" s="66">
        <f t="shared" si="56"/>
        <v>40</v>
      </c>
    </row>
    <row r="151" spans="1:15" ht="15" thickBot="1">
      <c r="A151" s="5" t="s">
        <v>248</v>
      </c>
      <c r="C151" s="66">
        <f>C150</f>
        <v>35</v>
      </c>
      <c r="D151" s="66">
        <f t="shared" ref="D151:E151" si="57">D150</f>
        <v>55</v>
      </c>
      <c r="E151" s="66">
        <f t="shared" si="57"/>
        <v>25</v>
      </c>
      <c r="F151" s="66">
        <f t="shared" ref="F151:O151" si="58">F150*(1+$B$13)^(F149-$E$149)</f>
        <v>41.4</v>
      </c>
      <c r="G151" s="66">
        <f t="shared" si="58"/>
        <v>42.848999999999997</v>
      </c>
      <c r="H151" s="66">
        <f t="shared" si="58"/>
        <v>44.348714999999991</v>
      </c>
      <c r="I151" s="66">
        <f t="shared" si="58"/>
        <v>45.900920024999991</v>
      </c>
      <c r="J151" s="66">
        <f t="shared" si="58"/>
        <v>47.507452225874978</v>
      </c>
      <c r="K151" s="66">
        <f t="shared" si="58"/>
        <v>49.170213053780607</v>
      </c>
      <c r="L151" s="66">
        <f t="shared" si="58"/>
        <v>50.891170510662924</v>
      </c>
      <c r="M151" s="66">
        <f t="shared" si="58"/>
        <v>52.672361478536118</v>
      </c>
      <c r="N151" s="66">
        <f t="shared" si="58"/>
        <v>54.51589413028487</v>
      </c>
      <c r="O151" s="66">
        <f t="shared" si="58"/>
        <v>56.42395042484484</v>
      </c>
    </row>
    <row r="152" spans="1:15" ht="29.4" thickBot="1">
      <c r="A152" s="5" t="s">
        <v>270</v>
      </c>
      <c r="B152" s="120">
        <v>0.01</v>
      </c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</row>
    <row r="153" spans="1:15" ht="29.4" thickBot="1">
      <c r="A153" s="5" t="s">
        <v>269</v>
      </c>
      <c r="B153" s="120">
        <v>0.01</v>
      </c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15">
      <c r="A154" s="35" t="s">
        <v>199</v>
      </c>
      <c r="B154" s="35"/>
      <c r="C154" s="83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</row>
    <row r="155" spans="1:15" s="70" customFormat="1" ht="15" thickBot="1">
      <c r="A155" s="70" t="s">
        <v>279</v>
      </c>
      <c r="C155" s="116">
        <v>144000</v>
      </c>
      <c r="D155" s="69">
        <v>158769</v>
      </c>
      <c r="E155" s="69">
        <v>180965</v>
      </c>
      <c r="F155" s="69">
        <f t="shared" ref="F155:O155" si="59">E155*(1+F11)</f>
        <v>185851.05499999999</v>
      </c>
      <c r="G155" s="69">
        <f t="shared" si="59"/>
        <v>191240.73559499998</v>
      </c>
      <c r="H155" s="69">
        <f t="shared" si="59"/>
        <v>197169.19839844495</v>
      </c>
      <c r="I155" s="69">
        <f t="shared" si="59"/>
        <v>203675.78194559363</v>
      </c>
      <c r="J155" s="69">
        <f t="shared" si="59"/>
        <v>210804.43431368939</v>
      </c>
      <c r="K155" s="69">
        <f t="shared" si="59"/>
        <v>218604.19838329588</v>
      </c>
      <c r="L155" s="69">
        <f t="shared" si="59"/>
        <v>227129.76212024441</v>
      </c>
      <c r="M155" s="69">
        <f t="shared" si="59"/>
        <v>236442.08236717441</v>
      </c>
      <c r="N155" s="69">
        <f t="shared" si="59"/>
        <v>246609.0919089629</v>
      </c>
      <c r="O155" s="69">
        <f t="shared" si="59"/>
        <v>257706.50104486622</v>
      </c>
    </row>
    <row r="156" spans="1:15" s="70" customFormat="1" ht="29.4" thickBot="1">
      <c r="A156" s="70" t="s">
        <v>274</v>
      </c>
      <c r="B156" s="74">
        <v>0.03</v>
      </c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</row>
    <row r="157" spans="1:15" s="70" customFormat="1" ht="58.2" thickBot="1">
      <c r="A157" s="70" t="s">
        <v>275</v>
      </c>
      <c r="C157" s="116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</row>
    <row r="158" spans="1:15" s="70" customFormat="1" ht="29.4" thickBot="1">
      <c r="A158" s="5" t="s">
        <v>278</v>
      </c>
      <c r="B158" s="120">
        <v>5.0000000000000001E-3</v>
      </c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</row>
    <row r="159" spans="1:15">
      <c r="A159" s="63"/>
      <c r="B159" s="63"/>
    </row>
    <row r="160" spans="1:15" ht="18">
      <c r="A160" s="9" t="s">
        <v>152</v>
      </c>
      <c r="B160" s="9"/>
      <c r="C160" s="4">
        <v>2010</v>
      </c>
      <c r="D160" s="4">
        <v>2011</v>
      </c>
      <c r="E160" s="21">
        <v>2012</v>
      </c>
      <c r="F160" s="4">
        <v>2013</v>
      </c>
      <c r="G160" s="4">
        <v>2014</v>
      </c>
      <c r="H160" s="4">
        <v>2015</v>
      </c>
      <c r="I160" s="4">
        <v>2016</v>
      </c>
      <c r="J160" s="4">
        <v>2017</v>
      </c>
      <c r="K160" s="4">
        <v>2018</v>
      </c>
      <c r="L160" s="4">
        <v>2019</v>
      </c>
      <c r="M160" s="4">
        <v>2020</v>
      </c>
      <c r="N160" s="4">
        <v>2021</v>
      </c>
      <c r="O160" s="4">
        <v>2022</v>
      </c>
    </row>
    <row r="161" spans="1:15" s="97" customFormat="1" ht="16.2" thickBot="1">
      <c r="A161" s="20" t="s">
        <v>291</v>
      </c>
      <c r="B161" s="20"/>
      <c r="C161" s="4"/>
      <c r="D161" s="4"/>
      <c r="E161" s="21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29.4" thickBot="1">
      <c r="A162" s="5" t="s">
        <v>286</v>
      </c>
      <c r="B162" s="133">
        <f>1/15</f>
        <v>6.6666666666666666E-2</v>
      </c>
      <c r="D162" s="51"/>
      <c r="E162" s="52"/>
      <c r="F162" s="51"/>
      <c r="G162" s="51"/>
      <c r="H162" s="51"/>
      <c r="I162" s="51"/>
      <c r="J162" s="51"/>
      <c r="K162" s="51"/>
    </row>
    <row r="163" spans="1:15" s="60" customFormat="1" ht="29.4" thickBot="1">
      <c r="A163" s="60" t="s">
        <v>532</v>
      </c>
      <c r="B163" s="134">
        <v>15626</v>
      </c>
      <c r="E163" s="62"/>
    </row>
    <row r="164" spans="1:15" s="60" customFormat="1" ht="28.8">
      <c r="A164" s="61" t="s">
        <v>533</v>
      </c>
      <c r="B164" s="61"/>
      <c r="C164" s="60">
        <f t="shared" ref="C164:O164" si="60">$B$163*C32</f>
        <v>1171950000</v>
      </c>
      <c r="D164" s="60">
        <f t="shared" si="60"/>
        <v>1562600000</v>
      </c>
      <c r="E164" s="60">
        <f t="shared" si="60"/>
        <v>1562600000</v>
      </c>
      <c r="F164" s="60">
        <f t="shared" si="60"/>
        <v>1562600000</v>
      </c>
      <c r="G164" s="60">
        <f t="shared" si="60"/>
        <v>1562600000</v>
      </c>
      <c r="H164" s="60">
        <f t="shared" si="60"/>
        <v>1875120000</v>
      </c>
      <c r="I164" s="60">
        <f t="shared" si="60"/>
        <v>2031380000</v>
      </c>
      <c r="J164" s="60">
        <f t="shared" si="60"/>
        <v>2187640000</v>
      </c>
      <c r="K164" s="60">
        <f t="shared" si="60"/>
        <v>2187640000</v>
      </c>
      <c r="L164" s="60">
        <f t="shared" si="60"/>
        <v>2187640000</v>
      </c>
      <c r="M164" s="60">
        <f t="shared" si="60"/>
        <v>2187640000</v>
      </c>
      <c r="N164" s="60">
        <f t="shared" si="60"/>
        <v>2187640000</v>
      </c>
      <c r="O164" s="60">
        <f t="shared" si="60"/>
        <v>2187640000</v>
      </c>
    </row>
    <row r="165" spans="1:15" s="60" customFormat="1">
      <c r="A165" s="61" t="s">
        <v>534</v>
      </c>
      <c r="B165" s="61"/>
      <c r="C165" s="70">
        <f>Лизинг!C28+Лизинг!C37</f>
        <v>11250000</v>
      </c>
      <c r="D165" s="70">
        <f>Лизинг!D28+Лизинг!D37</f>
        <v>18750000</v>
      </c>
      <c r="E165" s="70">
        <f>Лизинг!E28+Лизинг!E37</f>
        <v>18750000</v>
      </c>
      <c r="F165" s="70">
        <f>Лизинг!F28+Лизинг!F37</f>
        <v>18750000</v>
      </c>
      <c r="G165" s="70">
        <f>Лизинг!G28+Лизинг!G37</f>
        <v>11250000</v>
      </c>
      <c r="H165" s="70">
        <f>Лизинг!H28+Лизинг!H37</f>
        <v>24750000</v>
      </c>
      <c r="I165" s="70">
        <f>Лизинг!I28+Лизинг!I37</f>
        <v>20250000</v>
      </c>
      <c r="J165" s="70">
        <f>Лизинг!J28+Лизинг!J37</f>
        <v>30750000</v>
      </c>
      <c r="K165" s="70">
        <f>Лизинг!K28+Лизинг!K37</f>
        <v>30750000</v>
      </c>
      <c r="L165" s="70">
        <f>Лизинг!L28+Лизинг!L37</f>
        <v>30750000</v>
      </c>
      <c r="M165" s="70">
        <f>Лизинг!M28+Лизинг!M37</f>
        <v>24750000</v>
      </c>
      <c r="N165" s="70">
        <f>Лизинг!N28+Лизинг!N37</f>
        <v>27750000</v>
      </c>
      <c r="O165" s="70">
        <f>Лизинг!O28+Лизинг!O37</f>
        <v>27750000</v>
      </c>
    </row>
    <row r="166" spans="1:15" s="60" customFormat="1" ht="28.8">
      <c r="A166" s="61" t="s">
        <v>535</v>
      </c>
      <c r="B166" s="61"/>
      <c r="C166" s="70">
        <f>C33*C49</f>
        <v>10890966.119448215</v>
      </c>
      <c r="D166" s="70">
        <f t="shared" ref="D166:O166" si="61">(D33-C33)*D49+C166</f>
        <v>13287270.859316874</v>
      </c>
      <c r="E166" s="70">
        <f t="shared" si="61"/>
        <v>15702620.891843587</v>
      </c>
      <c r="F166" s="70">
        <f t="shared" si="61"/>
        <v>18188320.925317682</v>
      </c>
      <c r="G166" s="70">
        <f t="shared" si="61"/>
        <v>20734353.483876098</v>
      </c>
      <c r="H166" s="70">
        <f t="shared" si="61"/>
        <v>23329823.567843415</v>
      </c>
      <c r="I166" s="70">
        <f t="shared" si="61"/>
        <v>25963091.759829674</v>
      </c>
      <c r="J166" s="70">
        <f t="shared" si="61"/>
        <v>28621925.66241774</v>
      </c>
      <c r="K166" s="70">
        <f t="shared" si="61"/>
        <v>31293666.52569798</v>
      </c>
      <c r="L166" s="70">
        <f t="shared" si="61"/>
        <v>33965407.388978221</v>
      </c>
      <c r="M166" s="70">
        <f t="shared" si="61"/>
        <v>36624178.636417292</v>
      </c>
      <c r="N166" s="70">
        <f t="shared" si="61"/>
        <v>39257136.570774436</v>
      </c>
      <c r="O166" s="70">
        <f t="shared" si="61"/>
        <v>41851750.45754385</v>
      </c>
    </row>
    <row r="167" spans="1:15" s="70" customFormat="1" ht="28.8">
      <c r="A167" s="69" t="s">
        <v>536</v>
      </c>
      <c r="B167" s="69"/>
      <c r="C167" s="70">
        <f t="shared" ref="C167:O167" si="62">C164/C5+C165+C166</f>
        <v>60743253.369609617</v>
      </c>
      <c r="D167" s="70">
        <f t="shared" si="62"/>
        <v>85206824.09352015</v>
      </c>
      <c r="E167" s="70">
        <f t="shared" si="62"/>
        <v>84775633.702860162</v>
      </c>
      <c r="F167" s="70">
        <f t="shared" si="62"/>
        <v>85795614.916595906</v>
      </c>
      <c r="G167" s="70">
        <f t="shared" si="62"/>
        <v>79418619.494825825</v>
      </c>
      <c r="H167" s="70">
        <f t="shared" si="62"/>
        <v>103343046.10487223</v>
      </c>
      <c r="I167" s="70">
        <f t="shared" si="62"/>
        <v>104337840.38291822</v>
      </c>
      <c r="J167" s="70">
        <f t="shared" si="62"/>
        <v>120144627.73286134</v>
      </c>
      <c r="K167" s="70">
        <f t="shared" si="62"/>
        <v>121046289.89506069</v>
      </c>
      <c r="L167" s="70">
        <f t="shared" si="62"/>
        <v>121999507.74758279</v>
      </c>
      <c r="M167" s="70">
        <f t="shared" si="62"/>
        <v>116989810.05253825</v>
      </c>
      <c r="N167" s="70">
        <f t="shared" si="62"/>
        <v>121002895.22720253</v>
      </c>
      <c r="O167" s="70">
        <f t="shared" si="62"/>
        <v>122024817.11427015</v>
      </c>
    </row>
    <row r="168" spans="1:15" s="70" customFormat="1" ht="28.8">
      <c r="A168" s="70" t="s">
        <v>185</v>
      </c>
      <c r="C168" s="70">
        <f>C167*$B$162+Лизинг!C30</f>
        <v>6299550.2246406414</v>
      </c>
      <c r="D168" s="70">
        <f>D167*$B$162+Лизинг!D30</f>
        <v>9430454.9395680092</v>
      </c>
      <c r="E168" s="70">
        <f>E167*$B$162+Лизинг!E30</f>
        <v>9401708.9135240112</v>
      </c>
      <c r="F168" s="70">
        <f>F167*$B$162+Лизинг!F30</f>
        <v>9469707.6611063927</v>
      </c>
      <c r="G168" s="70">
        <f>G167*$B$162+Лизинг!G30</f>
        <v>9044574.6329883896</v>
      </c>
      <c r="H168" s="70">
        <f>H167*$B$162+Лизинг!H30</f>
        <v>9589536.4069914818</v>
      </c>
      <c r="I168" s="70">
        <f>I167*$B$162+Лизинг!I30</f>
        <v>8755856.0255278815</v>
      </c>
      <c r="J168" s="70">
        <f>J167*$B$162+Лизинг!J30</f>
        <v>10409641.848857421</v>
      </c>
      <c r="K168" s="70">
        <f>K167*$B$162+Лизинг!K30</f>
        <v>10469752.659670712</v>
      </c>
      <c r="L168" s="70">
        <f>L167*$B$162+Лизинг!L30</f>
        <v>10533300.516505521</v>
      </c>
      <c r="M168" s="70">
        <f>M167*$B$162+Лизинг!M30</f>
        <v>8999320.6701692156</v>
      </c>
      <c r="N168" s="70">
        <f>N167*$B$162+Лизинг!N30</f>
        <v>8666859.6818135008</v>
      </c>
      <c r="O168" s="70">
        <f>O167*$B$162+Лизинг!O30</f>
        <v>8134987.8076180099</v>
      </c>
    </row>
    <row r="169" spans="1:15" s="60" customFormat="1">
      <c r="A169" s="60" t="s">
        <v>187</v>
      </c>
      <c r="C169" s="60">
        <f t="shared" ref="C169:O169" si="63">C164*$B$21</f>
        <v>25782900</v>
      </c>
      <c r="D169" s="60">
        <f t="shared" si="63"/>
        <v>34377200</v>
      </c>
      <c r="E169" s="60">
        <f t="shared" si="63"/>
        <v>34377200</v>
      </c>
      <c r="F169" s="60">
        <f t="shared" si="63"/>
        <v>34377200</v>
      </c>
      <c r="G169" s="60">
        <f t="shared" si="63"/>
        <v>34377200</v>
      </c>
      <c r="H169" s="60">
        <f t="shared" si="63"/>
        <v>41252640</v>
      </c>
      <c r="I169" s="60">
        <f t="shared" si="63"/>
        <v>44690360</v>
      </c>
      <c r="J169" s="60">
        <f t="shared" si="63"/>
        <v>48128080</v>
      </c>
      <c r="K169" s="60">
        <f t="shared" si="63"/>
        <v>48128080</v>
      </c>
      <c r="L169" s="60">
        <f t="shared" si="63"/>
        <v>48128080</v>
      </c>
      <c r="M169" s="60">
        <f t="shared" si="63"/>
        <v>48128080</v>
      </c>
      <c r="N169" s="60">
        <f t="shared" si="63"/>
        <v>48128080</v>
      </c>
      <c r="O169" s="60">
        <f t="shared" si="63"/>
        <v>48128080</v>
      </c>
    </row>
    <row r="170" spans="1:15" s="70" customFormat="1" ht="15" thickBot="1">
      <c r="A170" s="70" t="s">
        <v>186</v>
      </c>
      <c r="C170" s="70">
        <f>C169/C5+Лизинг!C12*$B$21</f>
        <v>1047250.3195035508</v>
      </c>
      <c r="D170" s="70">
        <f>D169/D5+Лизинг!D12*$B$21</f>
        <v>1450230.171152472</v>
      </c>
      <c r="E170" s="70">
        <f>E169/E5+Лизинг!E12*$B$21</f>
        <v>1305106.2818423645</v>
      </c>
      <c r="F170" s="70">
        <f>F169/F5+Лизинг!F12*$B$21</f>
        <v>1190360.4678081209</v>
      </c>
      <c r="G170" s="70">
        <f>G169/G5+Лизинг!G12*$B$21</f>
        <v>1076553.852240894</v>
      </c>
      <c r="H170" s="70">
        <f>H169/H5+Лизинг!H12*$B$21</f>
        <v>1321390.8958146337</v>
      </c>
      <c r="I170" s="70">
        <f>I169/I5+Лизинг!I12*$B$21</f>
        <v>1410744.4697079482</v>
      </c>
      <c r="J170" s="70">
        <f>J169/J5+Лизинг!J12*$B$21</f>
        <v>1482199.4455497591</v>
      </c>
      <c r="K170" s="70">
        <f>K169/K5+Лизинг!K12*$B$21</f>
        <v>1390457.7141259797</v>
      </c>
      <c r="L170" s="70">
        <f>L169/L5+Лизинг!L12*$B$21</f>
        <v>1299850.2078893008</v>
      </c>
      <c r="M170" s="70">
        <f>M169/M5+Лизинг!M12*$B$21</f>
        <v>1236743.8911546608</v>
      </c>
      <c r="N170" s="70">
        <f>N169/N5+Лизинг!N12*$B$21</f>
        <v>1187906.6904414182</v>
      </c>
      <c r="O170" s="70">
        <f>O169/O5+Лизинг!O12*$B$21</f>
        <v>1153307.4664479787</v>
      </c>
    </row>
    <row r="171" spans="1:15" s="70" customFormat="1" ht="29.4" thickBot="1">
      <c r="A171" s="69" t="s">
        <v>299</v>
      </c>
      <c r="B171" s="133">
        <f>AVERAGE('Pr P&amp;L 2012'!B26:D26)/AVERAGE('Pr P&amp;L 2012'!B7:D7)</f>
        <v>-2.9065096543396912E-3</v>
      </c>
    </row>
    <row r="172" spans="1:15" s="70" customFormat="1" ht="29.4" thickBot="1">
      <c r="A172" s="69" t="s">
        <v>298</v>
      </c>
      <c r="B172" s="133">
        <f>AVERAGE('Pr P&amp;L 2012'!B31:D31)/AVERAGE('Pr P&amp;L 2012'!B7:D7)</f>
        <v>-3.0095954848973734E-3</v>
      </c>
    </row>
    <row r="173" spans="1:15" s="70" customFormat="1" ht="15" thickBot="1">
      <c r="A173" s="69" t="s">
        <v>562</v>
      </c>
      <c r="B173" s="242">
        <v>273451</v>
      </c>
    </row>
    <row r="174" spans="1:15" s="70" customFormat="1" ht="28.8">
      <c r="A174" s="252" t="s">
        <v>602</v>
      </c>
      <c r="B174" s="253"/>
      <c r="C174" s="4">
        <v>2010</v>
      </c>
      <c r="D174" s="4">
        <v>2011</v>
      </c>
      <c r="E174" s="21">
        <v>2012</v>
      </c>
      <c r="F174" s="4">
        <v>2013</v>
      </c>
      <c r="G174" s="4">
        <v>2014</v>
      </c>
      <c r="H174" s="4">
        <v>2015</v>
      </c>
      <c r="I174" s="4">
        <v>2016</v>
      </c>
      <c r="J174" s="4">
        <v>2017</v>
      </c>
      <c r="K174" s="4">
        <v>2018</v>
      </c>
      <c r="L174" s="4">
        <v>2019</v>
      </c>
      <c r="M174" s="4">
        <v>2020</v>
      </c>
      <c r="N174" s="4">
        <v>2021</v>
      </c>
      <c r="O174" s="4">
        <v>2022</v>
      </c>
    </row>
    <row r="175" spans="1:15" s="70" customFormat="1">
      <c r="A175" s="69" t="s">
        <v>600</v>
      </c>
      <c r="B175" s="253"/>
      <c r="C175" s="75">
        <f>'Pr P&amp;L 2012'!B7</f>
        <v>54998637.5</v>
      </c>
      <c r="D175" s="75">
        <f>'Pr P&amp;L 2012'!C7</f>
        <v>96965000</v>
      </c>
      <c r="E175" s="75">
        <f>'Pr P&amp;L 2012'!D7</f>
        <v>94724000</v>
      </c>
      <c r="F175" s="75">
        <f>'Pr P&amp;L proj'!E6</f>
        <v>84356415</v>
      </c>
      <c r="G175" s="75">
        <f>'Pr P&amp;L proj'!F6</f>
        <v>86696116.650000006</v>
      </c>
      <c r="H175" s="75">
        <f>'Pr P&amp;L proj'!G6</f>
        <v>108422625.11973751</v>
      </c>
      <c r="I175" s="75">
        <f>'Pr P&amp;L proj'!H6</f>
        <v>121818400.40847263</v>
      </c>
      <c r="J175" s="75">
        <f>'Pr P&amp;L proj'!I6</f>
        <v>136479109.26686347</v>
      </c>
      <c r="K175" s="75">
        <f>'Pr P&amp;L proj'!J6</f>
        <v>141506712.37845924</v>
      </c>
      <c r="L175" s="75">
        <f>'Pr P&amp;L proj'!K6</f>
        <v>146720314.97045109</v>
      </c>
      <c r="M175" s="75">
        <f>'Pr P&amp;L proj'!L6</f>
        <v>152126828.35951245</v>
      </c>
      <c r="N175" s="75">
        <f>'Pr P&amp;L proj'!M6</f>
        <v>157733421.81179482</v>
      </c>
      <c r="O175" s="75">
        <f>'Pr P&amp;L proj'!N6</f>
        <v>163547532.21329504</v>
      </c>
    </row>
    <row r="176" spans="1:15" s="70" customFormat="1" ht="15" thickBot="1">
      <c r="A176" s="69" t="s">
        <v>601</v>
      </c>
      <c r="B176" s="253"/>
      <c r="C176" s="75">
        <f>-'Pr P&amp;L 2012'!B10</f>
        <v>43148350.625197791</v>
      </c>
      <c r="D176" s="75">
        <f>-'Pr P&amp;L 2012'!C10</f>
        <v>61922842.585318774</v>
      </c>
      <c r="E176" s="75">
        <f>-'Pr P&amp;L 2012'!D10</f>
        <v>63152432.504150748</v>
      </c>
      <c r="F176" s="75">
        <f>-'Pr P&amp;L proj'!E9</f>
        <v>63874060.682845078</v>
      </c>
      <c r="G176" s="75">
        <f>-'Pr P&amp;L proj'!F9</f>
        <v>65761301.045489445</v>
      </c>
      <c r="H176" s="75">
        <f>-'Pr P&amp;L proj'!G9</f>
        <v>71177342.319498017</v>
      </c>
      <c r="I176" s="75">
        <f>-'Pr P&amp;L proj'!H9</f>
        <v>73969625.564040333</v>
      </c>
      <c r="J176" s="75">
        <f>-'Pr P&amp;L proj'!I9</f>
        <v>79212168.373588249</v>
      </c>
      <c r="K176" s="75">
        <f>-'Pr P&amp;L proj'!J9</f>
        <v>81517643.834171012</v>
      </c>
      <c r="L176" s="75">
        <f>-'Pr P&amp;L proj'!K9</f>
        <v>83776426.850664496</v>
      </c>
      <c r="M176" s="75">
        <f>-'Pr P&amp;L proj'!L9</f>
        <v>84419636.308703542</v>
      </c>
      <c r="N176" s="75">
        <f>-'Pr P&amp;L proj'!M9</f>
        <v>86243047.882168949</v>
      </c>
      <c r="O176" s="75">
        <f>-'Pr P&amp;L proj'!N9</f>
        <v>87860308.098540351</v>
      </c>
    </row>
    <row r="177" spans="1:15" s="70" customFormat="1" ht="15" thickBot="1">
      <c r="A177" s="69" t="s">
        <v>596</v>
      </c>
      <c r="B177" s="254">
        <f>AVERAGE(C175:E175)/AVERAGE(C177:E177)</f>
        <v>5.3288891331808843</v>
      </c>
      <c r="C177" s="70">
        <f>'Pr BS 2012'!B16</f>
        <v>13606341</v>
      </c>
      <c r="D177" s="70">
        <f>'Pr BS 2012'!C16</f>
        <v>14149872</v>
      </c>
      <c r="E177" s="70">
        <f>'Pr BS 2012'!D16</f>
        <v>18536294</v>
      </c>
      <c r="F177" s="70">
        <f>F175/$B$177</f>
        <v>15830018.76971806</v>
      </c>
      <c r="G177" s="70">
        <f t="shared" ref="G177:O177" si="64">G175/$B$177</f>
        <v>16269078.692250809</v>
      </c>
      <c r="H177" s="70">
        <f t="shared" si="64"/>
        <v>20346196.441699773</v>
      </c>
      <c r="I177" s="70">
        <f t="shared" si="64"/>
        <v>22859999.028682664</v>
      </c>
      <c r="J177" s="70">
        <f t="shared" si="64"/>
        <v>25611174.459806651</v>
      </c>
      <c r="K177" s="70">
        <f t="shared" si="64"/>
        <v>26554636.218147781</v>
      </c>
      <c r="L177" s="70">
        <f t="shared" si="64"/>
        <v>27533001.964120764</v>
      </c>
      <c r="M177" s="70">
        <f t="shared" si="64"/>
        <v>28547568.65033631</v>
      </c>
      <c r="N177" s="70">
        <f t="shared" si="64"/>
        <v>29599681.63526826</v>
      </c>
      <c r="O177" s="70">
        <f t="shared" si="64"/>
        <v>30690736.497959632</v>
      </c>
    </row>
    <row r="178" spans="1:15" s="70" customFormat="1" ht="15" thickBot="1">
      <c r="A178" s="69" t="s">
        <v>597</v>
      </c>
      <c r="B178" s="254">
        <f>AVERAGE(C176:E176)/AVERAGE(C178:E178)</f>
        <v>7.0905679655476854</v>
      </c>
      <c r="C178" s="70">
        <f>'Pr BS 2012'!B17</f>
        <v>7865432</v>
      </c>
      <c r="D178" s="70">
        <f>'Pr BS 2012'!C17</f>
        <v>9342651</v>
      </c>
      <c r="E178" s="70">
        <f>'Pr BS 2012'!D17</f>
        <v>6516903</v>
      </c>
      <c r="F178" s="70">
        <f>F176/$B$178</f>
        <v>9008313.7194653992</v>
      </c>
      <c r="G178" s="70">
        <f t="shared" ref="G178:O178" si="65">G176/$B$178</f>
        <v>9274475.8057487924</v>
      </c>
      <c r="H178" s="70">
        <f t="shared" si="65"/>
        <v>10038313.244487768</v>
      </c>
      <c r="I178" s="70">
        <f t="shared" si="65"/>
        <v>10432115.723796861</v>
      </c>
      <c r="J178" s="70">
        <f t="shared" si="65"/>
        <v>11171484.253232144</v>
      </c>
      <c r="K178" s="70">
        <f t="shared" si="65"/>
        <v>11496631.049904121</v>
      </c>
      <c r="L178" s="70">
        <f t="shared" si="65"/>
        <v>11815192.697922822</v>
      </c>
      <c r="M178" s="70">
        <f t="shared" si="65"/>
        <v>11905906.088043943</v>
      </c>
      <c r="N178" s="70">
        <f t="shared" si="65"/>
        <v>12163066.24535788</v>
      </c>
      <c r="O178" s="70">
        <f t="shared" si="65"/>
        <v>12391152.376712872</v>
      </c>
    </row>
    <row r="179" spans="1:15" s="70" customFormat="1" ht="15" thickBot="1">
      <c r="A179" s="69" t="s">
        <v>598</v>
      </c>
      <c r="B179" s="254">
        <f>AVERAGE(C176:E176)/AVERAGE(C179:E179)</f>
        <v>3.7050471957087949</v>
      </c>
      <c r="C179" s="70">
        <f>'Pr BS 2012'!B13</f>
        <v>11020234</v>
      </c>
      <c r="D179" s="70">
        <f>'Pr BS 2012'!C13</f>
        <v>15470962</v>
      </c>
      <c r="E179" s="70">
        <f>'Pr BS 2012'!D13</f>
        <v>18912713</v>
      </c>
      <c r="F179" s="70">
        <f>F176/$B$179</f>
        <v>17239742.791083567</v>
      </c>
      <c r="G179" s="70">
        <f t="shared" ref="G179:O179" si="66">G176/$B$179</f>
        <v>17749112.918630168</v>
      </c>
      <c r="H179" s="70">
        <f t="shared" si="66"/>
        <v>19210913.804805506</v>
      </c>
      <c r="I179" s="70">
        <f t="shared" si="66"/>
        <v>19964556.902193401</v>
      </c>
      <c r="J179" s="70">
        <f t="shared" si="66"/>
        <v>21379530.189340692</v>
      </c>
      <c r="K179" s="70">
        <f t="shared" si="66"/>
        <v>22001782.846001308</v>
      </c>
      <c r="L179" s="70">
        <f t="shared" si="66"/>
        <v>22611433.114184022</v>
      </c>
      <c r="M179" s="70">
        <f t="shared" si="66"/>
        <v>22785036.694398604</v>
      </c>
      <c r="N179" s="70">
        <f t="shared" si="66"/>
        <v>23277179.298027862</v>
      </c>
      <c r="O179" s="70">
        <f t="shared" si="66"/>
        <v>23713681.218501244</v>
      </c>
    </row>
    <row r="180" spans="1:15" s="70" customFormat="1" ht="15" thickBot="1">
      <c r="A180" s="69" t="s">
        <v>599</v>
      </c>
      <c r="B180" s="254">
        <f>AVERAGE(C176:E176)/AVERAGE(C180:E180)</f>
        <v>5.2854587575219183</v>
      </c>
      <c r="C180" s="70">
        <f>'Pr BS 2012'!B15</f>
        <v>9687689</v>
      </c>
      <c r="D180" s="70">
        <f>'Pr BS 2012'!C15</f>
        <v>10356036</v>
      </c>
      <c r="E180" s="70">
        <f>'Pr BS 2012'!D15</f>
        <v>11783905</v>
      </c>
      <c r="F180" s="70">
        <f>F176/$B$180</f>
        <v>12084865.971557096</v>
      </c>
      <c r="G180" s="70">
        <f t="shared" ref="G180:O180" si="67">G176/$B$180</f>
        <v>12441928.707115967</v>
      </c>
      <c r="H180" s="70">
        <f t="shared" si="67"/>
        <v>13466634.701898504</v>
      </c>
      <c r="I180" s="70">
        <f t="shared" si="67"/>
        <v>13994930.044392385</v>
      </c>
      <c r="J180" s="70">
        <f t="shared" si="67"/>
        <v>14986810.418463428</v>
      </c>
      <c r="K180" s="70">
        <f t="shared" si="67"/>
        <v>15423002.538457129</v>
      </c>
      <c r="L180" s="70">
        <f t="shared" si="67"/>
        <v>15850360.525742326</v>
      </c>
      <c r="M180" s="70">
        <f t="shared" si="67"/>
        <v>15972054.68466915</v>
      </c>
      <c r="N180" s="70">
        <f t="shared" si="67"/>
        <v>16317041.119549651</v>
      </c>
      <c r="O180" s="70">
        <f t="shared" si="67"/>
        <v>16623024.060778702</v>
      </c>
    </row>
    <row r="181" spans="1:15" s="70" customFormat="1" ht="15" thickBot="1">
      <c r="A181" s="69" t="s">
        <v>510</v>
      </c>
      <c r="B181" s="254">
        <f>AVERAGE(C176:E176)/AVERAGE(C181:E181)</f>
        <v>1.8236292146590842</v>
      </c>
      <c r="C181" s="70">
        <f>'Pr BS 2012'!B35</f>
        <v>25857742</v>
      </c>
      <c r="D181" s="70">
        <f>'Pr BS 2012'!C35</f>
        <v>32275091</v>
      </c>
      <c r="E181" s="70">
        <f>'Pr BS 2012'!D35</f>
        <v>34113784</v>
      </c>
      <c r="F181" s="70">
        <f>F176/$B$181</f>
        <v>35025793.713655725</v>
      </c>
      <c r="G181" s="70">
        <f t="shared" ref="G181:O181" si="68">G176/$B$181</f>
        <v>36060675.337328978</v>
      </c>
      <c r="H181" s="70">
        <f t="shared" si="68"/>
        <v>39030599.94177828</v>
      </c>
      <c r="I181" s="70">
        <f t="shared" si="68"/>
        <v>40561768.241834447</v>
      </c>
      <c r="J181" s="70">
        <f t="shared" si="68"/>
        <v>43436553.73408594</v>
      </c>
      <c r="K181" s="70">
        <f t="shared" si="68"/>
        <v>44700777.536847159</v>
      </c>
      <c r="L181" s="70">
        <f t="shared" si="68"/>
        <v>45939397.207083002</v>
      </c>
      <c r="M181" s="70">
        <f t="shared" si="68"/>
        <v>46292105.67044203</v>
      </c>
      <c r="N181" s="70">
        <f t="shared" si="68"/>
        <v>47291986.325351521</v>
      </c>
      <c r="O181" s="70">
        <f t="shared" si="68"/>
        <v>48178822.42304682</v>
      </c>
    </row>
    <row r="182" spans="1:15" s="70" customFormat="1">
      <c r="A182" s="69" t="s">
        <v>603</v>
      </c>
      <c r="B182" s="253"/>
      <c r="C182" s="255">
        <f>1</f>
        <v>1</v>
      </c>
      <c r="D182" s="255">
        <f>D175/C175</f>
        <v>1.7630436754001406</v>
      </c>
      <c r="E182" s="255">
        <f t="shared" ref="E182:O182" si="69">E175/D175</f>
        <v>0.97688856804001445</v>
      </c>
      <c r="F182" s="255">
        <f t="shared" si="69"/>
        <v>0.89054954393817831</v>
      </c>
      <c r="G182" s="255">
        <f t="shared" si="69"/>
        <v>1.0277359066290335</v>
      </c>
      <c r="H182" s="255">
        <f t="shared" si="69"/>
        <v>1.2506053247742268</v>
      </c>
      <c r="I182" s="255">
        <f t="shared" si="69"/>
        <v>1.1235514752934765</v>
      </c>
      <c r="J182" s="255">
        <f t="shared" si="69"/>
        <v>1.1203488866150895</v>
      </c>
      <c r="K182" s="255">
        <f t="shared" si="69"/>
        <v>1.0368378951079251</v>
      </c>
      <c r="L182" s="255">
        <f t="shared" si="69"/>
        <v>1.0368435002436356</v>
      </c>
      <c r="M182" s="255">
        <f t="shared" si="69"/>
        <v>1.0368491124773704</v>
      </c>
      <c r="N182" s="255">
        <f t="shared" si="69"/>
        <v>1.0368547317573245</v>
      </c>
      <c r="O182" s="255">
        <f t="shared" si="69"/>
        <v>1.0368603580313978</v>
      </c>
    </row>
    <row r="183" spans="1:15" s="70" customFormat="1">
      <c r="A183" s="69" t="s">
        <v>604</v>
      </c>
      <c r="B183" s="253"/>
      <c r="C183" s="255">
        <f>1</f>
        <v>1</v>
      </c>
      <c r="D183" s="255">
        <f>D176/C176</f>
        <v>1.4351149392291498</v>
      </c>
      <c r="E183" s="255">
        <f t="shared" ref="E183:O183" si="70">E176/D176</f>
        <v>1.0198568067533045</v>
      </c>
      <c r="F183" s="255">
        <f t="shared" si="70"/>
        <v>1.0114267677440121</v>
      </c>
      <c r="G183" s="255">
        <f t="shared" si="70"/>
        <v>1.0295462718741981</v>
      </c>
      <c r="H183" s="255">
        <f t="shared" si="70"/>
        <v>1.0823590955151892</v>
      </c>
      <c r="I183" s="255">
        <f t="shared" si="70"/>
        <v>1.0392299452824247</v>
      </c>
      <c r="J183" s="255">
        <f t="shared" si="70"/>
        <v>1.070874264531853</v>
      </c>
      <c r="K183" s="255">
        <f t="shared" si="70"/>
        <v>1.029105066909789</v>
      </c>
      <c r="L183" s="255">
        <f t="shared" si="70"/>
        <v>1.0277091303213874</v>
      </c>
      <c r="M183" s="255">
        <f t="shared" si="70"/>
        <v>1.0076776902789801</v>
      </c>
      <c r="N183" s="255">
        <f t="shared" si="70"/>
        <v>1.0215993772680754</v>
      </c>
      <c r="O183" s="255">
        <f t="shared" si="70"/>
        <v>1.0187523546081187</v>
      </c>
    </row>
    <row r="184" spans="1:15" s="97" customFormat="1" ht="16.2" thickBot="1">
      <c r="A184" s="20" t="s">
        <v>292</v>
      </c>
      <c r="B184" s="4"/>
      <c r="D184" s="4"/>
      <c r="E184" s="21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s="70" customFormat="1" ht="29.4" thickBot="1">
      <c r="A185" s="5" t="s">
        <v>286</v>
      </c>
      <c r="B185" s="133">
        <v>0.2</v>
      </c>
    </row>
    <row r="186" spans="1:15" s="70" customFormat="1" ht="29.4" thickBot="1">
      <c r="A186" s="69" t="s">
        <v>294</v>
      </c>
      <c r="B186" s="69"/>
      <c r="C186" s="70">
        <f>1210*5</f>
        <v>6050</v>
      </c>
      <c r="D186" s="70">
        <f>2456*5</f>
        <v>12280</v>
      </c>
      <c r="E186" s="70">
        <f>3750*5</f>
        <v>18750</v>
      </c>
      <c r="F186" s="70">
        <f t="shared" ref="F186:O186" si="71">E186*(1+$B$187)*(1+F11)</f>
        <v>21181.875</v>
      </c>
      <c r="G186" s="70">
        <f t="shared" si="71"/>
        <v>23975.764312500003</v>
      </c>
      <c r="H186" s="70">
        <f t="shared" si="71"/>
        <v>27190.914306806255</v>
      </c>
      <c r="I186" s="70">
        <f t="shared" si="71"/>
        <v>30897.035926823944</v>
      </c>
      <c r="J186" s="70">
        <f t="shared" si="71"/>
        <v>35176.275402689062</v>
      </c>
      <c r="K186" s="70">
        <f t="shared" si="71"/>
        <v>40125.577351847409</v>
      </c>
      <c r="L186" s="70">
        <f t="shared" si="71"/>
        <v>45859.522355426408</v>
      </c>
      <c r="M186" s="70">
        <f t="shared" si="71"/>
        <v>52513.739049198783</v>
      </c>
      <c r="N186" s="70">
        <f t="shared" si="71"/>
        <v>60249.012811145767</v>
      </c>
      <c r="O186" s="70">
        <f t="shared" si="71"/>
        <v>69256.240226412061</v>
      </c>
    </row>
    <row r="187" spans="1:15" s="70" customFormat="1" ht="29.4" thickBot="1">
      <c r="A187" s="69" t="s">
        <v>293</v>
      </c>
      <c r="B187" s="74">
        <v>0.1</v>
      </c>
    </row>
    <row r="188" spans="1:15" s="70" customFormat="1" ht="29.4" thickBot="1">
      <c r="A188" s="69" t="s">
        <v>296</v>
      </c>
      <c r="B188" s="133">
        <f>AVERAGE('Tr P&amp;L 2012'!B16:D16)/AVERAGE('Tr P&amp;L 2012'!B7:D7)</f>
        <v>-5.8852517506633101E-4</v>
      </c>
    </row>
    <row r="189" spans="1:15" s="70" customFormat="1" ht="29.4" thickBot="1">
      <c r="A189" s="69" t="s">
        <v>297</v>
      </c>
      <c r="B189" s="133">
        <f>AVERAGE('Tr P&amp;L 2012'!B30:D30)/AVERAGE('Tr P&amp;L 2012'!B7:D7)</f>
        <v>-8.3305212630543945E-4</v>
      </c>
    </row>
    <row r="190" spans="1:15" s="70" customFormat="1" ht="15" thickBot="1">
      <c r="A190" s="69" t="s">
        <v>563</v>
      </c>
      <c r="B190" s="242">
        <v>56238</v>
      </c>
    </row>
    <row r="191" spans="1:15" s="70" customFormat="1" ht="43.2">
      <c r="A191" s="252" t="s">
        <v>666</v>
      </c>
      <c r="B191" s="253"/>
      <c r="C191" s="4">
        <v>2010</v>
      </c>
      <c r="D191" s="4">
        <v>2011</v>
      </c>
      <c r="E191" s="21">
        <v>2012</v>
      </c>
      <c r="F191" s="4">
        <v>2013</v>
      </c>
      <c r="G191" s="4">
        <v>2014</v>
      </c>
      <c r="H191" s="4">
        <v>2015</v>
      </c>
      <c r="I191" s="4">
        <v>2016</v>
      </c>
      <c r="J191" s="4">
        <v>2017</v>
      </c>
      <c r="K191" s="4">
        <v>2018</v>
      </c>
      <c r="L191" s="4">
        <v>2019</v>
      </c>
      <c r="M191" s="4">
        <v>2020</v>
      </c>
      <c r="N191" s="4">
        <v>2021</v>
      </c>
      <c r="O191" s="4">
        <v>2022</v>
      </c>
    </row>
    <row r="192" spans="1:15" s="70" customFormat="1">
      <c r="A192" s="69" t="s">
        <v>600</v>
      </c>
      <c r="B192" s="253"/>
      <c r="C192" s="75">
        <f>'Tr P&amp;L 2012'!B7</f>
        <v>104595903.75</v>
      </c>
      <c r="D192" s="75">
        <f>'Tr P&amp;L 2012'!C7</f>
        <v>176490000</v>
      </c>
      <c r="E192" s="75">
        <f>'Tr P&amp;L 2012'!D7</f>
        <v>122698012.5</v>
      </c>
      <c r="F192" s="75">
        <f>'Tr P&amp;L proj'!E6</f>
        <v>152748012</v>
      </c>
      <c r="G192" s="75">
        <f>'Tr P&amp;L proj'!F6</f>
        <v>161199046.71999997</v>
      </c>
      <c r="H192" s="75">
        <f>'Tr P&amp;L proj'!G6</f>
        <v>185561075.14063996</v>
      </c>
      <c r="I192" s="75">
        <f>'Tr P&amp;L proj'!H6</f>
        <v>203618169.87409759</v>
      </c>
      <c r="J192" s="75">
        <f>'Tr P&amp;L proj'!I6</f>
        <v>223203580.18224895</v>
      </c>
      <c r="K192" s="75">
        <f>'Tr P&amp;L proj'!J6</f>
        <v>235594809.24179065</v>
      </c>
      <c r="L192" s="75">
        <f>'Tr P&amp;L proj'!K6</f>
        <v>248579168.23427689</v>
      </c>
      <c r="M192" s="75">
        <f>'Tr P&amp;L proj'!L6</f>
        <v>262183199.12441602</v>
      </c>
      <c r="N192" s="75">
        <f>'Tr P&amp;L proj'!M6</f>
        <v>276434575.2302779</v>
      </c>
      <c r="O192" s="75">
        <f>'Tr P&amp;L proj'!N6</f>
        <v>291362147.90412271</v>
      </c>
    </row>
    <row r="193" spans="1:15" s="70" customFormat="1" ht="15" thickBot="1">
      <c r="A193" s="69" t="s">
        <v>601</v>
      </c>
      <c r="B193" s="253"/>
      <c r="C193" s="75">
        <f>-'Tr P&amp;L 2012'!B10</f>
        <v>83812103.5</v>
      </c>
      <c r="D193" s="75">
        <f>-'Tr P&amp;L 2012'!C10</f>
        <v>136777443</v>
      </c>
      <c r="E193" s="75">
        <f>-'Tr P&amp;L 2012'!D10</f>
        <v>108664644</v>
      </c>
      <c r="F193" s="75">
        <f>-'Tr P&amp;L proj'!E9</f>
        <v>124600447.42550333</v>
      </c>
      <c r="G193" s="75">
        <f>-'Tr P&amp;L proj'!F9</f>
        <v>131720892.5000539</v>
      </c>
      <c r="H193" s="75">
        <f>-'Tr P&amp;L proj'!G9</f>
        <v>151897889.02733147</v>
      </c>
      <c r="I193" s="75">
        <f>-'Tr P&amp;L proj'!H9</f>
        <v>166956398.87430984</v>
      </c>
      <c r="J193" s="75">
        <f>-'Tr P&amp;L proj'!I9</f>
        <v>183309768.21280295</v>
      </c>
      <c r="K193" s="75">
        <f>-'Tr P&amp;L proj'!J9</f>
        <v>193779966.22148791</v>
      </c>
      <c r="L193" s="75">
        <f>-'Tr P&amp;L proj'!K9</f>
        <v>204760391.26680577</v>
      </c>
      <c r="M193" s="75">
        <f>-'Tr P&amp;L proj'!L9</f>
        <v>216273895.59601897</v>
      </c>
      <c r="N193" s="75">
        <f>-'Tr P&amp;L proj'!M9</f>
        <v>228344309.41036406</v>
      </c>
      <c r="O193" s="75">
        <f>-'Tr P&amp;L proj'!N9</f>
        <v>240996481.99975374</v>
      </c>
    </row>
    <row r="194" spans="1:15" s="70" customFormat="1" ht="15" thickBot="1">
      <c r="A194" s="69" t="s">
        <v>596</v>
      </c>
      <c r="B194" s="254">
        <f>AVERAGE(C192:E192)/AVERAGE(C194:E194)</f>
        <v>43.240695772387113</v>
      </c>
      <c r="C194" s="70">
        <f>'Tr BS 2012'!B16</f>
        <v>2804603</v>
      </c>
      <c r="D194" s="70">
        <f>'Tr BS 2012'!C16</f>
        <v>3983811.0795454546</v>
      </c>
      <c r="E194" s="70">
        <f>'Tr BS 2012'!D16</f>
        <v>2549639.0909090908</v>
      </c>
      <c r="F194" s="70">
        <f>F192/($B$194*(1+$B$199))</f>
        <v>3364291.3127164557</v>
      </c>
      <c r="G194" s="70">
        <f t="shared" ref="G194:O194" si="72">G192/($B$194*(1+$B$199))</f>
        <v>3550426.2569274548</v>
      </c>
      <c r="H194" s="70">
        <f t="shared" si="72"/>
        <v>4087002.5403275327</v>
      </c>
      <c r="I194" s="70">
        <f t="shared" si="72"/>
        <v>4484711.9844587566</v>
      </c>
      <c r="J194" s="70">
        <f t="shared" si="72"/>
        <v>4916082.742696193</v>
      </c>
      <c r="K194" s="70">
        <f t="shared" si="72"/>
        <v>5189000.8889493551</v>
      </c>
      <c r="L194" s="70">
        <f t="shared" si="72"/>
        <v>5474982.7854575291</v>
      </c>
      <c r="M194" s="70">
        <f t="shared" si="72"/>
        <v>5774613.0218341658</v>
      </c>
      <c r="N194" s="70">
        <f t="shared" si="72"/>
        <v>6088501.1058715936</v>
      </c>
      <c r="O194" s="70">
        <f t="shared" si="72"/>
        <v>6417282.4916912643</v>
      </c>
    </row>
    <row r="195" spans="1:15" s="70" customFormat="1" ht="15" thickBot="1">
      <c r="A195" s="69" t="s">
        <v>597</v>
      </c>
      <c r="B195" s="254">
        <f>AVERAGE(C192:E192)/AVERAGE(C195:E195)</f>
        <v>10.42068965835589</v>
      </c>
      <c r="C195" s="70">
        <f>'Tr BS 2012'!B17</f>
        <v>11637712</v>
      </c>
      <c r="D195" s="70">
        <f>'Tr BS 2012'!C17</f>
        <v>16530840.909090908</v>
      </c>
      <c r="E195" s="70">
        <f>'Tr BS 2012'!D17</f>
        <v>10579738.181818182</v>
      </c>
      <c r="F195" s="70">
        <f t="shared" ref="F195:O195" si="73">IF(F192&gt;$D$192*1.3,F200*(1+$B$201),F200)</f>
        <v>13960141.018709615</v>
      </c>
      <c r="G195" s="70">
        <f t="shared" si="73"/>
        <v>14732508.756269503</v>
      </c>
      <c r="H195" s="70">
        <f t="shared" si="73"/>
        <v>16959034.311665572</v>
      </c>
      <c r="I195" s="70">
        <f t="shared" si="73"/>
        <v>18609331.330701523</v>
      </c>
      <c r="J195" s="70">
        <f t="shared" si="73"/>
        <v>20399306.114864878</v>
      </c>
      <c r="K195" s="70">
        <f t="shared" si="73"/>
        <v>25838137.339225508</v>
      </c>
      <c r="L195" s="70">
        <f t="shared" si="73"/>
        <v>27262157.044877648</v>
      </c>
      <c r="M195" s="70">
        <f t="shared" si="73"/>
        <v>28754137.36327989</v>
      </c>
      <c r="N195" s="70">
        <f t="shared" si="73"/>
        <v>30317113.280624073</v>
      </c>
      <c r="O195" s="70">
        <f t="shared" si="73"/>
        <v>31954248.980384879</v>
      </c>
    </row>
    <row r="196" spans="1:15" s="70" customFormat="1" ht="15" thickBot="1">
      <c r="A196" s="69" t="s">
        <v>510</v>
      </c>
      <c r="B196" s="254">
        <f>AVERAGE(C193:E193)/AVERAGE(C196:E196)</f>
        <v>23.255602374591035</v>
      </c>
      <c r="C196" s="70">
        <f>'Tr BS 2012'!B35</f>
        <v>2578381</v>
      </c>
      <c r="D196" s="70">
        <f>'Tr BS 2012'!C35</f>
        <v>8440716</v>
      </c>
      <c r="E196" s="70">
        <f>'Tr BS 2012'!D35</f>
        <v>3138962</v>
      </c>
      <c r="F196" s="70">
        <f>F193/($B$196*(1+$B$199))</f>
        <v>5102731.4139086222</v>
      </c>
      <c r="G196" s="70">
        <f t="shared" ref="G196:O196" si="74">G193/($B$196*(1+$B$199))</f>
        <v>5394333.2461142689</v>
      </c>
      <c r="H196" s="70">
        <f t="shared" si="74"/>
        <v>6220636.811995293</v>
      </c>
      <c r="I196" s="70">
        <f t="shared" si="74"/>
        <v>6837324.2543800408</v>
      </c>
      <c r="J196" s="70">
        <f t="shared" si="74"/>
        <v>7507039.7583847148</v>
      </c>
      <c r="K196" s="70">
        <f t="shared" si="74"/>
        <v>7935823.196908908</v>
      </c>
      <c r="L196" s="70">
        <f t="shared" si="74"/>
        <v>8385501.8375118002</v>
      </c>
      <c r="M196" s="70">
        <f t="shared" si="74"/>
        <v>8857011.542643277</v>
      </c>
      <c r="N196" s="70">
        <f t="shared" si="74"/>
        <v>9351328.2246612944</v>
      </c>
      <c r="O196" s="70">
        <f t="shared" si="74"/>
        <v>9869469.5304111969</v>
      </c>
    </row>
    <row r="197" spans="1:15" s="70" customFormat="1">
      <c r="A197" s="69" t="s">
        <v>603</v>
      </c>
      <c r="B197" s="253"/>
      <c r="C197" s="255">
        <f>1</f>
        <v>1</v>
      </c>
      <c r="D197" s="255">
        <f>D192/C192</f>
        <v>1.6873509733405789</v>
      </c>
      <c r="E197" s="255">
        <f t="shared" ref="E197:E198" si="75">E192/D192</f>
        <v>0.69521226415094339</v>
      </c>
      <c r="F197" s="255">
        <f t="shared" ref="F197:F198" si="76">F192/E192</f>
        <v>1.244910238460464</v>
      </c>
      <c r="G197" s="255">
        <f t="shared" ref="G197:G198" si="77">G192/F192</f>
        <v>1.0553266429418404</v>
      </c>
      <c r="H197" s="255">
        <f t="shared" ref="H197:H198" si="78">H192/G192</f>
        <v>1.1511301022949374</v>
      </c>
      <c r="I197" s="255">
        <f t="shared" ref="I197:I198" si="79">I192/H192</f>
        <v>1.097310789559566</v>
      </c>
      <c r="J197" s="255">
        <f t="shared" ref="J197:J198" si="80">J192/I192</f>
        <v>1.0961869479539155</v>
      </c>
      <c r="K197" s="255">
        <f t="shared" ref="K197:K198" si="81">K192/J192</f>
        <v>1.0555153687473295</v>
      </c>
      <c r="L197" s="255">
        <f t="shared" ref="L197:L198" si="82">L192/K192</f>
        <v>1.0551130945298561</v>
      </c>
      <c r="M197" s="255">
        <f t="shared" ref="M197:M198" si="83">M192/L192</f>
        <v>1.0547271558866824</v>
      </c>
      <c r="N197" s="255">
        <f t="shared" ref="N197:N198" si="84">N192/M192</f>
        <v>1.0543565573745977</v>
      </c>
      <c r="O197" s="255">
        <f t="shared" ref="O197:O198" si="85">O192/N192</f>
        <v>1.0540003820484818</v>
      </c>
    </row>
    <row r="198" spans="1:15" s="70" customFormat="1" ht="15" thickBot="1">
      <c r="A198" s="69" t="s">
        <v>604</v>
      </c>
      <c r="B198" s="253"/>
      <c r="C198" s="255">
        <f>1</f>
        <v>1</v>
      </c>
      <c r="D198" s="255">
        <f>D193/C193</f>
        <v>1.631953349076843</v>
      </c>
      <c r="E198" s="255">
        <f t="shared" si="75"/>
        <v>0.79446319229699303</v>
      </c>
      <c r="F198" s="255">
        <f t="shared" si="76"/>
        <v>1.1466512274728782</v>
      </c>
      <c r="G198" s="255">
        <f t="shared" si="77"/>
        <v>1.0571462239636642</v>
      </c>
      <c r="H198" s="255">
        <f t="shared" si="78"/>
        <v>1.1531799257074524</v>
      </c>
      <c r="I198" s="255">
        <f t="shared" si="79"/>
        <v>1.0991357414076297</v>
      </c>
      <c r="J198" s="255">
        <f t="shared" si="80"/>
        <v>1.0979499405159334</v>
      </c>
      <c r="K198" s="255">
        <f t="shared" si="81"/>
        <v>1.0571175126713934</v>
      </c>
      <c r="L198" s="255">
        <f t="shared" si="82"/>
        <v>1.0566643975609293</v>
      </c>
      <c r="M198" s="255">
        <f t="shared" si="83"/>
        <v>1.0562291576900287</v>
      </c>
      <c r="N198" s="255">
        <f t="shared" si="84"/>
        <v>1.0558107754108781</v>
      </c>
      <c r="O198" s="255">
        <f t="shared" si="85"/>
        <v>1.0554083113437791</v>
      </c>
    </row>
    <row r="199" spans="1:15" s="70" customFormat="1" ht="15" thickBot="1">
      <c r="A199" s="69" t="s">
        <v>661</v>
      </c>
      <c r="B199" s="74">
        <v>0.05</v>
      </c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</row>
    <row r="200" spans="1:15" s="262" customFormat="1" ht="15" hidden="1" thickBot="1">
      <c r="A200" s="69" t="s">
        <v>597</v>
      </c>
      <c r="B200" s="83"/>
      <c r="C200" s="261"/>
      <c r="D200" s="261"/>
      <c r="E200" s="261"/>
      <c r="F200" s="70">
        <f t="shared" ref="F200:O200" si="86">F192/($B$195*(1+$B$199))</f>
        <v>13960141.018709615</v>
      </c>
      <c r="G200" s="70">
        <f t="shared" si="86"/>
        <v>14732508.756269503</v>
      </c>
      <c r="H200" s="70">
        <f t="shared" si="86"/>
        <v>16959034.311665572</v>
      </c>
      <c r="I200" s="70">
        <f t="shared" si="86"/>
        <v>18609331.330701523</v>
      </c>
      <c r="J200" s="70">
        <f t="shared" si="86"/>
        <v>20399306.114864878</v>
      </c>
      <c r="K200" s="70">
        <f t="shared" si="86"/>
        <v>21531781.116021257</v>
      </c>
      <c r="L200" s="70">
        <f t="shared" si="86"/>
        <v>22718464.204064708</v>
      </c>
      <c r="M200" s="70">
        <f t="shared" si="86"/>
        <v>23961781.136066575</v>
      </c>
      <c r="N200" s="70">
        <f t="shared" si="86"/>
        <v>25264261.067186728</v>
      </c>
      <c r="O200" s="70">
        <f t="shared" si="86"/>
        <v>26628540.816987399</v>
      </c>
    </row>
    <row r="201" spans="1:15" customFormat="1" ht="29.4" thickBot="1">
      <c r="A201" s="173" t="s">
        <v>663</v>
      </c>
      <c r="B201" s="74">
        <v>0.2</v>
      </c>
      <c r="C201" s="52"/>
      <c r="D201" s="52"/>
      <c r="E201" s="52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s="265" customFormat="1">
      <c r="A202" s="20" t="s">
        <v>667</v>
      </c>
      <c r="B202" s="83"/>
      <c r="C202" s="263"/>
      <c r="D202" s="263"/>
      <c r="E202" s="263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</row>
    <row r="203" spans="1:15" s="265" customFormat="1" ht="43.2">
      <c r="A203" s="5" t="s">
        <v>668</v>
      </c>
      <c r="B203" s="83"/>
      <c r="C203" s="263"/>
      <c r="D203" s="263"/>
      <c r="E203" s="263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</row>
    <row r="204" spans="1:15">
      <c r="B204" s="51"/>
      <c r="D204" s="51"/>
      <c r="E204" s="52"/>
      <c r="F204" s="51"/>
      <c r="G204" s="51"/>
      <c r="H204" s="51"/>
      <c r="I204" s="51"/>
      <c r="J204" s="51"/>
      <c r="K204" s="51"/>
    </row>
    <row r="205" spans="1:15" ht="18.600000000000001" thickBot="1">
      <c r="A205" s="9" t="s">
        <v>189</v>
      </c>
      <c r="B205" s="51"/>
      <c r="D205" s="51"/>
      <c r="E205" s="52"/>
      <c r="F205" s="51"/>
      <c r="G205" s="51"/>
      <c r="H205" s="51"/>
      <c r="I205" s="51"/>
      <c r="J205" s="51"/>
      <c r="K205" s="51"/>
    </row>
    <row r="206" spans="1:15" ht="29.4" thickBot="1">
      <c r="A206" s="5" t="s">
        <v>287</v>
      </c>
      <c r="B206" s="133">
        <v>0.05</v>
      </c>
      <c r="D206" s="51"/>
      <c r="E206" s="52"/>
      <c r="F206" s="51"/>
      <c r="G206" s="51"/>
      <c r="H206" s="51"/>
      <c r="I206" s="51"/>
      <c r="J206" s="51"/>
      <c r="K206" s="51"/>
    </row>
    <row r="207" spans="1:15" ht="29.4" thickBot="1">
      <c r="A207" s="5" t="s">
        <v>288</v>
      </c>
      <c r="B207" s="74">
        <v>0.15</v>
      </c>
      <c r="D207" s="51"/>
      <c r="E207" s="52"/>
      <c r="F207" s="51"/>
      <c r="G207" s="51"/>
      <c r="H207" s="51"/>
      <c r="I207" s="51"/>
      <c r="J207" s="51"/>
      <c r="K207" s="51"/>
    </row>
    <row r="208" spans="1:15" ht="29.4" thickBot="1">
      <c r="A208" s="5" t="s">
        <v>289</v>
      </c>
      <c r="B208" s="133">
        <v>0</v>
      </c>
      <c r="D208" s="51"/>
      <c r="E208" s="52"/>
      <c r="F208" s="51"/>
      <c r="G208" s="51"/>
      <c r="H208" s="51"/>
      <c r="I208" s="51"/>
      <c r="J208" s="51"/>
      <c r="K208" s="51"/>
    </row>
    <row r="209" spans="1:11" ht="15" thickBot="1">
      <c r="A209" s="5" t="s">
        <v>290</v>
      </c>
      <c r="B209" s="74">
        <v>0.25</v>
      </c>
      <c r="D209" s="51"/>
      <c r="E209" s="52"/>
      <c r="F209" s="51"/>
      <c r="G209" s="51"/>
      <c r="H209" s="51"/>
      <c r="I209" s="51"/>
      <c r="J209" s="51"/>
      <c r="K209" s="51"/>
    </row>
    <row r="210" spans="1:11">
      <c r="C210" s="51"/>
      <c r="D210" s="51"/>
      <c r="E210" s="52"/>
      <c r="F210" s="51"/>
      <c r="G210" s="51"/>
      <c r="H210" s="51"/>
      <c r="I210" s="51"/>
      <c r="J210" s="51"/>
      <c r="K210" s="51"/>
    </row>
    <row r="211" spans="1:11" ht="18">
      <c r="A211" s="9" t="s">
        <v>406</v>
      </c>
      <c r="C211" s="51"/>
      <c r="D211" s="51"/>
      <c r="E211" s="52"/>
      <c r="F211" s="51"/>
      <c r="G211" s="51"/>
      <c r="H211" s="51"/>
      <c r="I211" s="51"/>
      <c r="J211" s="51"/>
      <c r="K211" s="51"/>
    </row>
    <row r="212" spans="1:11" ht="29.4" thickBot="1">
      <c r="A212" s="20" t="s">
        <v>728</v>
      </c>
      <c r="C212" s="51"/>
      <c r="D212" s="51"/>
      <c r="E212" s="52"/>
      <c r="F212" s="325" t="s">
        <v>739</v>
      </c>
      <c r="G212" s="325"/>
      <c r="H212" s="325"/>
      <c r="I212" s="325"/>
      <c r="J212" s="51"/>
      <c r="K212" s="51"/>
    </row>
    <row r="213" spans="1:11" ht="15" thickBot="1">
      <c r="A213" s="5" t="s">
        <v>411</v>
      </c>
      <c r="B213" s="132">
        <v>300000000</v>
      </c>
      <c r="C213" s="51">
        <v>0</v>
      </c>
      <c r="D213" s="51">
        <v>300000000</v>
      </c>
      <c r="E213" s="52">
        <v>250000000</v>
      </c>
      <c r="F213" s="51">
        <v>170000000</v>
      </c>
      <c r="G213" s="51">
        <v>120000000</v>
      </c>
      <c r="H213" s="51">
        <v>70000000</v>
      </c>
      <c r="I213" s="51">
        <v>50000000</v>
      </c>
      <c r="J213" s="51"/>
      <c r="K213" s="51"/>
    </row>
    <row r="214" spans="1:11" ht="15" thickBot="1">
      <c r="A214" s="5" t="s">
        <v>410</v>
      </c>
      <c r="B214" s="131">
        <v>1</v>
      </c>
      <c r="C214" s="51"/>
      <c r="D214" s="51"/>
      <c r="E214" s="52"/>
      <c r="F214" s="51"/>
      <c r="G214" s="51"/>
      <c r="H214" s="51"/>
      <c r="I214" s="51"/>
      <c r="J214" s="51"/>
      <c r="K214" s="51"/>
    </row>
    <row r="215" spans="1:11" ht="15" thickBot="1">
      <c r="A215" s="5" t="s">
        <v>415</v>
      </c>
      <c r="B215" s="131" t="s">
        <v>416</v>
      </c>
      <c r="C215" s="51"/>
      <c r="D215" s="51"/>
      <c r="E215" s="52"/>
      <c r="F215" s="51"/>
      <c r="G215" s="51"/>
      <c r="H215" s="51"/>
      <c r="I215" s="51"/>
      <c r="J215" s="51"/>
      <c r="K215" s="51"/>
    </row>
    <row r="216" spans="1:11" ht="15" thickBot="1">
      <c r="A216" s="5" t="s">
        <v>412</v>
      </c>
      <c r="B216" s="74">
        <f>Summary!C77</f>
        <v>0.1</v>
      </c>
      <c r="C216" s="51"/>
      <c r="D216" s="51"/>
      <c r="E216" s="52"/>
      <c r="F216" s="51"/>
      <c r="G216" s="51"/>
      <c r="H216" s="51"/>
      <c r="I216" s="51"/>
      <c r="J216" s="51"/>
      <c r="K216" s="51"/>
    </row>
    <row r="217" spans="1:11" ht="15" thickBot="1">
      <c r="A217" s="5" t="s">
        <v>413</v>
      </c>
      <c r="B217" s="131">
        <v>0</v>
      </c>
      <c r="C217" s="51"/>
      <c r="D217" s="51"/>
      <c r="E217" s="52"/>
      <c r="F217" s="51"/>
      <c r="G217" s="51"/>
      <c r="H217" s="51"/>
      <c r="I217" s="51"/>
      <c r="J217" s="51"/>
      <c r="K217" s="51"/>
    </row>
    <row r="218" spans="1:11" ht="15" thickBot="1">
      <c r="A218" s="5" t="s">
        <v>414</v>
      </c>
      <c r="B218" s="131">
        <v>0</v>
      </c>
      <c r="C218" s="51"/>
      <c r="D218" s="51"/>
      <c r="E218" s="52"/>
      <c r="F218" s="51"/>
      <c r="G218" s="51"/>
      <c r="H218" s="51"/>
      <c r="I218" s="51"/>
      <c r="J218" s="51"/>
      <c r="K218" s="51"/>
    </row>
    <row r="219" spans="1:11" ht="15" thickBot="1">
      <c r="A219" s="5" t="s">
        <v>417</v>
      </c>
      <c r="B219" s="131" t="s">
        <v>418</v>
      </c>
      <c r="C219" s="51"/>
      <c r="D219" s="51"/>
      <c r="E219" s="52"/>
      <c r="F219" s="51"/>
      <c r="G219" s="51"/>
      <c r="H219" s="51"/>
      <c r="I219" s="51"/>
      <c r="J219" s="51"/>
      <c r="K219" s="51"/>
    </row>
    <row r="220" spans="1:11" ht="15" thickBot="1">
      <c r="A220" s="5" t="s">
        <v>417</v>
      </c>
      <c r="B220" s="131" t="s">
        <v>660</v>
      </c>
      <c r="C220" s="51"/>
      <c r="D220" s="51"/>
      <c r="E220" s="52"/>
      <c r="F220" s="51"/>
      <c r="G220" s="51"/>
      <c r="H220" s="51"/>
      <c r="I220" s="51"/>
      <c r="J220" s="51"/>
      <c r="K220" s="51"/>
    </row>
    <row r="221" spans="1:11" ht="15" thickBot="1">
      <c r="A221" s="20" t="s">
        <v>729</v>
      </c>
      <c r="C221" s="51"/>
      <c r="D221" s="51"/>
      <c r="E221" s="52"/>
      <c r="F221" s="51"/>
      <c r="G221" s="51"/>
      <c r="H221" s="51"/>
      <c r="I221" s="51"/>
      <c r="J221" s="51"/>
      <c r="K221" s="51"/>
    </row>
    <row r="222" spans="1:11" ht="15" thickBot="1">
      <c r="A222" s="5" t="s">
        <v>659</v>
      </c>
      <c r="B222" s="132">
        <v>3000000</v>
      </c>
      <c r="C222" s="51"/>
      <c r="D222" s="51"/>
      <c r="E222" s="52"/>
      <c r="F222" s="51"/>
      <c r="G222" s="51"/>
      <c r="H222" s="51"/>
      <c r="I222" s="51"/>
      <c r="J222" s="51"/>
      <c r="K222" s="51"/>
    </row>
    <row r="223" spans="1:11" ht="15" thickBot="1">
      <c r="A223" s="5" t="s">
        <v>410</v>
      </c>
      <c r="B223" s="131">
        <v>1</v>
      </c>
    </row>
    <row r="224" spans="1:11" ht="15" thickBot="1">
      <c r="A224" s="5" t="s">
        <v>415</v>
      </c>
      <c r="B224" s="131" t="s">
        <v>416</v>
      </c>
    </row>
    <row r="225" spans="1:11" ht="15" thickBot="1">
      <c r="A225" s="5" t="s">
        <v>412</v>
      </c>
      <c r="B225" s="74">
        <v>0.08</v>
      </c>
    </row>
    <row r="226" spans="1:11" ht="15" thickBot="1">
      <c r="A226" s="5" t="s">
        <v>413</v>
      </c>
      <c r="B226" s="131">
        <v>0</v>
      </c>
    </row>
    <row r="227" spans="1:11" ht="15" thickBot="1">
      <c r="A227" s="5" t="s">
        <v>414</v>
      </c>
      <c r="B227" s="131">
        <v>0</v>
      </c>
    </row>
    <row r="228" spans="1:11" ht="15" thickBot="1">
      <c r="A228" s="5" t="s">
        <v>417</v>
      </c>
      <c r="B228" s="131" t="s">
        <v>660</v>
      </c>
    </row>
    <row r="229" spans="1:11">
      <c r="B229" s="83"/>
      <c r="C229" s="51"/>
      <c r="D229" s="51"/>
      <c r="E229" s="52"/>
      <c r="F229" s="51"/>
      <c r="G229" s="51"/>
      <c r="H229" s="51"/>
      <c r="I229" s="51"/>
      <c r="J229" s="51"/>
      <c r="K229" s="51"/>
    </row>
    <row r="230" spans="1:11">
      <c r="C230" s="324" t="s">
        <v>730</v>
      </c>
      <c r="D230" s="324"/>
      <c r="E230" s="324"/>
      <c r="F230" s="324"/>
      <c r="G230" s="324"/>
      <c r="H230" s="324"/>
      <c r="I230" s="324"/>
      <c r="J230" s="324"/>
    </row>
    <row r="231" spans="1:11" ht="18">
      <c r="A231" s="9" t="s">
        <v>708</v>
      </c>
      <c r="C231" s="4" t="s">
        <v>711</v>
      </c>
      <c r="D231" s="4" t="s">
        <v>712</v>
      </c>
      <c r="E231" s="4" t="s">
        <v>713</v>
      </c>
      <c r="F231" s="4" t="s">
        <v>714</v>
      </c>
      <c r="G231" s="4"/>
      <c r="H231" s="4"/>
      <c r="I231" s="4"/>
      <c r="J231" s="4"/>
    </row>
    <row r="232" spans="1:11">
      <c r="A232" s="20" t="s">
        <v>710</v>
      </c>
      <c r="C232" s="51"/>
      <c r="D232" s="51"/>
      <c r="E232" s="52"/>
      <c r="F232" s="51"/>
      <c r="G232" s="51"/>
      <c r="H232" s="51"/>
      <c r="I232" s="51"/>
      <c r="J232" s="51"/>
      <c r="K232" s="51"/>
    </row>
    <row r="233" spans="1:11">
      <c r="A233" s="5" t="s">
        <v>735</v>
      </c>
      <c r="B233" s="296">
        <f>SUM(C233:F233)</f>
        <v>1</v>
      </c>
      <c r="C233" s="297">
        <v>0</v>
      </c>
      <c r="D233" s="297">
        <v>0</v>
      </c>
      <c r="E233" s="298">
        <v>0.8</v>
      </c>
      <c r="F233" s="297">
        <v>0.2</v>
      </c>
    </row>
    <row r="234" spans="1:11">
      <c r="A234" s="5" t="s">
        <v>734</v>
      </c>
      <c r="B234" s="296">
        <f>SUM(C234:F234)</f>
        <v>1</v>
      </c>
      <c r="C234" s="297">
        <v>0.15</v>
      </c>
      <c r="D234" s="297">
        <v>0.05</v>
      </c>
      <c r="E234" s="298">
        <v>0.3</v>
      </c>
      <c r="F234" s="297">
        <v>0.5</v>
      </c>
    </row>
    <row r="235" spans="1:11">
      <c r="A235" s="5" t="s">
        <v>719</v>
      </c>
      <c r="B235" s="296">
        <f t="shared" ref="B235:B253" si="87">SUM(C235:F235)</f>
        <v>1</v>
      </c>
      <c r="C235" s="297">
        <v>0.4</v>
      </c>
      <c r="D235" s="297">
        <v>0.2</v>
      </c>
      <c r="E235" s="298">
        <v>0.1</v>
      </c>
      <c r="F235" s="297">
        <v>0.3</v>
      </c>
    </row>
    <row r="236" spans="1:11">
      <c r="A236" s="5" t="s">
        <v>722</v>
      </c>
      <c r="B236" s="296">
        <f t="shared" si="87"/>
        <v>1</v>
      </c>
      <c r="C236" s="297">
        <v>0.15</v>
      </c>
      <c r="D236" s="297">
        <v>0.3</v>
      </c>
      <c r="E236" s="298">
        <v>0.4</v>
      </c>
      <c r="F236" s="297">
        <v>0.15</v>
      </c>
    </row>
    <row r="237" spans="1:11">
      <c r="A237" s="5" t="s">
        <v>721</v>
      </c>
      <c r="B237" s="296">
        <f t="shared" si="87"/>
        <v>1</v>
      </c>
      <c r="C237" s="297">
        <v>0</v>
      </c>
      <c r="D237" s="297">
        <v>0</v>
      </c>
      <c r="E237" s="298">
        <v>0.8</v>
      </c>
      <c r="F237" s="297">
        <v>0.2</v>
      </c>
    </row>
    <row r="238" spans="1:11">
      <c r="A238" s="5" t="s">
        <v>723</v>
      </c>
      <c r="B238" s="296">
        <f t="shared" si="87"/>
        <v>1</v>
      </c>
      <c r="C238" s="297">
        <v>0</v>
      </c>
      <c r="D238" s="297">
        <v>0</v>
      </c>
      <c r="E238" s="298">
        <v>1</v>
      </c>
      <c r="F238" s="297">
        <v>0</v>
      </c>
    </row>
    <row r="239" spans="1:11">
      <c r="A239" s="5" t="s">
        <v>403</v>
      </c>
      <c r="B239" s="296">
        <f t="shared" si="87"/>
        <v>1</v>
      </c>
      <c r="C239" s="297">
        <v>0</v>
      </c>
      <c r="D239" s="297">
        <v>1</v>
      </c>
      <c r="E239" s="298">
        <v>0</v>
      </c>
      <c r="F239" s="297">
        <v>0</v>
      </c>
    </row>
    <row r="240" spans="1:11">
      <c r="A240" s="5" t="s">
        <v>726</v>
      </c>
      <c r="B240" s="296">
        <f t="shared" si="87"/>
        <v>1</v>
      </c>
      <c r="C240" s="297">
        <v>0.3</v>
      </c>
      <c r="D240" s="297">
        <v>0.7</v>
      </c>
      <c r="E240" s="298">
        <v>0</v>
      </c>
      <c r="F240" s="297">
        <v>0</v>
      </c>
    </row>
    <row r="241" spans="1:6">
      <c r="A241" s="5" t="s">
        <v>727</v>
      </c>
      <c r="B241" s="296">
        <f t="shared" si="87"/>
        <v>1</v>
      </c>
      <c r="C241" s="297">
        <v>0</v>
      </c>
      <c r="D241" s="297">
        <v>0</v>
      </c>
      <c r="E241" s="298">
        <v>1</v>
      </c>
      <c r="F241" s="297">
        <v>0</v>
      </c>
    </row>
    <row r="242" spans="1:6">
      <c r="A242" s="5" t="s">
        <v>731</v>
      </c>
      <c r="B242" s="296">
        <f t="shared" ref="B242" si="88">SUM(C242:F242)</f>
        <v>1</v>
      </c>
      <c r="C242" s="297">
        <v>0.2</v>
      </c>
      <c r="D242" s="297">
        <v>0.8</v>
      </c>
      <c r="E242" s="298">
        <v>0</v>
      </c>
      <c r="F242" s="297">
        <v>0</v>
      </c>
    </row>
    <row r="243" spans="1:6">
      <c r="A243" s="20" t="s">
        <v>709</v>
      </c>
    </row>
    <row r="244" spans="1:6">
      <c r="A244" s="5" t="s">
        <v>725</v>
      </c>
      <c r="B244" s="296">
        <f t="shared" si="87"/>
        <v>1</v>
      </c>
      <c r="C244" s="297">
        <v>0.2</v>
      </c>
      <c r="D244" s="297">
        <v>0.1</v>
      </c>
      <c r="E244" s="298">
        <v>0.4</v>
      </c>
      <c r="F244" s="297">
        <v>0.3</v>
      </c>
    </row>
    <row r="245" spans="1:6">
      <c r="A245" s="5" t="s">
        <v>736</v>
      </c>
      <c r="B245" s="296">
        <f t="shared" si="87"/>
        <v>1</v>
      </c>
      <c r="C245" s="297">
        <v>0.1</v>
      </c>
      <c r="D245" s="297">
        <v>0.1</v>
      </c>
      <c r="E245" s="298">
        <v>0.5</v>
      </c>
      <c r="F245" s="297">
        <v>0.3</v>
      </c>
    </row>
    <row r="246" spans="1:6">
      <c r="A246" s="5" t="s">
        <v>737</v>
      </c>
      <c r="B246" s="296">
        <f>SUM(C246:F246)</f>
        <v>1</v>
      </c>
      <c r="C246" s="297">
        <v>0</v>
      </c>
      <c r="D246" s="297">
        <v>0</v>
      </c>
      <c r="E246" s="298">
        <v>0.8</v>
      </c>
      <c r="F246" s="297">
        <v>0.2</v>
      </c>
    </row>
    <row r="247" spans="1:6">
      <c r="A247" s="5" t="s">
        <v>720</v>
      </c>
      <c r="B247" s="296">
        <f t="shared" si="87"/>
        <v>1</v>
      </c>
      <c r="C247" s="297">
        <v>0</v>
      </c>
      <c r="D247" s="297">
        <v>0</v>
      </c>
      <c r="E247" s="297">
        <v>0</v>
      </c>
      <c r="F247" s="297">
        <v>1</v>
      </c>
    </row>
    <row r="248" spans="1:6">
      <c r="A248" s="5" t="s">
        <v>723</v>
      </c>
      <c r="B248" s="296">
        <f t="shared" si="87"/>
        <v>1</v>
      </c>
      <c r="C248" s="297">
        <v>1</v>
      </c>
      <c r="D248" s="297">
        <v>0</v>
      </c>
      <c r="E248" s="298">
        <v>0</v>
      </c>
      <c r="F248" s="297">
        <v>0</v>
      </c>
    </row>
    <row r="249" spans="1:6">
      <c r="A249" s="5" t="s">
        <v>638</v>
      </c>
      <c r="B249" s="296">
        <f t="shared" si="87"/>
        <v>1</v>
      </c>
      <c r="C249" s="297">
        <v>0</v>
      </c>
      <c r="D249" s="297">
        <v>0</v>
      </c>
      <c r="E249" s="298">
        <v>1</v>
      </c>
      <c r="F249" s="297">
        <v>0</v>
      </c>
    </row>
    <row r="250" spans="1:6">
      <c r="A250" s="5" t="s">
        <v>726</v>
      </c>
      <c r="B250" s="296">
        <f t="shared" ref="B250:B251" si="89">SUM(C250:F250)</f>
        <v>1</v>
      </c>
      <c r="C250" s="297">
        <v>0</v>
      </c>
      <c r="D250" s="297">
        <v>0</v>
      </c>
      <c r="E250" s="298">
        <v>0.7</v>
      </c>
      <c r="F250" s="297">
        <v>0.3</v>
      </c>
    </row>
    <row r="251" spans="1:6">
      <c r="A251" s="5" t="s">
        <v>727</v>
      </c>
      <c r="B251" s="296">
        <f t="shared" si="89"/>
        <v>1</v>
      </c>
      <c r="C251" s="297">
        <v>0.7</v>
      </c>
      <c r="D251" s="297">
        <v>0.3</v>
      </c>
      <c r="E251" s="298">
        <v>0</v>
      </c>
      <c r="F251" s="297">
        <v>0</v>
      </c>
    </row>
    <row r="252" spans="1:6">
      <c r="A252" s="5" t="s">
        <v>732</v>
      </c>
      <c r="B252" s="296">
        <f t="shared" ref="B252" si="90">SUM(C252:F252)</f>
        <v>1</v>
      </c>
      <c r="C252" s="297">
        <v>0.2</v>
      </c>
      <c r="D252" s="297">
        <v>0.8</v>
      </c>
      <c r="E252" s="298">
        <v>0</v>
      </c>
      <c r="F252" s="297">
        <v>0</v>
      </c>
    </row>
    <row r="253" spans="1:6">
      <c r="A253" s="20" t="s">
        <v>724</v>
      </c>
      <c r="B253" s="296">
        <f t="shared" si="87"/>
        <v>1</v>
      </c>
      <c r="C253" s="297">
        <v>0.25</v>
      </c>
      <c r="D253" s="297">
        <v>0.25</v>
      </c>
      <c r="E253" s="298">
        <v>0.25</v>
      </c>
      <c r="F253" s="297">
        <v>0.25</v>
      </c>
    </row>
    <row r="255" spans="1:6" ht="18.600000000000001" thickBot="1">
      <c r="A255" s="9" t="s">
        <v>762</v>
      </c>
    </row>
    <row r="256" spans="1:6" ht="38.4" thickBot="1">
      <c r="A256" s="9" t="s">
        <v>763</v>
      </c>
      <c r="B256" s="74">
        <v>3.5000000000000003E-2</v>
      </c>
    </row>
  </sheetData>
  <mergeCells count="3">
    <mergeCell ref="C230:F230"/>
    <mergeCell ref="G230:J230"/>
    <mergeCell ref="F212:I2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O142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F29" sqref="F29"/>
    </sheetView>
  </sheetViews>
  <sheetFormatPr defaultRowHeight="14.4"/>
  <cols>
    <col min="1" max="1" width="43.88671875" style="2" customWidth="1"/>
    <col min="2" max="17" width="14.77734375" style="2" customWidth="1"/>
    <col min="18" max="16384" width="8.88671875" style="2"/>
  </cols>
  <sheetData>
    <row r="1" spans="1:15">
      <c r="A1" s="303" t="s">
        <v>740</v>
      </c>
    </row>
    <row r="2" spans="1:15" ht="21">
      <c r="A2" s="92" t="s">
        <v>545</v>
      </c>
    </row>
    <row r="3" spans="1:15" s="44" customFormat="1" ht="15.6">
      <c r="A3" s="1"/>
    </row>
    <row r="4" spans="1:15" s="37" customFormat="1" ht="15.6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5" s="38" customFormat="1">
      <c r="A6" s="38" t="s">
        <v>94</v>
      </c>
      <c r="B6" s="39">
        <f>Предположения!C32</f>
        <v>75000</v>
      </c>
      <c r="C6" s="39">
        <f>Предположения!D32</f>
        <v>100000</v>
      </c>
      <c r="D6" s="39">
        <f>Предположения!E32</f>
        <v>100000</v>
      </c>
      <c r="E6" s="39">
        <f>Предположения!F32</f>
        <v>100000</v>
      </c>
      <c r="F6" s="39">
        <f>Предположения!G32</f>
        <v>100000</v>
      </c>
      <c r="G6" s="39">
        <f>Предположения!H32</f>
        <v>120000</v>
      </c>
      <c r="H6" s="39">
        <f>Предположения!I32</f>
        <v>130000</v>
      </c>
      <c r="I6" s="39">
        <f>Предположения!J32</f>
        <v>140000</v>
      </c>
      <c r="J6" s="39">
        <f>Предположения!K32</f>
        <v>140000</v>
      </c>
      <c r="K6" s="39">
        <f>Предположения!L32</f>
        <v>140000</v>
      </c>
      <c r="L6" s="39">
        <f>Предположения!M32</f>
        <v>140000</v>
      </c>
      <c r="M6" s="39">
        <f>Предположения!N32</f>
        <v>140000</v>
      </c>
      <c r="N6" s="39">
        <f>Предположения!O32</f>
        <v>140000</v>
      </c>
    </row>
    <row r="7" spans="1:15">
      <c r="A7" s="2" t="s">
        <v>96</v>
      </c>
      <c r="B7" s="3">
        <f>Предположения!$B$57*B6</f>
        <v>48750</v>
      </c>
      <c r="C7" s="3">
        <f>Предположения!$B$57*C6</f>
        <v>65000</v>
      </c>
      <c r="D7" s="3">
        <f>Предположения!$B$57*D6</f>
        <v>65000</v>
      </c>
      <c r="E7" s="3">
        <f>Предположения!$B$57*E6</f>
        <v>65000</v>
      </c>
      <c r="F7" s="3">
        <f>Предположения!$B$57*F6</f>
        <v>65000</v>
      </c>
      <c r="G7" s="3">
        <f>Предположения!$B$57*G6</f>
        <v>78000</v>
      </c>
      <c r="H7" s="3">
        <f>Предположения!$B$57*H6</f>
        <v>84500</v>
      </c>
      <c r="I7" s="3">
        <f>Предположения!$B$57*I6</f>
        <v>91000</v>
      </c>
      <c r="J7" s="3">
        <f>Предположения!$B$57*J6</f>
        <v>91000</v>
      </c>
      <c r="K7" s="3">
        <f>Предположения!$B$57*K6</f>
        <v>91000</v>
      </c>
      <c r="L7" s="3">
        <f>Предположения!$B$57*L6</f>
        <v>91000</v>
      </c>
      <c r="M7" s="3">
        <f>Предположения!$B$57*M6</f>
        <v>91000</v>
      </c>
      <c r="N7" s="3">
        <f>Предположения!$B$57*N6</f>
        <v>91000</v>
      </c>
      <c r="O7" s="3"/>
    </row>
    <row r="8" spans="1:15">
      <c r="A8" s="2" t="s">
        <v>95</v>
      </c>
      <c r="B8" s="3">
        <f>Предположения!$B$58*B6</f>
        <v>26250</v>
      </c>
      <c r="C8" s="3">
        <f>Предположения!$B$58*C6</f>
        <v>35000</v>
      </c>
      <c r="D8" s="3">
        <f>Предположения!$B$58*D6</f>
        <v>35000</v>
      </c>
      <c r="E8" s="3">
        <f>Предположения!$B$58*E6</f>
        <v>35000</v>
      </c>
      <c r="F8" s="3">
        <f>Предположения!$B$58*F6</f>
        <v>35000</v>
      </c>
      <c r="G8" s="3">
        <f>Предположения!$B$58*G6</f>
        <v>42000</v>
      </c>
      <c r="H8" s="3">
        <f>Предположения!$B$58*H6</f>
        <v>45500</v>
      </c>
      <c r="I8" s="3">
        <f>Предположения!$B$58*I6</f>
        <v>49000</v>
      </c>
      <c r="J8" s="3">
        <f>Предположения!$B$58*J6</f>
        <v>49000</v>
      </c>
      <c r="K8" s="3">
        <f>Предположения!$B$58*K6</f>
        <v>49000</v>
      </c>
      <c r="L8" s="3">
        <f>Предположения!$B$58*L6</f>
        <v>49000</v>
      </c>
      <c r="M8" s="3">
        <f>Предположения!$B$58*M6</f>
        <v>49000</v>
      </c>
      <c r="N8" s="3">
        <f>Предположения!$B$58*N6</f>
        <v>49000</v>
      </c>
      <c r="O8" s="3"/>
    </row>
    <row r="9" spans="1:15" s="38" customFormat="1">
      <c r="A9" s="38" t="s">
        <v>101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15">
      <c r="A10" s="5" t="s">
        <v>104</v>
      </c>
      <c r="B10" s="40">
        <f>Предположения!C78</f>
        <v>4.2</v>
      </c>
      <c r="C10" s="40">
        <f>Предположения!D78</f>
        <v>5</v>
      </c>
      <c r="D10" s="40">
        <f>Предположения!E78</f>
        <v>3.5</v>
      </c>
      <c r="E10" s="40">
        <f>Предположения!F78</f>
        <v>4</v>
      </c>
      <c r="F10" s="40">
        <f>Предположения!G78</f>
        <v>4</v>
      </c>
      <c r="G10" s="40">
        <f>Предположения!H78</f>
        <v>4</v>
      </c>
      <c r="H10" s="40">
        <f>Предположения!I78</f>
        <v>4</v>
      </c>
      <c r="I10" s="40">
        <f>Предположения!J78</f>
        <v>4</v>
      </c>
      <c r="J10" s="40">
        <f>Предположения!K78</f>
        <v>4</v>
      </c>
      <c r="K10" s="40">
        <f>Предположения!L78</f>
        <v>4</v>
      </c>
      <c r="L10" s="40">
        <f>Предположения!M78</f>
        <v>4</v>
      </c>
      <c r="M10" s="40">
        <f>Предположения!N78</f>
        <v>4</v>
      </c>
      <c r="N10" s="40">
        <f>Предположения!O78</f>
        <v>4</v>
      </c>
      <c r="O10" s="3"/>
    </row>
    <row r="11" spans="1:15">
      <c r="A11" s="5" t="s">
        <v>105</v>
      </c>
      <c r="B11" s="40">
        <f>Предположения!C79</f>
        <v>1.5</v>
      </c>
      <c r="C11" s="40">
        <f>Предположения!D79</f>
        <v>2.2000000000000002</v>
      </c>
      <c r="D11" s="40">
        <f>Предположения!E79</f>
        <v>1.7</v>
      </c>
      <c r="E11" s="40">
        <f>Предположения!F79</f>
        <v>1.7</v>
      </c>
      <c r="F11" s="40">
        <f>Предположения!G79</f>
        <v>1.7</v>
      </c>
      <c r="G11" s="40">
        <f>Предположения!H79</f>
        <v>1.7</v>
      </c>
      <c r="H11" s="40">
        <f>Предположения!I79</f>
        <v>1.7</v>
      </c>
      <c r="I11" s="40">
        <f>Предположения!J79</f>
        <v>1.7</v>
      </c>
      <c r="J11" s="40">
        <f>Предположения!K79</f>
        <v>1.7</v>
      </c>
      <c r="K11" s="40">
        <f>Предположения!L79</f>
        <v>1.7</v>
      </c>
      <c r="L11" s="40">
        <f>Предположения!M79</f>
        <v>1.7</v>
      </c>
      <c r="M11" s="40">
        <f>Предположения!N79</f>
        <v>1.7</v>
      </c>
      <c r="N11" s="40">
        <f>Предположения!O79</f>
        <v>1.7</v>
      </c>
      <c r="O11" s="3"/>
    </row>
    <row r="12" spans="1:15" s="38" customFormat="1">
      <c r="A12" s="38" t="s">
        <v>106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</row>
    <row r="13" spans="1:15">
      <c r="A13" s="5" t="s">
        <v>107</v>
      </c>
      <c r="B13" s="3">
        <f>B10*B7</f>
        <v>204750</v>
      </c>
      <c r="C13" s="3">
        <f t="shared" ref="C13:N13" si="0">C10*C7</f>
        <v>325000</v>
      </c>
      <c r="D13" s="3">
        <f t="shared" si="0"/>
        <v>227500</v>
      </c>
      <c r="E13" s="3">
        <f t="shared" si="0"/>
        <v>260000</v>
      </c>
      <c r="F13" s="3">
        <f t="shared" si="0"/>
        <v>260000</v>
      </c>
      <c r="G13" s="3">
        <f t="shared" si="0"/>
        <v>312000</v>
      </c>
      <c r="H13" s="3">
        <f t="shared" si="0"/>
        <v>338000</v>
      </c>
      <c r="I13" s="3">
        <f t="shared" si="0"/>
        <v>364000</v>
      </c>
      <c r="J13" s="3">
        <f t="shared" si="0"/>
        <v>364000</v>
      </c>
      <c r="K13" s="3">
        <f t="shared" si="0"/>
        <v>364000</v>
      </c>
      <c r="L13" s="3">
        <f t="shared" si="0"/>
        <v>364000</v>
      </c>
      <c r="M13" s="3">
        <f t="shared" si="0"/>
        <v>364000</v>
      </c>
      <c r="N13" s="3">
        <f t="shared" si="0"/>
        <v>364000</v>
      </c>
      <c r="O13" s="3"/>
    </row>
    <row r="14" spans="1:15">
      <c r="A14" s="5" t="s">
        <v>108</v>
      </c>
      <c r="B14" s="3">
        <f>B11*B8</f>
        <v>39375</v>
      </c>
      <c r="C14" s="3">
        <f t="shared" ref="C14:N14" si="1">C11*C8</f>
        <v>77000</v>
      </c>
      <c r="D14" s="3">
        <f t="shared" si="1"/>
        <v>59500</v>
      </c>
      <c r="E14" s="3">
        <f t="shared" si="1"/>
        <v>59500</v>
      </c>
      <c r="F14" s="3">
        <f t="shared" si="1"/>
        <v>59500</v>
      </c>
      <c r="G14" s="3">
        <f t="shared" si="1"/>
        <v>71400</v>
      </c>
      <c r="H14" s="3">
        <f t="shared" si="1"/>
        <v>77350</v>
      </c>
      <c r="I14" s="3">
        <f t="shared" si="1"/>
        <v>83300</v>
      </c>
      <c r="J14" s="3">
        <f t="shared" si="1"/>
        <v>83300</v>
      </c>
      <c r="K14" s="3">
        <f t="shared" si="1"/>
        <v>83300</v>
      </c>
      <c r="L14" s="3">
        <f t="shared" si="1"/>
        <v>83300</v>
      </c>
      <c r="M14" s="3">
        <f t="shared" si="1"/>
        <v>83300</v>
      </c>
      <c r="N14" s="3">
        <f t="shared" si="1"/>
        <v>83300</v>
      </c>
      <c r="O14" s="3"/>
    </row>
    <row r="15" spans="1:15">
      <c r="A15" s="38" t="s">
        <v>109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>
      <c r="A16" s="5" t="s">
        <v>107</v>
      </c>
      <c r="B16" s="41">
        <f>-Предположения!$B$81*B13</f>
        <v>-6142.5</v>
      </c>
      <c r="C16" s="41">
        <f>-Предположения!$B$81*C13</f>
        <v>-9750</v>
      </c>
      <c r="D16" s="41">
        <f>-Предположения!$B$81*D13</f>
        <v>-6825</v>
      </c>
      <c r="E16" s="41">
        <f>-Предположения!$B$81*E13</f>
        <v>-7800</v>
      </c>
      <c r="F16" s="41">
        <f>-Предположения!$B$81*F13</f>
        <v>-7800</v>
      </c>
      <c r="G16" s="41">
        <f>-Предположения!$B$81*G13</f>
        <v>-9360</v>
      </c>
      <c r="H16" s="41">
        <f>-Предположения!$B$81*H13</f>
        <v>-10140</v>
      </c>
      <c r="I16" s="41">
        <f>-Предположения!$B$81*I13</f>
        <v>-10920</v>
      </c>
      <c r="J16" s="41">
        <f>-Предположения!$B$81*J13</f>
        <v>-10920</v>
      </c>
      <c r="K16" s="41">
        <f>-Предположения!$B$81*K13</f>
        <v>-10920</v>
      </c>
      <c r="L16" s="41">
        <f>-Предположения!$B$81*L13</f>
        <v>-10920</v>
      </c>
      <c r="M16" s="41">
        <f>-Предположения!$B$81*M13</f>
        <v>-10920</v>
      </c>
      <c r="N16" s="41">
        <f>-Предположения!$B$81*N13</f>
        <v>-10920</v>
      </c>
      <c r="O16" s="41"/>
    </row>
    <row r="17" spans="1:15">
      <c r="A17" s="5" t="s">
        <v>108</v>
      </c>
      <c r="B17" s="41">
        <f>-Предположения!$B$82*B14</f>
        <v>-3937.5</v>
      </c>
      <c r="C17" s="41">
        <f>-Предположения!$B$82*C14</f>
        <v>-7700</v>
      </c>
      <c r="D17" s="41">
        <f>-Предположения!$B$82*D14</f>
        <v>-5950</v>
      </c>
      <c r="E17" s="41">
        <f>-Предположения!$B$82*E14</f>
        <v>-5950</v>
      </c>
      <c r="F17" s="41">
        <f>-Предположения!$B$82*F14</f>
        <v>-5950</v>
      </c>
      <c r="G17" s="41">
        <f>-Предположения!$B$82*G14</f>
        <v>-7140</v>
      </c>
      <c r="H17" s="41">
        <f>-Предположения!$B$82*H14</f>
        <v>-7735</v>
      </c>
      <c r="I17" s="41">
        <f>-Предположения!$B$82*I14</f>
        <v>-8330</v>
      </c>
      <c r="J17" s="41">
        <f>-Предположения!$B$82*J14</f>
        <v>-8330</v>
      </c>
      <c r="K17" s="41">
        <f>-Предположения!$B$82*K14</f>
        <v>-8330</v>
      </c>
      <c r="L17" s="41">
        <f>-Предположения!$B$82*L14</f>
        <v>-8330</v>
      </c>
      <c r="M17" s="41">
        <f>-Предположения!$B$82*M14</f>
        <v>-8330</v>
      </c>
      <c r="N17" s="41">
        <f>-Предположения!$B$82*N14</f>
        <v>-8330</v>
      </c>
      <c r="O17" s="41"/>
    </row>
    <row r="18" spans="1:15">
      <c r="A18" s="38" t="s">
        <v>114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>
      <c r="A19" s="5" t="s">
        <v>107</v>
      </c>
      <c r="B19" s="41">
        <f>B13+B16</f>
        <v>198607.5</v>
      </c>
      <c r="C19" s="41">
        <f t="shared" ref="C19:N19" si="2">C13+C16</f>
        <v>315250</v>
      </c>
      <c r="D19" s="41">
        <f t="shared" si="2"/>
        <v>220675</v>
      </c>
      <c r="E19" s="41">
        <f t="shared" si="2"/>
        <v>252200</v>
      </c>
      <c r="F19" s="41">
        <f t="shared" si="2"/>
        <v>252200</v>
      </c>
      <c r="G19" s="41">
        <f t="shared" si="2"/>
        <v>302640</v>
      </c>
      <c r="H19" s="41">
        <f t="shared" si="2"/>
        <v>327860</v>
      </c>
      <c r="I19" s="41">
        <f t="shared" si="2"/>
        <v>353080</v>
      </c>
      <c r="J19" s="41">
        <f t="shared" si="2"/>
        <v>353080</v>
      </c>
      <c r="K19" s="41">
        <f t="shared" si="2"/>
        <v>353080</v>
      </c>
      <c r="L19" s="41">
        <f t="shared" si="2"/>
        <v>353080</v>
      </c>
      <c r="M19" s="41">
        <f t="shared" si="2"/>
        <v>353080</v>
      </c>
      <c r="N19" s="41">
        <f t="shared" si="2"/>
        <v>353080</v>
      </c>
      <c r="O19" s="41"/>
    </row>
    <row r="20" spans="1:15">
      <c r="A20" s="5" t="s">
        <v>108</v>
      </c>
      <c r="B20" s="41">
        <f>B14+B17</f>
        <v>35437.5</v>
      </c>
      <c r="C20" s="41">
        <f t="shared" ref="C20:N20" si="3">C14+C17</f>
        <v>69300</v>
      </c>
      <c r="D20" s="41">
        <f t="shared" si="3"/>
        <v>53550</v>
      </c>
      <c r="E20" s="41">
        <f t="shared" si="3"/>
        <v>53550</v>
      </c>
      <c r="F20" s="41">
        <f t="shared" si="3"/>
        <v>53550</v>
      </c>
      <c r="G20" s="41">
        <f t="shared" si="3"/>
        <v>64260</v>
      </c>
      <c r="H20" s="41">
        <f t="shared" si="3"/>
        <v>69615</v>
      </c>
      <c r="I20" s="41">
        <f t="shared" si="3"/>
        <v>74970</v>
      </c>
      <c r="J20" s="41">
        <f t="shared" si="3"/>
        <v>74970</v>
      </c>
      <c r="K20" s="41">
        <f t="shared" si="3"/>
        <v>74970</v>
      </c>
      <c r="L20" s="41">
        <f t="shared" si="3"/>
        <v>74970</v>
      </c>
      <c r="M20" s="41">
        <f t="shared" si="3"/>
        <v>74970</v>
      </c>
      <c r="N20" s="41">
        <f t="shared" si="3"/>
        <v>74970</v>
      </c>
      <c r="O20" s="41"/>
    </row>
    <row r="21" spans="1:15" ht="28.8">
      <c r="A21" s="35" t="s">
        <v>115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</row>
    <row r="22" spans="1:15">
      <c r="A22" s="5" t="s">
        <v>104</v>
      </c>
      <c r="B22" s="41">
        <f>-Предположения!$B$84*C7</f>
        <v>-16250</v>
      </c>
      <c r="C22" s="41">
        <f>-Предположения!$B$84*D7</f>
        <v>-16250</v>
      </c>
      <c r="D22" s="41">
        <f>-Предположения!$B$84*E7</f>
        <v>-16250</v>
      </c>
      <c r="E22" s="41">
        <f>-Предположения!$B$84*F7</f>
        <v>-16250</v>
      </c>
      <c r="F22" s="41">
        <f>-Предположения!$B$84*G7</f>
        <v>-19500</v>
      </c>
      <c r="G22" s="41">
        <f>-Предположения!$B$84*H7</f>
        <v>-21125</v>
      </c>
      <c r="H22" s="41">
        <f>-Предположения!$B$84*I7</f>
        <v>-22750</v>
      </c>
      <c r="I22" s="41">
        <f>-Предположения!$B$84*J7</f>
        <v>-22750</v>
      </c>
      <c r="J22" s="41">
        <f>-Предположения!$B$84*K7</f>
        <v>-22750</v>
      </c>
      <c r="K22" s="41">
        <f>-Предположения!$B$84*L7</f>
        <v>-22750</v>
      </c>
      <c r="L22" s="41">
        <f>-Предположения!$B$84*M7</f>
        <v>-22750</v>
      </c>
      <c r="M22" s="41">
        <f>-Предположения!$B$84*N7</f>
        <v>-22750</v>
      </c>
      <c r="N22" s="41">
        <f>-Предположения!$B$84*N7</f>
        <v>-22750</v>
      </c>
      <c r="O22" s="41"/>
    </row>
    <row r="23" spans="1:15">
      <c r="A23" s="5" t="s">
        <v>105</v>
      </c>
      <c r="B23" s="41">
        <f>-Предположения!$B$85*C8</f>
        <v>0</v>
      </c>
      <c r="C23" s="41">
        <f>-Предположения!$B$85*D8</f>
        <v>0</v>
      </c>
      <c r="D23" s="41">
        <f>-Предположения!$B$85*E8</f>
        <v>0</v>
      </c>
      <c r="E23" s="41">
        <f>-Предположения!$B$85*F8</f>
        <v>0</v>
      </c>
      <c r="F23" s="41">
        <f>-Предположения!$B$85*G8</f>
        <v>0</v>
      </c>
      <c r="G23" s="41">
        <f>-Предположения!$B$85*H8</f>
        <v>0</v>
      </c>
      <c r="H23" s="41">
        <f>-Предположения!$B$85*I8</f>
        <v>0</v>
      </c>
      <c r="I23" s="41">
        <f>-Предположения!$B$85*J8</f>
        <v>0</v>
      </c>
      <c r="J23" s="41">
        <f>-Предположения!$B$85*K8</f>
        <v>0</v>
      </c>
      <c r="K23" s="41">
        <f>-Предположения!$B$85*L8</f>
        <v>0</v>
      </c>
      <c r="L23" s="41">
        <f>-Предположения!$B$85*M8</f>
        <v>0</v>
      </c>
      <c r="M23" s="41">
        <f>-Предположения!$B$85*N8</f>
        <v>0</v>
      </c>
      <c r="N23" s="41">
        <f>-Предположения!$B$85*N8</f>
        <v>0</v>
      </c>
      <c r="O23" s="41"/>
    </row>
    <row r="24" spans="1:15">
      <c r="A24" s="20" t="s">
        <v>116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</row>
    <row r="25" spans="1:15">
      <c r="A25" s="5" t="s">
        <v>107</v>
      </c>
      <c r="B25" s="41">
        <f>B19+B22</f>
        <v>182357.5</v>
      </c>
      <c r="C25" s="41">
        <f t="shared" ref="C25:N25" si="4">C19+C22</f>
        <v>299000</v>
      </c>
      <c r="D25" s="41">
        <f t="shared" si="4"/>
        <v>204425</v>
      </c>
      <c r="E25" s="41">
        <f t="shared" si="4"/>
        <v>235950</v>
      </c>
      <c r="F25" s="41">
        <f t="shared" si="4"/>
        <v>232700</v>
      </c>
      <c r="G25" s="41">
        <f t="shared" si="4"/>
        <v>281515</v>
      </c>
      <c r="H25" s="41">
        <f t="shared" si="4"/>
        <v>305110</v>
      </c>
      <c r="I25" s="41">
        <f t="shared" si="4"/>
        <v>330330</v>
      </c>
      <c r="J25" s="41">
        <f t="shared" si="4"/>
        <v>330330</v>
      </c>
      <c r="K25" s="41">
        <f t="shared" si="4"/>
        <v>330330</v>
      </c>
      <c r="L25" s="41">
        <f t="shared" si="4"/>
        <v>330330</v>
      </c>
      <c r="M25" s="41">
        <f t="shared" si="4"/>
        <v>330330</v>
      </c>
      <c r="N25" s="41">
        <f t="shared" si="4"/>
        <v>330330</v>
      </c>
      <c r="O25" s="41"/>
    </row>
    <row r="26" spans="1:15">
      <c r="A26" s="5" t="s">
        <v>108</v>
      </c>
      <c r="B26" s="41">
        <f>B20+B23</f>
        <v>35437.5</v>
      </c>
      <c r="C26" s="41">
        <f t="shared" ref="C26:N26" si="5">C20+C23</f>
        <v>69300</v>
      </c>
      <c r="D26" s="41">
        <f t="shared" si="5"/>
        <v>53550</v>
      </c>
      <c r="E26" s="41">
        <f t="shared" si="5"/>
        <v>53550</v>
      </c>
      <c r="F26" s="41">
        <f t="shared" si="5"/>
        <v>53550</v>
      </c>
      <c r="G26" s="41">
        <f t="shared" si="5"/>
        <v>64260</v>
      </c>
      <c r="H26" s="41">
        <f t="shared" si="5"/>
        <v>69615</v>
      </c>
      <c r="I26" s="41">
        <f t="shared" si="5"/>
        <v>74970</v>
      </c>
      <c r="J26" s="41">
        <f t="shared" si="5"/>
        <v>74970</v>
      </c>
      <c r="K26" s="41">
        <f t="shared" si="5"/>
        <v>74970</v>
      </c>
      <c r="L26" s="41">
        <f t="shared" si="5"/>
        <v>74970</v>
      </c>
      <c r="M26" s="41">
        <f t="shared" si="5"/>
        <v>74970</v>
      </c>
      <c r="N26" s="41">
        <f t="shared" si="5"/>
        <v>74970</v>
      </c>
      <c r="O26" s="41"/>
    </row>
    <row r="27" spans="1:1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5" s="44" customFormat="1" ht="15.6">
      <c r="A28" s="1" t="s">
        <v>131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</row>
    <row r="29" spans="1:15">
      <c r="A29" s="5" t="s">
        <v>132</v>
      </c>
      <c r="B29" s="41">
        <f>B25*Предположения!C103</f>
        <v>33736137.5</v>
      </c>
      <c r="C29" s="41">
        <f>C25*Предположения!D103</f>
        <v>65780000</v>
      </c>
      <c r="D29" s="41">
        <f>D25*Предположения!E103</f>
        <v>57239000</v>
      </c>
      <c r="E29" s="41">
        <f>E25*Предположения!F103</f>
        <v>53725815</v>
      </c>
      <c r="F29" s="41">
        <f>F25*Предположения!G103</f>
        <v>54840292.649999991</v>
      </c>
      <c r="G29" s="41">
        <f>G25*Предположения!H103</f>
        <v>68666556.767737493</v>
      </c>
      <c r="H29" s="41">
        <f>H25*Предположения!I103</f>
        <v>77026563.398552611</v>
      </c>
      <c r="I29" s="41">
        <f>I25*Предположения!J103</f>
        <v>86312251.815753043</v>
      </c>
      <c r="J29" s="41">
        <f>J25*Предположения!K103</f>
        <v>89333180.629304409</v>
      </c>
      <c r="K29" s="41">
        <f>K25*Предположения!L103</f>
        <v>92459841.951330066</v>
      </c>
      <c r="L29" s="41">
        <f>L25*Предположения!M103</f>
        <v>95695936.419626594</v>
      </c>
      <c r="M29" s="41">
        <f>M25*Предположения!N103</f>
        <v>99045294.194313511</v>
      </c>
      <c r="N29" s="41">
        <f>N25*Предположения!O103</f>
        <v>102511879.49111448</v>
      </c>
      <c r="O29" s="41"/>
    </row>
    <row r="30" spans="1:15">
      <c r="A30" s="5" t="s">
        <v>133</v>
      </c>
      <c r="B30" s="41">
        <f>B26*Предположения!C101</f>
        <v>645520995.00000012</v>
      </c>
      <c r="C30" s="41">
        <f>C26*Предположения!D101</f>
        <v>916495965</v>
      </c>
      <c r="D30" s="41">
        <f>D26*Предположения!E101</f>
        <v>1163961729</v>
      </c>
      <c r="E30" s="41">
        <f>E26*Предположения!F101</f>
        <v>979656703.22520006</v>
      </c>
      <c r="F30" s="41">
        <f>F26*Предположения!G101</f>
        <v>1049408260.4948345</v>
      </c>
      <c r="G30" s="41">
        <f>G26*Предположения!H101</f>
        <v>1348951354.3704803</v>
      </c>
      <c r="H30" s="41">
        <f>H26*Предположения!I101</f>
        <v>1565413081.7017965</v>
      </c>
      <c r="I30" s="41">
        <f>I26*Предположения!J101</f>
        <v>1805860531.0511925</v>
      </c>
      <c r="J30" s="41">
        <f>J26*Предположения!K101</f>
        <v>1934437800.8620374</v>
      </c>
      <c r="K30" s="41">
        <f>K26*Предположения!L101</f>
        <v>2072169772.2834146</v>
      </c>
      <c r="L30" s="41">
        <f>L26*Предположения!M101</f>
        <v>2219708260.069994</v>
      </c>
      <c r="M30" s="41">
        <f>M26*Предположения!N101</f>
        <v>2377751488.1869783</v>
      </c>
      <c r="N30" s="41">
        <f>N26*Предположения!O101</f>
        <v>2547047394.1458907</v>
      </c>
      <c r="O30" s="41"/>
    </row>
    <row r="31" spans="1:15">
      <c r="A31" s="5" t="s">
        <v>134</v>
      </c>
      <c r="B31" s="41">
        <f>B30/Предположения!C5</f>
        <v>21262500.000000004</v>
      </c>
      <c r="C31" s="41">
        <f>C30/Предположения!D5</f>
        <v>31185000</v>
      </c>
      <c r="D31" s="41">
        <f>D30/Предположения!E5</f>
        <v>37485000</v>
      </c>
      <c r="E31" s="41">
        <f>E30/Предположения!F5</f>
        <v>30630600</v>
      </c>
      <c r="F31" s="41">
        <f>F30/Предположения!G5</f>
        <v>31855824.000000007</v>
      </c>
      <c r="G31" s="41">
        <f>G30/Предположения!H5</f>
        <v>39756068.352000013</v>
      </c>
      <c r="H31" s="41">
        <f>H30/Предположения!I5</f>
        <v>44791837.009920008</v>
      </c>
      <c r="I31" s="41">
        <f>I30/Предположения!J5</f>
        <v>50166857.451110415</v>
      </c>
      <c r="J31" s="41">
        <f>J30/Предположения!K5</f>
        <v>52173531.749154828</v>
      </c>
      <c r="K31" s="41">
        <f>K30/Предположения!L5</f>
        <v>54260473.019121021</v>
      </c>
      <c r="L31" s="41">
        <f>L30/Предположения!M5</f>
        <v>56430891.93988587</v>
      </c>
      <c r="M31" s="41">
        <f>M30/Предположения!N5</f>
        <v>58688127.617481314</v>
      </c>
      <c r="N31" s="41">
        <f>N30/Предположения!O5</f>
        <v>61035652.72218056</v>
      </c>
      <c r="O31" s="41"/>
    </row>
    <row r="32" spans="1:15" s="1" customFormat="1" ht="15.6">
      <c r="A32" s="1" t="s">
        <v>135</v>
      </c>
      <c r="B32" s="42">
        <f>B31+B29</f>
        <v>54998637.5</v>
      </c>
      <c r="C32" s="42">
        <f t="shared" ref="C32:N32" si="6">C31+C29</f>
        <v>96965000</v>
      </c>
      <c r="D32" s="42">
        <f t="shared" si="6"/>
        <v>94724000</v>
      </c>
      <c r="E32" s="42">
        <f t="shared" si="6"/>
        <v>84356415</v>
      </c>
      <c r="F32" s="42">
        <f t="shared" si="6"/>
        <v>86696116.650000006</v>
      </c>
      <c r="G32" s="42">
        <f t="shared" si="6"/>
        <v>108422625.11973751</v>
      </c>
      <c r="H32" s="42">
        <f t="shared" si="6"/>
        <v>121818400.40847263</v>
      </c>
      <c r="I32" s="42">
        <f t="shared" si="6"/>
        <v>136479109.26686347</v>
      </c>
      <c r="J32" s="42">
        <f t="shared" si="6"/>
        <v>141506712.37845924</v>
      </c>
      <c r="K32" s="42">
        <f t="shared" si="6"/>
        <v>146720314.97045109</v>
      </c>
      <c r="L32" s="42">
        <f t="shared" si="6"/>
        <v>152126828.35951245</v>
      </c>
      <c r="M32" s="42">
        <f t="shared" si="6"/>
        <v>157733421.81179482</v>
      </c>
      <c r="N32" s="42">
        <f t="shared" si="6"/>
        <v>163547532.21329504</v>
      </c>
      <c r="O32" s="42"/>
    </row>
    <row r="33" spans="2:15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2:1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2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2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2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2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2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2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2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2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2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2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2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2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2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2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O142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A35" sqref="A35"/>
    </sheetView>
  </sheetViews>
  <sheetFormatPr defaultRowHeight="14.4"/>
  <cols>
    <col min="1" max="1" width="46.33203125" style="2" customWidth="1"/>
    <col min="2" max="17" width="14.77734375" style="2" customWidth="1"/>
    <col min="18" max="16384" width="8.88671875" style="2"/>
  </cols>
  <sheetData>
    <row r="1" spans="1:14">
      <c r="A1" s="303" t="s">
        <v>740</v>
      </c>
    </row>
    <row r="2" spans="1:14" ht="21">
      <c r="A2" s="92" t="s">
        <v>546</v>
      </c>
    </row>
    <row r="3" spans="1:14" ht="21">
      <c r="A3" s="92"/>
    </row>
    <row r="4" spans="1:14" s="37" customFormat="1" ht="15.6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ht="15.6">
      <c r="A6" s="124" t="s">
        <v>382</v>
      </c>
      <c r="B6" s="123">
        <f>SUM(B7:B11)</f>
        <v>-23654762.300984766</v>
      </c>
      <c r="C6" s="123">
        <f t="shared" ref="C6:N6" si="0">SUM(C7:C11)</f>
        <v>-31949784</v>
      </c>
      <c r="D6" s="123">
        <f t="shared" si="0"/>
        <v>-34119371</v>
      </c>
      <c r="E6" s="123">
        <f t="shared" si="0"/>
        <v>-36272411.236219995</v>
      </c>
      <c r="F6" s="123">
        <f t="shared" si="0"/>
        <v>-38480711.799495287</v>
      </c>
      <c r="G6" s="123">
        <f t="shared" si="0"/>
        <v>-40739455.817053385</v>
      </c>
      <c r="H6" s="123">
        <f t="shared" si="0"/>
        <v>-43044705.428911462</v>
      </c>
      <c r="I6" s="123">
        <f t="shared" si="0"/>
        <v>-45393790.041351408</v>
      </c>
      <c r="J6" s="123">
        <f t="shared" si="0"/>
        <v>-47785722.594303757</v>
      </c>
      <c r="K6" s="123">
        <f t="shared" si="0"/>
        <v>-50221638.457120448</v>
      </c>
      <c r="L6" s="123">
        <f t="shared" si="0"/>
        <v>-52705251.320644297</v>
      </c>
      <c r="M6" s="123">
        <f t="shared" si="0"/>
        <v>-55243320.56570328</v>
      </c>
      <c r="N6" s="123">
        <f t="shared" si="0"/>
        <v>-57846125.102610141</v>
      </c>
    </row>
    <row r="7" spans="1:14" s="126" customFormat="1" ht="13.8">
      <c r="A7" s="126" t="s">
        <v>443</v>
      </c>
      <c r="B7" s="127">
        <f>'Pr P&amp;L 2012'!B12</f>
        <v>-12540269.113149846</v>
      </c>
      <c r="C7" s="127">
        <f>'Pr P&amp;L 2012'!C12</f>
        <v>-16920359</v>
      </c>
      <c r="D7" s="127">
        <f>'Pr P&amp;L 2012'!D12</f>
        <v>-18625395</v>
      </c>
      <c r="E7" s="127">
        <f>D7*(1+Предположения!F8)</f>
        <v>-19742918.699999999</v>
      </c>
      <c r="F7" s="127">
        <f>E7*(1+Предположения!G8)</f>
        <v>-20828779.228499997</v>
      </c>
      <c r="G7" s="127">
        <f>F7*(1+Предположения!H8)</f>
        <v>-21870218.189924996</v>
      </c>
      <c r="H7" s="127">
        <f>G7*(1+Предположения!I8)</f>
        <v>-22854378.008471619</v>
      </c>
      <c r="I7" s="127">
        <f>H7*(1+Предположения!J8)</f>
        <v>-23768553.128810484</v>
      </c>
      <c r="J7" s="127">
        <f>I7*(1+Предположения!K8)</f>
        <v>-24600452.488318849</v>
      </c>
      <c r="K7" s="127">
        <f>J7*(1+Предположения!L8)</f>
        <v>-25338466.062968414</v>
      </c>
      <c r="L7" s="127">
        <f>K7*(1+Предположения!M8)</f>
        <v>-25971927.714542624</v>
      </c>
      <c r="M7" s="127">
        <f>L7*(1+Предположения!N8)</f>
        <v>-26491366.268833477</v>
      </c>
      <c r="N7" s="127">
        <f>M7*(1+Предположения!O8)</f>
        <v>-26888736.762865983</v>
      </c>
    </row>
    <row r="8" spans="1:14" s="126" customFormat="1" ht="27.6">
      <c r="A8" s="145" t="s">
        <v>444</v>
      </c>
      <c r="B8" s="127">
        <f>'Pr P&amp;L 2012'!B13</f>
        <v>-2922227.8483853769</v>
      </c>
      <c r="C8" s="127">
        <f>'Pr P&amp;L 2012'!C13</f>
        <v>-3996304</v>
      </c>
      <c r="D8" s="127">
        <f>'Pr P&amp;L 2012'!D13</f>
        <v>-4252934</v>
      </c>
      <c r="E8" s="127">
        <f>D8*(1+Предположения!F14)</f>
        <v>-4635698.0600000005</v>
      </c>
      <c r="F8" s="127">
        <f>E8*(1+Предположения!G14)</f>
        <v>-5052910.885400001</v>
      </c>
      <c r="G8" s="127">
        <f>F8*(1+Предположения!H14)</f>
        <v>-5507672.8650860013</v>
      </c>
      <c r="H8" s="127">
        <f>G8*(1+Предположения!I14)</f>
        <v>-6003363.422943742</v>
      </c>
      <c r="I8" s="127">
        <f>H8*(1+Предположения!J14)</f>
        <v>-6543666.131008679</v>
      </c>
      <c r="J8" s="127">
        <f>I8*(1+Предположения!K14)</f>
        <v>-7132596.0827994607</v>
      </c>
      <c r="K8" s="127">
        <f>J8*(1+Предположения!L14)</f>
        <v>-7774529.7302514128</v>
      </c>
      <c r="L8" s="127">
        <f>K8*(1+Предположения!M14)</f>
        <v>-8474237.4059740398</v>
      </c>
      <c r="M8" s="127">
        <f>L8*(1+Предположения!N14)</f>
        <v>-9236918.7725117039</v>
      </c>
      <c r="N8" s="127">
        <f>M8*(1+Предположения!O14)</f>
        <v>-10068241.462037759</v>
      </c>
    </row>
    <row r="9" spans="1:14" s="126" customFormat="1" ht="13.8">
      <c r="A9" s="126" t="s">
        <v>442</v>
      </c>
      <c r="B9" s="127">
        <f>'Pr P&amp;L 2012'!B14</f>
        <v>-4445244.648318043</v>
      </c>
      <c r="C9" s="127">
        <f>'Pr P&amp;L 2012'!C14</f>
        <v>-6026093</v>
      </c>
      <c r="D9" s="127">
        <f>'Pr P&amp;L 2012'!D14</f>
        <v>-6137702</v>
      </c>
      <c r="E9" s="127">
        <f>D9*(1+Предположения!F11)*Предположения!F5/Предположения!E5</f>
        <v>-6492522.5526200002</v>
      </c>
      <c r="F9" s="127">
        <f>E9*(1+Предположения!G11)*Предположения!G5/Предположения!F5</f>
        <v>-6881229.877845359</v>
      </c>
      <c r="G9" s="127">
        <f>F9*(1+Предположения!H11)*Предположения!H5/Предположения!G5</f>
        <v>-7307384.4441803219</v>
      </c>
      <c r="H9" s="127">
        <f>G9*(1+Предположения!I11)*Предположения!I5/Предположения!H5</f>
        <v>-7774983.9747634204</v>
      </c>
      <c r="I9" s="127">
        <f>H9*(1+Предположения!J11)*Предположения!J5/Предположения!I5</f>
        <v>-8288521.6662965445</v>
      </c>
      <c r="J9" s="127">
        <f>I9*(1+Предположения!K11)*Предположения!K5/Предположения!J5</f>
        <v>-8853052.8769880012</v>
      </c>
      <c r="K9" s="127">
        <f>J9*(1+Предположения!L11)*Предположения!L5/Предположения!K5</f>
        <v>-9474271.5973662492</v>
      </c>
      <c r="L9" s="127">
        <f>K9*(1+Предположения!M11)*Предположения!M5/Предположения!L5</f>
        <v>-10158598.234844012</v>
      </c>
      <c r="M9" s="127">
        <f>L9*(1+Предположения!N11)*Предположения!N5/Предположения!M5</f>
        <v>-10913280.497710573</v>
      </c>
      <c r="N9" s="127">
        <f>M9*(1+Предположения!O11)*Предположения!O5/Предположения!N5</f>
        <v>-11746509.463710776</v>
      </c>
    </row>
    <row r="10" spans="1:14" s="126" customFormat="1" ht="13.8">
      <c r="A10" s="126" t="s">
        <v>153</v>
      </c>
      <c r="B10" s="127">
        <f>'Pr P&amp;L 2012'!B15</f>
        <v>-2573562.6911314982</v>
      </c>
      <c r="C10" s="127">
        <f>'Pr P&amp;L 2012'!C15</f>
        <v>-3432417</v>
      </c>
      <c r="D10" s="127">
        <f>'Pr P&amp;L 2012'!D15</f>
        <v>-3775560</v>
      </c>
      <c r="E10" s="127">
        <f>D10*(1+Предположения!F11)*Предположения!F5/Предположения!E5</f>
        <v>-3993825.1235999996</v>
      </c>
      <c r="F10" s="127">
        <f>E10*(1+Предположения!G11)*Предположения!G5/Предположения!F5</f>
        <v>-4232935.4337499309</v>
      </c>
      <c r="G10" s="127">
        <f>F10*(1+Предположения!H11)*Предположения!H5/Предположения!G5</f>
        <v>-4495081.1251620641</v>
      </c>
      <c r="H10" s="127">
        <f>G10*(1+Предположения!I11)*Предположения!I5/Предположения!H5</f>
        <v>-4782721.366361184</v>
      </c>
      <c r="I10" s="127">
        <f>H10*(1+Предположения!J11)*Предположения!J5/Предположения!I5</f>
        <v>-5098620.1126093399</v>
      </c>
      <c r="J10" s="127">
        <f>I10*(1+Предположения!K11)*Предположения!K5/Предположения!J5</f>
        <v>-5445887.1284791613</v>
      </c>
      <c r="K10" s="127">
        <f>J10*(1+Предположения!L11)*Предположения!L5/Предположения!K5</f>
        <v>-5828025.0282845441</v>
      </c>
      <c r="L10" s="127">
        <f>K10*(1+Предположения!M11)*Предположения!M5/Предположения!L5</f>
        <v>-6248983.2760775359</v>
      </c>
      <c r="M10" s="127">
        <f>L10*(1+Предположения!N11)*Предположения!N5/Предположения!M5</f>
        <v>-6713220.2436573366</v>
      </c>
      <c r="N10" s="127">
        <f>M10*(1+Предположения!O11)*Предположения!O5/Предположения!N5</f>
        <v>-7225774.6092605731</v>
      </c>
    </row>
    <row r="11" spans="1:14" s="126" customFormat="1" ht="13.8">
      <c r="A11" s="126" t="s">
        <v>441</v>
      </c>
      <c r="B11" s="127">
        <f>'Pr P&amp;L 2012'!B16</f>
        <v>-1173458</v>
      </c>
      <c r="C11" s="127">
        <f>'Pr P&amp;L 2012'!C16</f>
        <v>-1574611</v>
      </c>
      <c r="D11" s="127">
        <f>'Pr P&amp;L 2012'!D16</f>
        <v>-1327780</v>
      </c>
      <c r="E11" s="127">
        <f>D11*(1+Предположения!F8)</f>
        <v>-1407446.8</v>
      </c>
      <c r="F11" s="127">
        <f>E11*(1+Предположения!G8)</f>
        <v>-1484856.3740000001</v>
      </c>
      <c r="G11" s="127">
        <f>F11*(1+Предположения!H8)</f>
        <v>-1559099.1927000002</v>
      </c>
      <c r="H11" s="127">
        <f>G11*(1+Предположения!I8)</f>
        <v>-1629258.6563715001</v>
      </c>
      <c r="I11" s="127">
        <f>H11*(1+Предположения!J8)</f>
        <v>-1694429.0026263602</v>
      </c>
      <c r="J11" s="127">
        <f>I11*(1+Предположения!K8)</f>
        <v>-1753734.0177182825</v>
      </c>
      <c r="K11" s="127">
        <f>J11*(1+Предположения!L8)</f>
        <v>-1806346.0382498309</v>
      </c>
      <c r="L11" s="127">
        <f>K11*(1+Предположения!M8)</f>
        <v>-1851504.6892060766</v>
      </c>
      <c r="M11" s="127">
        <f>L11*(1+Предположения!N8)</f>
        <v>-1888534.7829901981</v>
      </c>
      <c r="N11" s="127">
        <f>M11*(1+Предположения!O8)</f>
        <v>-1916862.8047350512</v>
      </c>
    </row>
    <row r="12" spans="1:14" ht="15.6">
      <c r="A12" s="44" t="s">
        <v>383</v>
      </c>
      <c r="B12" s="41">
        <f>'Pr P&amp;L 2012'!B17</f>
        <v>-4356386.4477792857</v>
      </c>
      <c r="C12" s="41">
        <f>'Pr P&amp;L 2012'!C17</f>
        <v>-6709653.2716322439</v>
      </c>
      <c r="D12" s="41">
        <f>'Pr P&amp;L 2012'!D17</f>
        <v>-6279910.0845694551</v>
      </c>
      <c r="E12" s="41">
        <f>-Предположения!F45*Предположения!F34</f>
        <v>-5965680.0803378252</v>
      </c>
      <c r="F12" s="41">
        <f>-Предположения!G45*Предположения!G34</f>
        <v>-5601271.6288285153</v>
      </c>
      <c r="G12" s="41">
        <f>-Предположения!H45*Предположения!H34</f>
        <v>-7267316.2351084882</v>
      </c>
      <c r="H12" s="41">
        <f>-Предположения!I45*Предположения!I34</f>
        <v>-7899804.5759587763</v>
      </c>
      <c r="I12" s="41">
        <f>-Предположения!J45*Предположения!J34</f>
        <v>-8508268.4882818144</v>
      </c>
      <c r="J12" s="41">
        <f>-Предположения!K45*Предположения!K34</f>
        <v>-8015222.5898407251</v>
      </c>
      <c r="K12" s="41">
        <f>-Предположения!L45*Предположения!L34</f>
        <v>-7480874.417184677</v>
      </c>
      <c r="L12" s="41">
        <f>-Предположения!M45*Предположения!M34</f>
        <v>-6912805.2433415959</v>
      </c>
      <c r="M12" s="41">
        <f>-Предположения!N45*Предположения!N34</f>
        <v>-6319099.042457141</v>
      </c>
      <c r="N12" s="41">
        <f>-Предположения!O45*Предположения!O34</f>
        <v>-5708150.5508927172</v>
      </c>
    </row>
    <row r="13" spans="1:14" ht="15.6">
      <c r="A13" s="44" t="s">
        <v>384</v>
      </c>
      <c r="B13" s="41">
        <f>'Pr P&amp;L 2012'!B18</f>
        <v>-2856583.3333333302</v>
      </c>
      <c r="C13" s="41">
        <f>'Pr P&amp;L 2012'!C18</f>
        <v>-3909778</v>
      </c>
      <c r="D13" s="41">
        <f>'Pr P&amp;L 2012'!D18</f>
        <v>-4302756</v>
      </c>
      <c r="E13" s="41">
        <f>D13*(1+Предположения!F8)</f>
        <v>-4560921.3600000003</v>
      </c>
      <c r="F13" s="41">
        <f>E13*(1+Предположения!G8)</f>
        <v>-4811772.0348000005</v>
      </c>
      <c r="G13" s="41">
        <f>F13*(1+Предположения!H8)</f>
        <v>-5052360.6365400003</v>
      </c>
      <c r="H13" s="41">
        <f>G13*(1+Предположения!I8)</f>
        <v>-5279716.8651842996</v>
      </c>
      <c r="I13" s="41">
        <f>H13*(1+Предположения!J8)</f>
        <v>-5490905.5397916716</v>
      </c>
      <c r="J13" s="41">
        <f>I13*(1+Предположения!K8)</f>
        <v>-5683087.2336843796</v>
      </c>
      <c r="K13" s="41">
        <f>J13*(1+Предположения!L8)</f>
        <v>-5853579.8506949116</v>
      </c>
      <c r="L13" s="41">
        <f>K13*(1+Предположения!M8)</f>
        <v>-5999919.3469622834</v>
      </c>
      <c r="M13" s="41">
        <f>L13*(1+Предположения!N8)</f>
        <v>-6119917.7339015296</v>
      </c>
      <c r="N13" s="41">
        <f>M13*(1+Предположения!O8)</f>
        <v>-6211716.4999100529</v>
      </c>
    </row>
    <row r="14" spans="1:14" ht="15.6">
      <c r="A14" s="44" t="s">
        <v>385</v>
      </c>
      <c r="B14" s="41">
        <f>'Pr P&amp;L 2012'!B19</f>
        <v>-856974.99999999907</v>
      </c>
      <c r="C14" s="41">
        <f>'Pr P&amp;L 2012'!C19</f>
        <v>-1172933.3999999999</v>
      </c>
      <c r="D14" s="41">
        <f>'Pr P&amp;L 2012'!D19</f>
        <v>-1290826.8</v>
      </c>
      <c r="E14" s="41">
        <f>E13*Предположения!F23</f>
        <v>-1368276.4080000001</v>
      </c>
      <c r="F14" s="41">
        <f>F13*Предположения!G23</f>
        <v>-1443531.6104400002</v>
      </c>
      <c r="G14" s="41">
        <f>G13*Предположения!H23</f>
        <v>-1515708.1909620001</v>
      </c>
      <c r="H14" s="41">
        <f>H13*Предположения!I23</f>
        <v>-1583915.0595552898</v>
      </c>
      <c r="I14" s="41">
        <f>I13*Предположения!J23</f>
        <v>-1647271.6619375015</v>
      </c>
      <c r="J14" s="41">
        <f>J13*Предположения!K23</f>
        <v>-1704926.1701053139</v>
      </c>
      <c r="K14" s="41">
        <f>K13*Предположения!L23</f>
        <v>-1756073.9552084734</v>
      </c>
      <c r="L14" s="41">
        <f>L13*Предположения!M23</f>
        <v>-1799975.804088685</v>
      </c>
      <c r="M14" s="41">
        <f>M13*Предположения!N23</f>
        <v>-1835975.3201704589</v>
      </c>
      <c r="N14" s="41">
        <f>N13*Предположения!O23</f>
        <v>-1863514.9499730158</v>
      </c>
    </row>
    <row r="15" spans="1:14" ht="15.6">
      <c r="A15" s="44" t="s">
        <v>386</v>
      </c>
      <c r="B15" s="41">
        <f>'Pr P&amp;L 2012'!B20</f>
        <v>-1140833.3333333333</v>
      </c>
      <c r="C15" s="41">
        <f>'Pr P&amp;L 2012'!C20</f>
        <v>-1521123</v>
      </c>
      <c r="D15" s="41">
        <f>'Pr P&amp;L 2012'!D20</f>
        <v>-1672565</v>
      </c>
      <c r="E15" s="41">
        <f>D15*(1+Предположения!F8)</f>
        <v>-1772918.9000000001</v>
      </c>
      <c r="F15" s="41">
        <f>E15*(1+Предположения!G8)</f>
        <v>-1870429.4395000001</v>
      </c>
      <c r="G15" s="41">
        <f>F15*(1+Предположения!H8)</f>
        <v>-1963950.9114750002</v>
      </c>
      <c r="H15" s="41">
        <f>G15*(1+Предположения!I8)</f>
        <v>-2052328.7024913752</v>
      </c>
      <c r="I15" s="41">
        <f>H15*(1+Предположения!J8)</f>
        <v>-2134421.8505910304</v>
      </c>
      <c r="J15" s="41">
        <f>I15*(1+Предположения!K8)</f>
        <v>-2209126.6153617161</v>
      </c>
      <c r="K15" s="41">
        <f>J15*(1+Предположения!L8)</f>
        <v>-2275400.4138225676</v>
      </c>
      <c r="L15" s="41">
        <f>K15*(1+Предположения!M8)</f>
        <v>-2332285.4241681313</v>
      </c>
      <c r="M15" s="41">
        <f>L15*(1+Предположения!N8)</f>
        <v>-2378931.1326514939</v>
      </c>
      <c r="N15" s="41">
        <f>M15*(1+Предположения!O8)</f>
        <v>-2414615.0996412667</v>
      </c>
    </row>
    <row r="16" spans="1:14" ht="15.6">
      <c r="A16" s="44" t="s">
        <v>387</v>
      </c>
      <c r="B16" s="41">
        <f>'Pr P&amp;L 2012'!B21</f>
        <v>-2085555.5555555555</v>
      </c>
      <c r="C16" s="41">
        <f>'Pr P&amp;L 2012'!C21</f>
        <v>-2780741</v>
      </c>
      <c r="D16" s="41">
        <f>'Pr P&amp;L 2012'!D21</f>
        <v>-2431876</v>
      </c>
      <c r="E16" s="41">
        <f>D16*(1+Предположения!F8)</f>
        <v>-2577788.56</v>
      </c>
      <c r="F16" s="41">
        <f>E16*(1+Предположения!G8)</f>
        <v>-2719566.9307999997</v>
      </c>
      <c r="G16" s="41">
        <f>F16*(1+Предположения!H8)</f>
        <v>-2855545.27734</v>
      </c>
      <c r="H16" s="41">
        <f>G16*(1+Предположения!I8)</f>
        <v>-2984044.8148202999</v>
      </c>
      <c r="I16" s="41">
        <f>H16*(1+Предположения!J8)</f>
        <v>-3103406.6074131122</v>
      </c>
      <c r="J16" s="41">
        <f>I16*(1+Предположения!K8)</f>
        <v>-3212025.8386725709</v>
      </c>
      <c r="K16" s="41">
        <f>J16*(1+Предположения!L8)</f>
        <v>-3308386.613832748</v>
      </c>
      <c r="L16" s="41">
        <f>K16*(1+Предположения!M8)</f>
        <v>-3391096.2791785663</v>
      </c>
      <c r="M16" s="41">
        <f>L16*(1+Предположения!N8)</f>
        <v>-3458918.2047621375</v>
      </c>
      <c r="N16" s="41">
        <f>M16*(1+Предположения!O8)</f>
        <v>-3510801.97783357</v>
      </c>
    </row>
    <row r="17" spans="1:14" ht="15.6">
      <c r="A17" s="124" t="s">
        <v>388</v>
      </c>
      <c r="B17" s="123">
        <f>B18+B19</f>
        <v>-2400643.2891078931</v>
      </c>
      <c r="C17" s="123">
        <f t="shared" ref="C17:N17" si="1">C18+C19</f>
        <v>-3460569.124502365</v>
      </c>
      <c r="D17" s="123">
        <f t="shared" si="1"/>
        <v>-3245045.2056912086</v>
      </c>
      <c r="E17" s="123">
        <f t="shared" si="1"/>
        <v>-1886356.477180867</v>
      </c>
      <c r="F17" s="123">
        <f t="shared" si="1"/>
        <v>-1789442.9686372506</v>
      </c>
      <c r="G17" s="123">
        <f t="shared" si="1"/>
        <v>-2193468.8440276524</v>
      </c>
      <c r="H17" s="123">
        <f t="shared" si="1"/>
        <v>-2369254.0915909465</v>
      </c>
      <c r="I17" s="123">
        <f t="shared" si="1"/>
        <v>-2524462.3353642817</v>
      </c>
      <c r="J17" s="123">
        <f t="shared" si="1"/>
        <v>-2437780.1325318348</v>
      </c>
      <c r="K17" s="123">
        <f t="shared" si="1"/>
        <v>-2347172.6262951558</v>
      </c>
      <c r="L17" s="123">
        <f t="shared" si="1"/>
        <v>-2278982.2201507781</v>
      </c>
      <c r="M17" s="123">
        <f t="shared" si="1"/>
        <v>-2220026.2007094179</v>
      </c>
      <c r="N17" s="123">
        <f t="shared" si="1"/>
        <v>-2170396.1100615901</v>
      </c>
    </row>
    <row r="18" spans="1:14" s="126" customFormat="1" ht="13.8">
      <c r="A18" s="126" t="s">
        <v>140</v>
      </c>
      <c r="B18" s="127">
        <f>'Pr P&amp;L 2012'!B23</f>
        <v>-1881861.750484196</v>
      </c>
      <c r="C18" s="127">
        <f>'Pr P&amp;L 2012'!C23</f>
        <v>-2746016.0604307735</v>
      </c>
      <c r="D18" s="127">
        <f>'Pr P&amp;L 2012'!D23</f>
        <v>-2568747.1965837288</v>
      </c>
      <c r="E18" s="127">
        <f>-Предположения!F170</f>
        <v>-1190360.4678081209</v>
      </c>
      <c r="F18" s="127">
        <f>-Предположения!G170</f>
        <v>-1076553.852240894</v>
      </c>
      <c r="G18" s="127">
        <f>-Предположения!H170</f>
        <v>-1321390.8958146337</v>
      </c>
      <c r="H18" s="127">
        <f>-Предположения!I170</f>
        <v>-1410744.4697079482</v>
      </c>
      <c r="I18" s="127">
        <f>-Предположения!J170</f>
        <v>-1482199.4455497591</v>
      </c>
      <c r="J18" s="127">
        <f>-Предположения!K170</f>
        <v>-1390457.7141259797</v>
      </c>
      <c r="K18" s="127">
        <f>-Предположения!L170</f>
        <v>-1299850.2078893008</v>
      </c>
      <c r="L18" s="127">
        <f>-Предположения!M170</f>
        <v>-1236743.8911546608</v>
      </c>
      <c r="M18" s="127">
        <f>-Предположения!N170</f>
        <v>-1187906.6904414182</v>
      </c>
      <c r="N18" s="127">
        <f>-Предположения!O170</f>
        <v>-1153307.4664479787</v>
      </c>
    </row>
    <row r="19" spans="1:14" s="126" customFormat="1" ht="13.8">
      <c r="A19" s="126" t="s">
        <v>141</v>
      </c>
      <c r="B19" s="127">
        <f>'Pr P&amp;L 2012'!B24</f>
        <v>-518781.5386236973</v>
      </c>
      <c r="C19" s="127">
        <f>'Pr P&amp;L 2012'!C24</f>
        <v>-714553.06407159148</v>
      </c>
      <c r="D19" s="127">
        <f>'Pr P&amp;L 2012'!D24</f>
        <v>-676298.00910747983</v>
      </c>
      <c r="E19" s="127">
        <f>-Предположения!F22*Предположения!F24*Предположения!F32/Предположения!F5</f>
        <v>-695996.00937274622</v>
      </c>
      <c r="F19" s="127">
        <f>-Предположения!G22*Предположения!G24*Предположения!G32/Предположения!G5</f>
        <v>-712889.11639635661</v>
      </c>
      <c r="G19" s="127">
        <f>-Предположения!H22*Предположения!H24*Предположения!H32/Предположения!H5</f>
        <v>-872077.94821301871</v>
      </c>
      <c r="H19" s="127">
        <f>-Предположения!I22*Предположения!I24*Предположения!I32/Предположения!I5</f>
        <v>-958509.62188299827</v>
      </c>
      <c r="I19" s="127">
        <f>-Предположения!J22*Предположения!J24*Предположения!J32/Предположения!J5</f>
        <v>-1042262.8898145226</v>
      </c>
      <c r="J19" s="127">
        <f>-Предположения!K22*Предположения!K24*Предположения!K32/Предположения!K5</f>
        <v>-1047322.4184058548</v>
      </c>
      <c r="K19" s="127">
        <f>-Предположения!L22*Предположения!L24*Предположения!L32/Предположения!L5</f>
        <v>-1047322.4184058548</v>
      </c>
      <c r="L19" s="127">
        <f>-Предположения!M22*Предположения!M24*Предположения!M32/Предположения!M5</f>
        <v>-1042238.3289961175</v>
      </c>
      <c r="M19" s="127">
        <f>-Предположения!N22*Предположения!N24*Предположения!N32/Предположения!N5</f>
        <v>-1032119.5102679998</v>
      </c>
      <c r="N19" s="127">
        <f>-Предположения!O22*Предположения!O24*Предположения!O32/Предположения!O5</f>
        <v>-1017088.6436136115</v>
      </c>
    </row>
    <row r="20" spans="1:14" ht="15.6">
      <c r="A20" s="44" t="s">
        <v>389</v>
      </c>
      <c r="B20" s="41">
        <f>'Pr P&amp;L 2012'!B25</f>
        <v>-5702611.3651036238</v>
      </c>
      <c r="C20" s="41">
        <f>'Pr P&amp;L 2012'!C25</f>
        <v>-10071260.789184164</v>
      </c>
      <c r="D20" s="41">
        <f>'Pr P&amp;L 2012'!D25</f>
        <v>-9534082.4138900898</v>
      </c>
      <c r="E20" s="41">
        <f>-Предположения!F168</f>
        <v>-9469707.6611063927</v>
      </c>
      <c r="F20" s="41">
        <f>-Предположения!G168</f>
        <v>-9044574.6329883896</v>
      </c>
      <c r="G20" s="41">
        <f>-Предположения!H168</f>
        <v>-9589536.4069914818</v>
      </c>
      <c r="H20" s="41">
        <f>-Предположения!I168</f>
        <v>-8755856.0255278815</v>
      </c>
      <c r="I20" s="41">
        <f>-Предположения!J168</f>
        <v>-10409641.848857421</v>
      </c>
      <c r="J20" s="41">
        <f>-Предположения!K168</f>
        <v>-10469752.659670712</v>
      </c>
      <c r="K20" s="41">
        <f>-Предположения!L168</f>
        <v>-10533300.516505521</v>
      </c>
      <c r="L20" s="41">
        <f>-Предположения!M168</f>
        <v>-8999320.6701692156</v>
      </c>
      <c r="M20" s="41">
        <f>-Предположения!N168</f>
        <v>-8666859.6818135008</v>
      </c>
      <c r="N20" s="41">
        <f>-Предположения!O168</f>
        <v>-8134987.8076180099</v>
      </c>
    </row>
    <row r="21" spans="1:14" ht="31.2">
      <c r="A21" s="97" t="s">
        <v>390</v>
      </c>
      <c r="B21" s="41">
        <f>'Pr P&amp;L 2012'!B26</f>
        <v>-94000</v>
      </c>
      <c r="C21" s="41">
        <f>'Pr P&amp;L 2012'!C26</f>
        <v>-347000</v>
      </c>
      <c r="D21" s="41">
        <f>'Pr P&amp;L 2012'!D26</f>
        <v>-276000</v>
      </c>
      <c r="E21" s="41">
        <f>'Pr Sales'!E32*Предположения!$B$171</f>
        <v>-245182.73460298555</v>
      </c>
      <c r="F21" s="41">
        <f>'Pr Sales'!F32*Предположения!$B$171</f>
        <v>-251983.10003698507</v>
      </c>
      <c r="G21" s="41">
        <f>'Pr Sales'!G32*Предположения!$B$171</f>
        <v>-315131.40665937017</v>
      </c>
      <c r="H21" s="41">
        <f>'Pr Sales'!H32*Предположения!$B$171</f>
        <v>-354066.35686344386</v>
      </c>
      <c r="I21" s="41">
        <f>'Pr Sales'!I32*Предположения!$B$171</f>
        <v>-396677.84869982029</v>
      </c>
      <c r="J21" s="41">
        <f>'Pr Sales'!J32*Предположения!$B$171</f>
        <v>-411290.62568186171</v>
      </c>
      <c r="K21" s="41">
        <f>'Pr Sales'!K32*Предположения!$B$171</f>
        <v>-426444.01194937644</v>
      </c>
      <c r="L21" s="41">
        <f>'Pr Sales'!L32*Предположения!$B$171</f>
        <v>-442158.09531100007</v>
      </c>
      <c r="M21" s="41">
        <f>'Pr Sales'!M32*Предположения!$B$171</f>
        <v>-458453.71330801648</v>
      </c>
      <c r="N21" s="41">
        <f>'Pr Sales'!N32*Предположения!$B$171</f>
        <v>-475352.48132137366</v>
      </c>
    </row>
    <row r="22" spans="1:14" s="44" customFormat="1" ht="18">
      <c r="A22" s="36" t="s">
        <v>391</v>
      </c>
      <c r="B22" s="42">
        <f>B6+B12+B13+B14+B15+B16+B17+B20+B21</f>
        <v>-43148350.625197791</v>
      </c>
      <c r="C22" s="42">
        <f t="shared" ref="C22:D22" si="2">C6+C12+C13+C14+C15+C16+C17+C20+C21</f>
        <v>-61922842.585318774</v>
      </c>
      <c r="D22" s="42">
        <f t="shared" si="2"/>
        <v>-63152432.504150748</v>
      </c>
      <c r="E22" s="42">
        <f t="shared" ref="E22" si="3">E6+E12+E13+E14+E15+E16+E17+E20+E21</f>
        <v>-64119243.417448066</v>
      </c>
      <c r="F22" s="42">
        <f t="shared" ref="F22" si="4">F6+F12+F13+F14+F15+F16+F17+F20+F21</f>
        <v>-66013284.145526432</v>
      </c>
      <c r="G22" s="42">
        <f t="shared" ref="G22" si="5">G6+G12+G13+G14+G15+G16+G17+G20+G21</f>
        <v>-71492473.726157382</v>
      </c>
      <c r="H22" s="42">
        <f t="shared" ref="H22" si="6">H6+H12+H13+H14+H15+H16+H17+H20+H21</f>
        <v>-74323691.920903772</v>
      </c>
      <c r="I22" s="42">
        <f t="shared" ref="I22" si="7">I6+I12+I13+I14+I15+I16+I17+I20+I21</f>
        <v>-79608846.222288072</v>
      </c>
      <c r="J22" s="42">
        <f t="shared" ref="J22" si="8">J6+J12+J13+J14+J15+J16+J17+J20+J21</f>
        <v>-81928934.459852874</v>
      </c>
      <c r="K22" s="42">
        <f t="shared" ref="K22" si="9">K6+K12+K13+K14+K15+K16+K17+K20+K21</f>
        <v>-84202870.862613872</v>
      </c>
      <c r="L22" s="42">
        <f t="shared" ref="L22" si="10">L6+L12+L13+L14+L15+L16+L17+L20+L21</f>
        <v>-84861794.404014543</v>
      </c>
      <c r="M22" s="42">
        <f t="shared" ref="M22" si="11">M6+M12+M13+M14+M15+M16+M17+M20+M21</f>
        <v>-86701501.59547697</v>
      </c>
      <c r="N22" s="42">
        <f t="shared" ref="N22" si="12">N6+N12+N13+N14+N15+N16+N17+N20+N21</f>
        <v>-88335660.57986173</v>
      </c>
    </row>
    <row r="23" spans="1:14" ht="15.6">
      <c r="A23" s="44" t="s">
        <v>392</v>
      </c>
      <c r="B23" s="41">
        <f>'Pr P&amp;L 2012'!B28</f>
        <v>-510756</v>
      </c>
      <c r="C23" s="41">
        <f>'Pr P&amp;L 2012'!C28</f>
        <v>-965342</v>
      </c>
      <c r="D23" s="41">
        <f>'Pr P&amp;L 2012'!D28</f>
        <v>-1051276</v>
      </c>
      <c r="E23" s="41">
        <f>-Предположения!F93</f>
        <v>-1081895.6893203885</v>
      </c>
      <c r="F23" s="41">
        <f>-Предположения!G93</f>
        <v>-1108155.2934301065</v>
      </c>
      <c r="G23" s="41">
        <f>-Предположения!H93</f>
        <v>-1129672.8719433125</v>
      </c>
      <c r="H23" s="41">
        <f>-Предположения!I93</f>
        <v>-1146124.4186220984</v>
      </c>
      <c r="I23" s="41">
        <f>-Предположения!J93</f>
        <v>-1157251.8401621189</v>
      </c>
      <c r="J23" s="41">
        <f>-Предположения!K93</f>
        <v>-1162869.5675415464</v>
      </c>
      <c r="K23" s="41">
        <f>-Предположения!L93</f>
        <v>-1162869.5675415464</v>
      </c>
      <c r="L23" s="41">
        <f>-Предположения!M93</f>
        <v>-1157224.5696408593</v>
      </c>
      <c r="M23" s="41">
        <f>-Предположения!N93</f>
        <v>-1145989.379644346</v>
      </c>
      <c r="N23" s="41">
        <f>-Предположения!O93</f>
        <v>-1129300.2139213702</v>
      </c>
    </row>
    <row r="24" spans="1:14" ht="15.6">
      <c r="A24" s="97" t="s">
        <v>395</v>
      </c>
      <c r="B24" s="123">
        <f t="shared" ref="B24:N24" si="13">SUM(B25:B27)</f>
        <v>-10206850</v>
      </c>
      <c r="C24" s="123">
        <f t="shared" si="13"/>
        <v>-18953800</v>
      </c>
      <c r="D24" s="123">
        <f t="shared" si="13"/>
        <v>-14684600</v>
      </c>
      <c r="E24" s="123">
        <f t="shared" si="13"/>
        <v>-17383331.067961164</v>
      </c>
      <c r="F24" s="123">
        <f t="shared" si="13"/>
        <v>-17565447.690640021</v>
      </c>
      <c r="G24" s="123">
        <f t="shared" si="13"/>
        <v>-21658954.974160977</v>
      </c>
      <c r="H24" s="123">
        <f t="shared" si="13"/>
        <v>-23815909.100390229</v>
      </c>
      <c r="I24" s="123">
        <f t="shared" si="13"/>
        <v>-26031759.707680356</v>
      </c>
      <c r="J24" s="123">
        <f t="shared" si="13"/>
        <v>-26158127.473251615</v>
      </c>
      <c r="K24" s="123">
        <f t="shared" si="13"/>
        <v>-26158127.473251615</v>
      </c>
      <c r="L24" s="123">
        <f t="shared" si="13"/>
        <v>-26031146.271925144</v>
      </c>
      <c r="M24" s="123">
        <f t="shared" si="13"/>
        <v>-25778416.69646956</v>
      </c>
      <c r="N24" s="123">
        <f t="shared" si="13"/>
        <v>-25403002.861084085</v>
      </c>
    </row>
    <row r="25" spans="1:14" s="126" customFormat="1">
      <c r="A25" s="126" t="s">
        <v>396</v>
      </c>
      <c r="B25" s="41">
        <f>-Предположения!C106*'Pr Sales'!B25</f>
        <v>-5470725</v>
      </c>
      <c r="C25" s="41">
        <f>-Предположения!D106*'Pr Sales'!C25</f>
        <v>-10465000</v>
      </c>
      <c r="D25" s="41">
        <f>-Предположения!E106*'Pr Sales'!D25</f>
        <v>-8177000</v>
      </c>
      <c r="E25" s="41">
        <f>-Предположения!F106*'Pr Sales'!E25</f>
        <v>-9712893.2038834952</v>
      </c>
      <c r="F25" s="41">
        <f>-Предположения!G106*'Pr Sales'!F25</f>
        <v>-9811609.3882552553</v>
      </c>
      <c r="G25" s="41">
        <f>-Предположения!H106*'Pr Sales'!G25</f>
        <v>-12100337.439268913</v>
      </c>
      <c r="H25" s="41">
        <f>-Предположения!I106*'Pr Sales'!H25</f>
        <v>-13305507.644644737</v>
      </c>
      <c r="I25" s="41">
        <f>-Предположения!J106*'Pr Sales'!I25</f>
        <v>-14545181.298184408</v>
      </c>
      <c r="J25" s="41">
        <f>-Предположения!K106*'Pr Sales'!J25</f>
        <v>-14615788.974389184</v>
      </c>
      <c r="K25" s="41">
        <f>-Предположения!L106*'Pr Sales'!K25</f>
        <v>-14615788.974389184</v>
      </c>
      <c r="L25" s="41">
        <f>-Предположения!M106*'Pr Sales'!L25</f>
        <v>-14544838.542474672</v>
      </c>
      <c r="M25" s="41">
        <f>-Предположения!N106*'Pr Sales'!M25</f>
        <v>-14403626.51779045</v>
      </c>
      <c r="N25" s="41">
        <f>-Предположения!O106*'Pr Sales'!N25</f>
        <v>-14193864.966560494</v>
      </c>
    </row>
    <row r="26" spans="1:14" s="126" customFormat="1">
      <c r="A26" s="126" t="s">
        <v>397</v>
      </c>
      <c r="B26" s="41">
        <f>-Предположения!C107*'Pr Sales'!B26</f>
        <v>-177187.5</v>
      </c>
      <c r="C26" s="41">
        <f>-Предположения!D107*'Pr Sales'!C26</f>
        <v>-415800</v>
      </c>
      <c r="D26" s="41">
        <f>-Предположения!E107*'Pr Sales'!D26</f>
        <v>-374850</v>
      </c>
      <c r="E26" s="41">
        <f>-Предположения!F107*'Pr Sales'!E26</f>
        <v>-385767.96116504853</v>
      </c>
      <c r="F26" s="41">
        <f>-Предположения!G107*'Pr Sales'!F26</f>
        <v>-395131.26119332638</v>
      </c>
      <c r="G26" s="41">
        <f>-Предположения!H107*'Pr Sales'!G26</f>
        <v>-483364.4554403798</v>
      </c>
      <c r="H26" s="41">
        <f>-Предположения!I107*'Pr Sales'!H26</f>
        <v>-531270.7222619385</v>
      </c>
      <c r="I26" s="41">
        <f>-Предположения!J107*'Pr Sales'!I26</f>
        <v>-577692.43585764186</v>
      </c>
      <c r="J26" s="41">
        <f>-Предположения!K107*'Pr Sales'!J26</f>
        <v>-580496.76807054307</v>
      </c>
      <c r="K26" s="41">
        <f>-Предположения!L107*'Pr Sales'!K26</f>
        <v>-580496.76807054295</v>
      </c>
      <c r="L26" s="41">
        <f>-Предположения!M107*'Pr Sales'!L26</f>
        <v>-577678.82259447221</v>
      </c>
      <c r="M26" s="41">
        <f>-Предположения!N107*'Pr Sales'!M26</f>
        <v>-572070.29033627349</v>
      </c>
      <c r="N26" s="41">
        <f>-Предположения!O107*'Pr Sales'!N26</f>
        <v>-563739.169603221</v>
      </c>
    </row>
    <row r="27" spans="1:14" s="45" customFormat="1">
      <c r="A27" s="126" t="s">
        <v>398</v>
      </c>
      <c r="B27" s="41">
        <f>-Предположения!C109*'Pr Sales'!B25</f>
        <v>-4558937.5</v>
      </c>
      <c r="C27" s="41">
        <f>-Предположения!D109*'Pr Sales'!C25</f>
        <v>-8073000</v>
      </c>
      <c r="D27" s="41">
        <f>-Предположения!E109*'Pr Sales'!D25</f>
        <v>-6132750</v>
      </c>
      <c r="E27" s="41">
        <f>-Предположения!F109*'Pr Sales'!E25</f>
        <v>-7284669.9029126214</v>
      </c>
      <c r="F27" s="41">
        <f>-Предположения!G109*'Pr Sales'!F25</f>
        <v>-7358707.041191441</v>
      </c>
      <c r="G27" s="41">
        <f>-Предположения!H109*'Pr Sales'!G25</f>
        <v>-9075253.0794516839</v>
      </c>
      <c r="H27" s="41">
        <f>-Предположения!I109*'Pr Sales'!H25</f>
        <v>-9979130.7334835529</v>
      </c>
      <c r="I27" s="41">
        <f>-Предположения!J109*'Pr Sales'!I25</f>
        <v>-10908885.973638305</v>
      </c>
      <c r="J27" s="41">
        <f>-Предположения!K109*'Pr Sales'!J25</f>
        <v>-10961841.730791887</v>
      </c>
      <c r="K27" s="41">
        <f>-Предположения!L109*'Pr Sales'!K25</f>
        <v>-10961841.730791887</v>
      </c>
      <c r="L27" s="41">
        <f>-Предположения!M109*'Pr Sales'!L25</f>
        <v>-10908628.906856002</v>
      </c>
      <c r="M27" s="41">
        <f>-Предположения!N109*'Pr Sales'!M25</f>
        <v>-10802719.888342837</v>
      </c>
      <c r="N27" s="41">
        <f>-Предположения!O109*'Pr Sales'!N25</f>
        <v>-10645398.72492037</v>
      </c>
    </row>
    <row r="28" spans="1:14" ht="15.6">
      <c r="A28" s="44" t="s">
        <v>393</v>
      </c>
      <c r="B28" s="41">
        <f>'Pr P&amp;L 2012'!B30</f>
        <v>0</v>
      </c>
      <c r="C28" s="41">
        <f>'Pr P&amp;L 2012'!C30</f>
        <v>280717.27517098235</v>
      </c>
      <c r="D28" s="41">
        <f>'Pr P&amp;L 2012'!D30</f>
        <v>221407.08631494874</v>
      </c>
      <c r="E28" s="41">
        <f>'Pr Fin'!E19</f>
        <v>146171.6686351118</v>
      </c>
      <c r="F28" s="41">
        <f>'Pr Fin'!F19</f>
        <v>100174.75863057347</v>
      </c>
      <c r="G28" s="41">
        <f>'Pr Fin'!G19</f>
        <v>56733.277541586918</v>
      </c>
      <c r="H28" s="41">
        <f>'Pr Fin'!H19</f>
        <v>39343.465701516587</v>
      </c>
      <c r="I28" s="41">
        <f>'Pr Fin'!I19</f>
        <v>0</v>
      </c>
      <c r="J28" s="41">
        <f>'Pr Fin'!J19</f>
        <v>0</v>
      </c>
      <c r="K28" s="41">
        <f>'Pr Fin'!K19</f>
        <v>0</v>
      </c>
      <c r="L28" s="41">
        <f>'Pr Fin'!L19</f>
        <v>0</v>
      </c>
      <c r="M28" s="41">
        <f>'Pr Fin'!M19</f>
        <v>0</v>
      </c>
      <c r="N28" s="41">
        <f>'Pr Fin'!N19</f>
        <v>0</v>
      </c>
    </row>
    <row r="29" spans="1:14" ht="15.6">
      <c r="A29" s="44" t="s">
        <v>394</v>
      </c>
      <c r="B29" s="41">
        <f>'Pr P&amp;L 2012'!B31</f>
        <v>-245673</v>
      </c>
      <c r="C29" s="41">
        <f>'Pr P&amp;L 2012'!C31</f>
        <v>-139785</v>
      </c>
      <c r="D29" s="41">
        <f>'Pr P&amp;L 2012'!D31</f>
        <v>-356972</v>
      </c>
      <c r="E29" s="41">
        <f>'Pr Sales'!E32*Предположения!$B$172</f>
        <v>-253878.68570612906</v>
      </c>
      <c r="F29" s="41">
        <f>'Pr Sales'!F32*Предположения!$B$172</f>
        <v>-260920.24122797602</v>
      </c>
      <c r="G29" s="41">
        <f>'Pr Sales'!G32*Предположения!$B$172</f>
        <v>-326308.24302108254</v>
      </c>
      <c r="H29" s="41">
        <f>'Pr Sales'!H32*Предположения!$B$172</f>
        <v>-366624.10784675955</v>
      </c>
      <c r="I29" s="41">
        <f>'Pr Sales'!I32*Предположения!$B$172</f>
        <v>-410746.91103236756</v>
      </c>
      <c r="J29" s="41">
        <f>'Pr Sales'!J32*Предположения!$B$172</f>
        <v>-425877.96265688218</v>
      </c>
      <c r="K29" s="41">
        <f>'Pr Sales'!K32*Предположения!$B$172</f>
        <v>-441568.7974777901</v>
      </c>
      <c r="L29" s="41">
        <f>'Pr Sales'!L32*Предположения!$B$172</f>
        <v>-457840.21576254634</v>
      </c>
      <c r="M29" s="41">
        <f>'Pr Sales'!M32*Предположения!$B$172</f>
        <v>-474713.79410219059</v>
      </c>
      <c r="N29" s="41">
        <f>'Pr Sales'!N32*Предположения!$B$172</f>
        <v>-492211.91451524053</v>
      </c>
    </row>
    <row r="30" spans="1:14" ht="18">
      <c r="A30" s="36" t="s">
        <v>399</v>
      </c>
      <c r="B30" s="42">
        <f>B22+B23+B24+B28+B29</f>
        <v>-54111629.625197791</v>
      </c>
      <c r="C30" s="42">
        <f t="shared" ref="C30:N30" si="14">C22+C23+C24+C28+C29</f>
        <v>-81701052.310147792</v>
      </c>
      <c r="D30" s="42">
        <f t="shared" si="14"/>
        <v>-79023873.417835802</v>
      </c>
      <c r="E30" s="42">
        <f t="shared" si="14"/>
        <v>-82692177.191800624</v>
      </c>
      <c r="F30" s="42">
        <f t="shared" si="14"/>
        <v>-84847632.612193957</v>
      </c>
      <c r="G30" s="42">
        <f t="shared" si="14"/>
        <v>-94550676.537741154</v>
      </c>
      <c r="H30" s="42">
        <f t="shared" si="14"/>
        <v>-99613006.082061335</v>
      </c>
      <c r="I30" s="42">
        <f t="shared" si="14"/>
        <v>-107208604.68116291</v>
      </c>
      <c r="J30" s="42">
        <f t="shared" si="14"/>
        <v>-109675809.46330291</v>
      </c>
      <c r="K30" s="42">
        <f t="shared" si="14"/>
        <v>-111965436.70088482</v>
      </c>
      <c r="L30" s="42">
        <f t="shared" si="14"/>
        <v>-112508005.46134309</v>
      </c>
      <c r="M30" s="42">
        <f t="shared" si="14"/>
        <v>-114100621.46569307</v>
      </c>
      <c r="N30" s="42">
        <f t="shared" si="14"/>
        <v>-115360175.56938243</v>
      </c>
    </row>
    <row r="33" spans="1:15" ht="28.8">
      <c r="A33" s="5" t="s">
        <v>792</v>
      </c>
    </row>
    <row r="34" spans="1:15" ht="28.8">
      <c r="A34" s="5" t="s">
        <v>793</v>
      </c>
    </row>
    <row r="35" spans="1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1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1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1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O40"/>
  <sheetViews>
    <sheetView workbookViewId="0">
      <pane xSplit="2" ySplit="5" topLeftCell="C6" activePane="bottomRight" state="frozen"/>
      <selection pane="topRight" activeCell="C1" sqref="C1"/>
      <selection pane="bottomLeft" activeCell="A5" sqref="A5"/>
      <selection pane="bottomRight"/>
    </sheetView>
  </sheetViews>
  <sheetFormatPr defaultRowHeight="14.4"/>
  <cols>
    <col min="1" max="1" width="55.33203125" customWidth="1"/>
    <col min="2" max="2" width="18.44140625" customWidth="1"/>
    <col min="3" max="16" width="14.77734375" customWidth="1"/>
  </cols>
  <sheetData>
    <row r="1" spans="1:15">
      <c r="A1" s="303" t="s">
        <v>740</v>
      </c>
    </row>
    <row r="2" spans="1:15" ht="21">
      <c r="A2" s="80" t="s">
        <v>183</v>
      </c>
      <c r="B2" s="80"/>
    </row>
    <row r="3" spans="1:15" ht="21">
      <c r="A3" s="80" t="s">
        <v>220</v>
      </c>
      <c r="B3" s="80"/>
    </row>
    <row r="4" spans="1:15" ht="21">
      <c r="A4" s="47" t="s">
        <v>310</v>
      </c>
      <c r="B4" s="80"/>
    </row>
    <row r="5" spans="1:15" ht="15.6">
      <c r="C5" s="4">
        <v>2010</v>
      </c>
      <c r="D5" s="4">
        <v>2011</v>
      </c>
      <c r="E5" s="21">
        <v>2012</v>
      </c>
      <c r="F5" s="4">
        <v>2013</v>
      </c>
      <c r="G5" s="4">
        <v>2014</v>
      </c>
      <c r="H5" s="4">
        <v>2015</v>
      </c>
      <c r="I5" s="4">
        <v>2016</v>
      </c>
      <c r="J5" s="4">
        <v>2017</v>
      </c>
      <c r="K5" s="4">
        <v>2018</v>
      </c>
      <c r="L5" s="4">
        <v>2019</v>
      </c>
      <c r="M5" s="4">
        <v>2020</v>
      </c>
      <c r="N5" s="4">
        <v>2021</v>
      </c>
      <c r="O5" s="4">
        <v>2022</v>
      </c>
    </row>
    <row r="6" spans="1:15" ht="15.6">
      <c r="A6" s="35" t="s">
        <v>174</v>
      </c>
      <c r="B6" s="81">
        <f>Предположения!B86</f>
        <v>300</v>
      </c>
      <c r="D6" s="4"/>
      <c r="E6" s="21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ht="28.8">
      <c r="A7" s="5" t="s">
        <v>178</v>
      </c>
      <c r="B7" s="5"/>
      <c r="C7" s="75">
        <f>Предположения!C87</f>
        <v>0</v>
      </c>
      <c r="D7" s="75">
        <f>Предположения!D87</f>
        <v>7500000</v>
      </c>
      <c r="E7" s="75">
        <f>Предположения!E87</f>
        <v>0</v>
      </c>
      <c r="F7" s="75">
        <f>Предположения!F87</f>
        <v>0</v>
      </c>
      <c r="G7" s="75">
        <f>Предположения!G87</f>
        <v>0</v>
      </c>
      <c r="H7" s="75">
        <f>Предположения!H87</f>
        <v>6000000</v>
      </c>
      <c r="I7" s="75">
        <f>Предположения!I87</f>
        <v>3000000</v>
      </c>
      <c r="J7" s="75">
        <f>Предположения!J87</f>
        <v>3000000</v>
      </c>
      <c r="K7" s="75">
        <f>Предположения!K87</f>
        <v>0</v>
      </c>
      <c r="L7" s="75">
        <f>Предположения!L87</f>
        <v>0</v>
      </c>
      <c r="M7" s="75">
        <f>Предположения!M87</f>
        <v>0</v>
      </c>
      <c r="N7" s="75">
        <f>Предположения!N87</f>
        <v>0</v>
      </c>
      <c r="O7" s="75">
        <f>Предположения!O87</f>
        <v>0</v>
      </c>
    </row>
    <row r="8" spans="1:15" ht="15.6">
      <c r="A8" s="5" t="s">
        <v>175</v>
      </c>
      <c r="B8" s="82">
        <f>Предположения!B88</f>
        <v>5</v>
      </c>
      <c r="D8" s="4"/>
      <c r="E8" s="21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>
      <c r="A9" s="5" t="s">
        <v>176</v>
      </c>
      <c r="B9" s="83">
        <f>Предположения!B89</f>
        <v>0.08</v>
      </c>
    </row>
    <row r="10" spans="1:15" ht="28.8">
      <c r="A10" s="5" t="s">
        <v>177</v>
      </c>
      <c r="B10" s="5"/>
      <c r="C10" s="19"/>
    </row>
    <row r="11" spans="1:15">
      <c r="A11" s="5" t="s">
        <v>184</v>
      </c>
    </row>
    <row r="12" spans="1:15" ht="43.2">
      <c r="A12" s="20" t="s">
        <v>522</v>
      </c>
      <c r="B12" s="20"/>
      <c r="C12" s="77">
        <f t="shared" ref="C12:O12" si="0">SUM(C13:C25)</f>
        <v>9000000</v>
      </c>
      <c r="D12" s="77">
        <f t="shared" si="0"/>
        <v>12750000</v>
      </c>
      <c r="E12" s="77">
        <f t="shared" si="0"/>
        <v>9000000</v>
      </c>
      <c r="F12" s="77">
        <f t="shared" si="0"/>
        <v>5250000</v>
      </c>
      <c r="G12" s="77">
        <f t="shared" si="0"/>
        <v>1499999.9999999998</v>
      </c>
      <c r="H12" s="77">
        <f t="shared" si="0"/>
        <v>4800000</v>
      </c>
      <c r="I12" s="77">
        <f t="shared" si="0"/>
        <v>6000000</v>
      </c>
      <c r="J12" s="77">
        <f t="shared" si="0"/>
        <v>6600000</v>
      </c>
      <c r="K12" s="77">
        <f t="shared" si="0"/>
        <v>4200000</v>
      </c>
      <c r="L12" s="77">
        <f t="shared" si="0"/>
        <v>1800000</v>
      </c>
      <c r="M12" s="77">
        <f t="shared" si="0"/>
        <v>599999.99999999988</v>
      </c>
      <c r="N12" s="77">
        <f t="shared" si="0"/>
        <v>0</v>
      </c>
      <c r="O12" s="77">
        <f t="shared" si="0"/>
        <v>0</v>
      </c>
    </row>
    <row r="13" spans="1:15">
      <c r="A13" s="5">
        <v>2010</v>
      </c>
      <c r="B13" s="70">
        <f>B36</f>
        <v>11250000</v>
      </c>
      <c r="C13" s="75">
        <f t="shared" ref="C13:O13" si="1">IF($B$13*(1-(1+C5-$A$13)/$B$8)&lt;0,0,$B$13*(1-(1+C5-$A$13)/$B$8))</f>
        <v>9000000</v>
      </c>
      <c r="D13" s="75">
        <f t="shared" si="1"/>
        <v>6750000</v>
      </c>
      <c r="E13" s="75">
        <f t="shared" si="1"/>
        <v>4500000</v>
      </c>
      <c r="F13" s="75">
        <f t="shared" si="1"/>
        <v>2249999.9999999995</v>
      </c>
      <c r="G13" s="75">
        <f t="shared" si="1"/>
        <v>0</v>
      </c>
      <c r="H13" s="75">
        <f t="shared" si="1"/>
        <v>0</v>
      </c>
      <c r="I13" s="75">
        <f t="shared" si="1"/>
        <v>0</v>
      </c>
      <c r="J13" s="75">
        <f t="shared" si="1"/>
        <v>0</v>
      </c>
      <c r="K13" s="75">
        <f t="shared" si="1"/>
        <v>0</v>
      </c>
      <c r="L13" s="75">
        <f t="shared" si="1"/>
        <v>0</v>
      </c>
      <c r="M13" s="75">
        <f t="shared" si="1"/>
        <v>0</v>
      </c>
      <c r="N13" s="75">
        <f t="shared" si="1"/>
        <v>0</v>
      </c>
      <c r="O13" s="75">
        <f t="shared" si="1"/>
        <v>0</v>
      </c>
    </row>
    <row r="14" spans="1:15">
      <c r="A14" s="5">
        <v>2011</v>
      </c>
      <c r="B14" s="70">
        <f>D7</f>
        <v>7500000</v>
      </c>
      <c r="C14" s="75"/>
      <c r="D14" s="75">
        <f t="shared" ref="D14:O14" si="2">IF($B$14*(1-(1+D5-$A$14)/$B$8)&lt;0,0,$B$14*(1-(1+D5-$A$14)/$B$8))</f>
        <v>6000000</v>
      </c>
      <c r="E14" s="75">
        <f t="shared" si="2"/>
        <v>4500000</v>
      </c>
      <c r="F14" s="75">
        <f t="shared" si="2"/>
        <v>3000000</v>
      </c>
      <c r="G14" s="75">
        <f t="shared" si="2"/>
        <v>1499999.9999999998</v>
      </c>
      <c r="H14" s="75">
        <f t="shared" si="2"/>
        <v>0</v>
      </c>
      <c r="I14" s="75">
        <f t="shared" si="2"/>
        <v>0</v>
      </c>
      <c r="J14" s="75">
        <f t="shared" si="2"/>
        <v>0</v>
      </c>
      <c r="K14" s="75">
        <f t="shared" si="2"/>
        <v>0</v>
      </c>
      <c r="L14" s="75">
        <f t="shared" si="2"/>
        <v>0</v>
      </c>
      <c r="M14" s="75">
        <f t="shared" si="2"/>
        <v>0</v>
      </c>
      <c r="N14" s="75">
        <f t="shared" si="2"/>
        <v>0</v>
      </c>
      <c r="O14" s="75">
        <f t="shared" si="2"/>
        <v>0</v>
      </c>
    </row>
    <row r="15" spans="1:15">
      <c r="A15" s="5">
        <v>2012</v>
      </c>
      <c r="B15" s="70">
        <f>E7</f>
        <v>0</v>
      </c>
      <c r="C15" s="75"/>
      <c r="D15" s="75"/>
      <c r="E15" s="75">
        <f t="shared" ref="E15:O15" si="3">IF($B$15*(1-(1+E5-$A$15)/$B$8)&lt;0,0,$B$15*(1-(1+E5-$A$15)/$B$8))</f>
        <v>0</v>
      </c>
      <c r="F15" s="75">
        <f t="shared" si="3"/>
        <v>0</v>
      </c>
      <c r="G15" s="75">
        <f t="shared" si="3"/>
        <v>0</v>
      </c>
      <c r="H15" s="75">
        <f t="shared" si="3"/>
        <v>0</v>
      </c>
      <c r="I15" s="75">
        <f t="shared" si="3"/>
        <v>0</v>
      </c>
      <c r="J15" s="75">
        <f t="shared" si="3"/>
        <v>0</v>
      </c>
      <c r="K15" s="75">
        <f t="shared" si="3"/>
        <v>0</v>
      </c>
      <c r="L15" s="75">
        <f t="shared" si="3"/>
        <v>0</v>
      </c>
      <c r="M15" s="75">
        <f t="shared" si="3"/>
        <v>0</v>
      </c>
      <c r="N15" s="75">
        <f t="shared" si="3"/>
        <v>0</v>
      </c>
      <c r="O15" s="75">
        <f t="shared" si="3"/>
        <v>0</v>
      </c>
    </row>
    <row r="16" spans="1:15">
      <c r="A16" s="5">
        <v>2013</v>
      </c>
      <c r="B16" s="70">
        <f>F7</f>
        <v>0</v>
      </c>
      <c r="C16" s="75"/>
      <c r="D16" s="75"/>
      <c r="E16" s="79"/>
      <c r="F16" s="75">
        <f t="shared" ref="F16:O16" si="4">IF($B$16*(1-(1+F5-$A$16)/$B$8)&lt;0,0,$B$16*(1-(1+F5-$A$16)/$B$8))</f>
        <v>0</v>
      </c>
      <c r="G16" s="75">
        <f t="shared" si="4"/>
        <v>0</v>
      </c>
      <c r="H16" s="75">
        <f t="shared" si="4"/>
        <v>0</v>
      </c>
      <c r="I16" s="75">
        <f t="shared" si="4"/>
        <v>0</v>
      </c>
      <c r="J16" s="75">
        <f t="shared" si="4"/>
        <v>0</v>
      </c>
      <c r="K16" s="75">
        <f t="shared" si="4"/>
        <v>0</v>
      </c>
      <c r="L16" s="75">
        <f t="shared" si="4"/>
        <v>0</v>
      </c>
      <c r="M16" s="75">
        <f t="shared" si="4"/>
        <v>0</v>
      </c>
      <c r="N16" s="75">
        <f t="shared" si="4"/>
        <v>0</v>
      </c>
      <c r="O16" s="75">
        <f t="shared" si="4"/>
        <v>0</v>
      </c>
    </row>
    <row r="17" spans="1:15">
      <c r="A17" s="5">
        <v>2014</v>
      </c>
      <c r="B17" s="70">
        <f>G7</f>
        <v>0</v>
      </c>
      <c r="C17" s="75"/>
      <c r="D17" s="75"/>
      <c r="E17" s="79"/>
      <c r="F17" s="75"/>
      <c r="G17" s="75">
        <f t="shared" ref="G17:O17" si="5">IF($B$17*(1-(1+G5-$A$17)/$B$8)&lt;0,0,$B$17*(1-(1+G5-$A$17)/$B$8))</f>
        <v>0</v>
      </c>
      <c r="H17" s="75">
        <f t="shared" si="5"/>
        <v>0</v>
      </c>
      <c r="I17" s="75">
        <f t="shared" si="5"/>
        <v>0</v>
      </c>
      <c r="J17" s="75">
        <f t="shared" si="5"/>
        <v>0</v>
      </c>
      <c r="K17" s="75">
        <f t="shared" si="5"/>
        <v>0</v>
      </c>
      <c r="L17" s="75">
        <f t="shared" si="5"/>
        <v>0</v>
      </c>
      <c r="M17" s="75">
        <f t="shared" si="5"/>
        <v>0</v>
      </c>
      <c r="N17" s="75">
        <f t="shared" si="5"/>
        <v>0</v>
      </c>
      <c r="O17" s="75">
        <f t="shared" si="5"/>
        <v>0</v>
      </c>
    </row>
    <row r="18" spans="1:15">
      <c r="A18" s="5">
        <v>2015</v>
      </c>
      <c r="B18" s="70">
        <f>H7</f>
        <v>6000000</v>
      </c>
      <c r="C18" s="75"/>
      <c r="D18" s="75"/>
      <c r="E18" s="79"/>
      <c r="F18" s="75"/>
      <c r="G18" s="75"/>
      <c r="H18" s="75">
        <f t="shared" ref="H18:O18" si="6">IF($B$18*(1-(1+H5-$A$18)/$B$8)&lt;0,0,$B$18*(1-(1+H5-$A$18)/$B$8))</f>
        <v>4800000</v>
      </c>
      <c r="I18" s="75">
        <f t="shared" si="6"/>
        <v>3600000</v>
      </c>
      <c r="J18" s="75">
        <f t="shared" si="6"/>
        <v>2400000</v>
      </c>
      <c r="K18" s="75">
        <f t="shared" si="6"/>
        <v>1199999.9999999998</v>
      </c>
      <c r="L18" s="75">
        <f t="shared" si="6"/>
        <v>0</v>
      </c>
      <c r="M18" s="75">
        <f t="shared" si="6"/>
        <v>0</v>
      </c>
      <c r="N18" s="75">
        <f t="shared" si="6"/>
        <v>0</v>
      </c>
      <c r="O18" s="75">
        <f t="shared" si="6"/>
        <v>0</v>
      </c>
    </row>
    <row r="19" spans="1:15">
      <c r="A19" s="5">
        <v>2016</v>
      </c>
      <c r="B19" s="70">
        <f>I7</f>
        <v>3000000</v>
      </c>
      <c r="C19" s="75"/>
      <c r="D19" s="75"/>
      <c r="E19" s="79"/>
      <c r="F19" s="75"/>
      <c r="G19" s="75"/>
      <c r="H19" s="75"/>
      <c r="I19" s="75">
        <f t="shared" ref="I19:O19" si="7">IF($B$19*(1-(1+I5-$A$19)/$B$8)&lt;0,0,$B$19*(1-(1+I5-$A$19)/$B$8))</f>
        <v>2400000</v>
      </c>
      <c r="J19" s="75">
        <f t="shared" si="7"/>
        <v>1800000</v>
      </c>
      <c r="K19" s="75">
        <f t="shared" si="7"/>
        <v>1200000</v>
      </c>
      <c r="L19" s="75">
        <f t="shared" si="7"/>
        <v>599999.99999999988</v>
      </c>
      <c r="M19" s="75">
        <f t="shared" si="7"/>
        <v>0</v>
      </c>
      <c r="N19" s="75">
        <f t="shared" si="7"/>
        <v>0</v>
      </c>
      <c r="O19" s="75">
        <f t="shared" si="7"/>
        <v>0</v>
      </c>
    </row>
    <row r="20" spans="1:15">
      <c r="A20" s="5">
        <v>2017</v>
      </c>
      <c r="B20" s="70">
        <f>J7</f>
        <v>3000000</v>
      </c>
      <c r="C20" s="75"/>
      <c r="D20" s="75"/>
      <c r="E20" s="79"/>
      <c r="F20" s="75"/>
      <c r="G20" s="75"/>
      <c r="H20" s="75"/>
      <c r="I20" s="75"/>
      <c r="J20" s="75">
        <f t="shared" ref="J20:O20" si="8">IF($B$20*(1-(1+J5-$A$20)/$B$8)&lt;0,0,$B$20*(1-(1+J5-$A$20)/$B$8))</f>
        <v>2400000</v>
      </c>
      <c r="K20" s="75">
        <f t="shared" si="8"/>
        <v>1800000</v>
      </c>
      <c r="L20" s="75">
        <f t="shared" si="8"/>
        <v>1200000</v>
      </c>
      <c r="M20" s="75">
        <f t="shared" si="8"/>
        <v>599999.99999999988</v>
      </c>
      <c r="N20" s="75">
        <f t="shared" si="8"/>
        <v>0</v>
      </c>
      <c r="O20" s="75">
        <f t="shared" si="8"/>
        <v>0</v>
      </c>
    </row>
    <row r="21" spans="1:15">
      <c r="A21" s="5">
        <v>2018</v>
      </c>
      <c r="B21" s="70">
        <f>K7</f>
        <v>0</v>
      </c>
      <c r="C21" s="75"/>
      <c r="D21" s="75"/>
      <c r="E21" s="79"/>
      <c r="F21" s="75"/>
      <c r="G21" s="75"/>
      <c r="H21" s="75"/>
      <c r="I21" s="75"/>
      <c r="J21" s="75"/>
      <c r="K21" s="75">
        <f>IF($B$21*(1-(1+K5-$A$21)/$B$8)&lt;0,0,$B$21*(1-(1+K5-$A$21)/$B$8))</f>
        <v>0</v>
      </c>
      <c r="L21" s="75">
        <f>IF($B$21*(1-(1+L5-$A$21)/$B$8)&lt;0,0,$B$21*(1-(1+L5-$A$21)/$B$8))</f>
        <v>0</v>
      </c>
      <c r="M21" s="75">
        <f>IF($B$21*(1-(1+M5-$A$21)/$B$8)&lt;0,0,$B$21*(1-(1+M5-$A$21)/$B$8))</f>
        <v>0</v>
      </c>
      <c r="N21" s="75">
        <f>IF($B$21*(1-(1+N5-$A$21)/$B$8)&lt;0,0,$B$21*(1-(1+N5-$A$21)/$B$8))</f>
        <v>0</v>
      </c>
      <c r="O21" s="75">
        <f>IF($B$21*(1-(1+O5-$A$21)/$B$8)&lt;0,0,$B$21*(1-(1+O5-$A$21)/$B$8))</f>
        <v>0</v>
      </c>
    </row>
    <row r="22" spans="1:15">
      <c r="A22" s="5">
        <v>2019</v>
      </c>
      <c r="B22" s="70">
        <f>L7</f>
        <v>0</v>
      </c>
      <c r="C22" s="75"/>
      <c r="D22" s="75"/>
      <c r="E22" s="79"/>
      <c r="F22" s="75"/>
      <c r="G22" s="75"/>
      <c r="H22" s="75"/>
      <c r="I22" s="75"/>
      <c r="J22" s="75"/>
      <c r="K22" s="70"/>
      <c r="L22" s="75">
        <f>IF($B$22*(1-(1+L5-$A$22)/$B$8)&lt;0,0,$B$22*(1-(1+L5-$A$22)/$B$8))</f>
        <v>0</v>
      </c>
      <c r="M22" s="75">
        <f>IF($B$22*(1-(1+M5-$A$22)/$B$8)&lt;0,0,$B$22*(1-(1+M5-$A$22)/$B$8))</f>
        <v>0</v>
      </c>
      <c r="N22" s="75">
        <f>IF($B$22*(1-(1+N5-$A$22)/$B$8)&lt;0,0,$B$22*(1-(1+N5-$A$22)/$B$8))</f>
        <v>0</v>
      </c>
      <c r="O22" s="75">
        <f>IF($B$22*(1-(1+O5-$A$22)/$B$8)&lt;0,0,$B$22*(1-(1+O5-$A$22)/$B$8))</f>
        <v>0</v>
      </c>
    </row>
    <row r="23" spans="1:15">
      <c r="A23" s="5">
        <v>2020</v>
      </c>
      <c r="B23" s="70">
        <f>M7</f>
        <v>0</v>
      </c>
      <c r="C23" s="75"/>
      <c r="D23" s="75"/>
      <c r="E23" s="79"/>
      <c r="F23" s="75"/>
      <c r="G23" s="75"/>
      <c r="H23" s="75"/>
      <c r="I23" s="75"/>
      <c r="J23" s="75"/>
      <c r="K23" s="70"/>
      <c r="L23" s="70"/>
      <c r="M23" s="75">
        <f>IF($B$23*(1-(1+M5-$A$23)/$B$8)&lt;0,0,$B$23*(1-(1+M51-$A$23)/$B$8))</f>
        <v>0</v>
      </c>
      <c r="N23" s="75">
        <f>IF($B$23*(1-(1+N5-$A$23)/$B$8)&lt;0,0,$B$23*(1-(1+N51-$A$23)/$B$8))</f>
        <v>0</v>
      </c>
      <c r="O23" s="75">
        <f>IF($B$23*(1-(1+O5-$A$23)/$B$8)&lt;0,0,$B$23*(1-(1+O51-$A$23)/$B$8))</f>
        <v>0</v>
      </c>
    </row>
    <row r="24" spans="1:15">
      <c r="A24" s="5">
        <v>2021</v>
      </c>
      <c r="B24" s="70">
        <f>N7</f>
        <v>0</v>
      </c>
      <c r="C24" s="75"/>
      <c r="D24" s="75"/>
      <c r="E24" s="79"/>
      <c r="F24" s="75"/>
      <c r="G24" s="75"/>
      <c r="H24" s="75"/>
      <c r="I24" s="75"/>
      <c r="J24" s="75"/>
      <c r="K24" s="70"/>
      <c r="L24" s="70"/>
      <c r="M24" s="70"/>
      <c r="N24" s="75">
        <f>IF($B$24*(1-(1+N5-$A$24)/$B$8)&lt;0,0,$B$24*(1-(1+N5-$A$24)/$B$8))</f>
        <v>0</v>
      </c>
      <c r="O24" s="75">
        <f>IF($B$24*(1-(1+O5-$A$24)/$B$8)&lt;0,0,$B$24*(1-(1+O5-$A$24)/$B$8))</f>
        <v>0</v>
      </c>
    </row>
    <row r="25" spans="1:15">
      <c r="A25" s="5">
        <v>2022</v>
      </c>
      <c r="B25" s="70">
        <f>O7</f>
        <v>0</v>
      </c>
      <c r="C25" s="75"/>
      <c r="D25" s="75"/>
      <c r="E25" s="79"/>
      <c r="F25" s="75"/>
      <c r="G25" s="75"/>
      <c r="H25" s="75"/>
      <c r="I25" s="75"/>
      <c r="J25" s="75"/>
      <c r="K25" s="70"/>
      <c r="L25" s="70"/>
      <c r="M25" s="70"/>
      <c r="N25" s="70"/>
      <c r="O25" s="75">
        <f>IF($B$25*(1-(1+O5-$A$25)/$B$8)&lt;0,0,$B$25*(1-(1+O5-$A$25)/$B$8))</f>
        <v>0</v>
      </c>
    </row>
    <row r="26" spans="1:15">
      <c r="A26" s="5"/>
      <c r="B26" s="70"/>
      <c r="C26" s="75"/>
      <c r="D26" s="75"/>
      <c r="E26" s="79"/>
      <c r="F26" s="75"/>
      <c r="G26" s="75"/>
      <c r="H26" s="75"/>
      <c r="I26" s="75"/>
      <c r="J26" s="75"/>
      <c r="K26" s="70"/>
      <c r="L26" s="70"/>
      <c r="M26" s="70"/>
      <c r="N26" s="70"/>
      <c r="O26" s="75"/>
    </row>
    <row r="27" spans="1:15" ht="15.6">
      <c r="A27" s="5"/>
      <c r="B27" s="182" t="s">
        <v>524</v>
      </c>
      <c r="C27" s="4">
        <v>2010</v>
      </c>
      <c r="D27" s="4">
        <v>2011</v>
      </c>
      <c r="E27" s="21">
        <v>2012</v>
      </c>
      <c r="F27" s="4">
        <v>2013</v>
      </c>
      <c r="G27" s="4">
        <v>2014</v>
      </c>
      <c r="H27" s="4">
        <v>2015</v>
      </c>
      <c r="I27" s="4">
        <v>2016</v>
      </c>
      <c r="J27" s="4">
        <v>2017</v>
      </c>
      <c r="K27" s="4">
        <v>2018</v>
      </c>
      <c r="L27" s="4">
        <v>2019</v>
      </c>
      <c r="M27" s="4">
        <v>2020</v>
      </c>
      <c r="N27" s="4">
        <v>2021</v>
      </c>
      <c r="O27" s="4">
        <v>2022</v>
      </c>
    </row>
    <row r="28" spans="1:15" ht="28.8">
      <c r="A28" s="78" t="s">
        <v>179</v>
      </c>
      <c r="B28" s="185">
        <f>B36</f>
        <v>11250000</v>
      </c>
      <c r="C28" s="75">
        <f>B28+C7</f>
        <v>11250000</v>
      </c>
      <c r="D28" s="75">
        <f>C28+D7</f>
        <v>18750000</v>
      </c>
      <c r="E28" s="75">
        <f t="shared" ref="E28:O28" si="9">D28+E7</f>
        <v>18750000</v>
      </c>
      <c r="F28" s="75">
        <f t="shared" si="9"/>
        <v>18750000</v>
      </c>
      <c r="G28" s="75">
        <f t="shared" si="9"/>
        <v>18750000</v>
      </c>
      <c r="H28" s="75">
        <f t="shared" si="9"/>
        <v>24750000</v>
      </c>
      <c r="I28" s="75">
        <f t="shared" si="9"/>
        <v>27750000</v>
      </c>
      <c r="J28" s="75">
        <f t="shared" si="9"/>
        <v>30750000</v>
      </c>
      <c r="K28" s="75">
        <f t="shared" si="9"/>
        <v>30750000</v>
      </c>
      <c r="L28" s="75">
        <f t="shared" si="9"/>
        <v>30750000</v>
      </c>
      <c r="M28" s="75">
        <f t="shared" si="9"/>
        <v>30750000</v>
      </c>
      <c r="N28" s="75">
        <f t="shared" si="9"/>
        <v>30750000</v>
      </c>
      <c r="O28" s="75">
        <f t="shared" si="9"/>
        <v>30750000</v>
      </c>
    </row>
    <row r="29" spans="1:15">
      <c r="A29" s="5" t="s">
        <v>180</v>
      </c>
      <c r="B29" s="5"/>
      <c r="C29" s="75">
        <f t="shared" ref="C29:O29" si="10">C28-C12</f>
        <v>2250000</v>
      </c>
      <c r="D29" s="75">
        <f t="shared" si="10"/>
        <v>6000000</v>
      </c>
      <c r="E29" s="75">
        <f t="shared" si="10"/>
        <v>9750000</v>
      </c>
      <c r="F29" s="75">
        <f t="shared" si="10"/>
        <v>13500000</v>
      </c>
      <c r="G29" s="75">
        <f t="shared" si="10"/>
        <v>17250000</v>
      </c>
      <c r="H29" s="75">
        <f t="shared" si="10"/>
        <v>19950000</v>
      </c>
      <c r="I29" s="75">
        <f t="shared" si="10"/>
        <v>21750000</v>
      </c>
      <c r="J29" s="75">
        <f t="shared" si="10"/>
        <v>24150000</v>
      </c>
      <c r="K29" s="75">
        <f t="shared" si="10"/>
        <v>26550000</v>
      </c>
      <c r="L29" s="75">
        <f t="shared" si="10"/>
        <v>28950000</v>
      </c>
      <c r="M29" s="75">
        <f t="shared" si="10"/>
        <v>30150000</v>
      </c>
      <c r="N29" s="75">
        <f t="shared" si="10"/>
        <v>30750000</v>
      </c>
      <c r="O29" s="75">
        <f t="shared" si="10"/>
        <v>30750000</v>
      </c>
    </row>
    <row r="30" spans="1:15">
      <c r="A30" s="70" t="s">
        <v>181</v>
      </c>
      <c r="B30" s="70"/>
      <c r="C30" s="75">
        <f t="shared" ref="C30:O30" si="11">C29-B29</f>
        <v>2250000</v>
      </c>
      <c r="D30" s="75">
        <f t="shared" si="11"/>
        <v>3750000</v>
      </c>
      <c r="E30" s="75">
        <f t="shared" si="11"/>
        <v>3750000</v>
      </c>
      <c r="F30" s="75">
        <f t="shared" si="11"/>
        <v>3750000</v>
      </c>
      <c r="G30" s="75">
        <f t="shared" si="11"/>
        <v>3750000</v>
      </c>
      <c r="H30" s="75">
        <f t="shared" si="11"/>
        <v>2700000</v>
      </c>
      <c r="I30" s="75">
        <f t="shared" si="11"/>
        <v>1800000</v>
      </c>
      <c r="J30" s="75">
        <f t="shared" si="11"/>
        <v>2400000</v>
      </c>
      <c r="K30" s="75">
        <f t="shared" si="11"/>
        <v>2400000</v>
      </c>
      <c r="L30" s="75">
        <f t="shared" si="11"/>
        <v>2400000</v>
      </c>
      <c r="M30" s="75">
        <f t="shared" si="11"/>
        <v>1200000</v>
      </c>
      <c r="N30" s="75">
        <f t="shared" si="11"/>
        <v>600000</v>
      </c>
      <c r="O30" s="75">
        <f t="shared" si="11"/>
        <v>0</v>
      </c>
    </row>
    <row r="31" spans="1:15">
      <c r="A31" s="70" t="s">
        <v>182</v>
      </c>
      <c r="B31" s="70"/>
      <c r="C31" s="75">
        <f>C12*$B$9</f>
        <v>720000</v>
      </c>
      <c r="D31" s="75">
        <f>D12*$B$9</f>
        <v>1020000</v>
      </c>
      <c r="E31" s="75">
        <f t="shared" ref="E31:O31" si="12">E12*$B$9</f>
        <v>720000</v>
      </c>
      <c r="F31" s="75">
        <f t="shared" si="12"/>
        <v>420000</v>
      </c>
      <c r="G31" s="75">
        <f t="shared" si="12"/>
        <v>119999.99999999999</v>
      </c>
      <c r="H31" s="75">
        <f t="shared" si="12"/>
        <v>384000</v>
      </c>
      <c r="I31" s="75">
        <f t="shared" si="12"/>
        <v>480000</v>
      </c>
      <c r="J31" s="75">
        <f t="shared" si="12"/>
        <v>528000</v>
      </c>
      <c r="K31" s="75">
        <f t="shared" si="12"/>
        <v>336000</v>
      </c>
      <c r="L31" s="75">
        <f t="shared" si="12"/>
        <v>144000</v>
      </c>
      <c r="M31" s="75">
        <f t="shared" si="12"/>
        <v>47999.999999999993</v>
      </c>
      <c r="N31" s="75">
        <f t="shared" si="12"/>
        <v>0</v>
      </c>
      <c r="O31" s="75">
        <f t="shared" si="12"/>
        <v>0</v>
      </c>
    </row>
    <row r="32" spans="1:15" s="150" customFormat="1">
      <c r="A32" s="150" t="s">
        <v>461</v>
      </c>
      <c r="C32" s="151">
        <f>C7</f>
        <v>0</v>
      </c>
      <c r="D32" s="151">
        <f t="shared" ref="D32:O32" si="13">D7</f>
        <v>7500000</v>
      </c>
      <c r="E32" s="151">
        <f t="shared" si="13"/>
        <v>0</v>
      </c>
      <c r="F32" s="151">
        <f t="shared" si="13"/>
        <v>0</v>
      </c>
      <c r="G32" s="151">
        <f t="shared" si="13"/>
        <v>0</v>
      </c>
      <c r="H32" s="151">
        <f t="shared" si="13"/>
        <v>6000000</v>
      </c>
      <c r="I32" s="151">
        <f t="shared" si="13"/>
        <v>3000000</v>
      </c>
      <c r="J32" s="151">
        <f t="shared" si="13"/>
        <v>3000000</v>
      </c>
      <c r="K32" s="151">
        <f t="shared" si="13"/>
        <v>0</v>
      </c>
      <c r="L32" s="151">
        <f t="shared" si="13"/>
        <v>0</v>
      </c>
      <c r="M32" s="151">
        <f t="shared" si="13"/>
        <v>0</v>
      </c>
      <c r="N32" s="151">
        <f t="shared" si="13"/>
        <v>0</v>
      </c>
      <c r="O32" s="151">
        <f t="shared" si="13"/>
        <v>0</v>
      </c>
    </row>
    <row r="33" spans="1:15" s="150" customFormat="1">
      <c r="A33" s="150" t="s">
        <v>460</v>
      </c>
      <c r="C33" s="151">
        <f>-(C30+C31)</f>
        <v>-2970000</v>
      </c>
      <c r="D33" s="151">
        <f>-(D30+D31)</f>
        <v>-4770000</v>
      </c>
      <c r="E33" s="151">
        <f t="shared" ref="E33:O33" si="14">-(E30+E31)</f>
        <v>-4470000</v>
      </c>
      <c r="F33" s="151">
        <f t="shared" si="14"/>
        <v>-4170000</v>
      </c>
      <c r="G33" s="151">
        <f t="shared" si="14"/>
        <v>-3870000</v>
      </c>
      <c r="H33" s="151">
        <f t="shared" si="14"/>
        <v>-3084000</v>
      </c>
      <c r="I33" s="151">
        <f t="shared" si="14"/>
        <v>-2280000</v>
      </c>
      <c r="J33" s="151">
        <f t="shared" si="14"/>
        <v>-2928000</v>
      </c>
      <c r="K33" s="151">
        <f t="shared" si="14"/>
        <v>-2736000</v>
      </c>
      <c r="L33" s="151">
        <f t="shared" si="14"/>
        <v>-2544000</v>
      </c>
      <c r="M33" s="151">
        <f t="shared" si="14"/>
        <v>-1248000</v>
      </c>
      <c r="N33" s="151">
        <f t="shared" si="14"/>
        <v>-600000</v>
      </c>
      <c r="O33" s="151">
        <f t="shared" si="14"/>
        <v>0</v>
      </c>
    </row>
    <row r="34" spans="1:15" s="150" customFormat="1"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</row>
    <row r="35" spans="1:15" s="150" customFormat="1" ht="15.6">
      <c r="A35" s="180"/>
      <c r="B35" s="182" t="s">
        <v>524</v>
      </c>
      <c r="C35" s="4">
        <v>2010</v>
      </c>
      <c r="D35" s="4">
        <v>2011</v>
      </c>
      <c r="E35" s="21">
        <v>2012</v>
      </c>
      <c r="F35" s="4">
        <v>2013</v>
      </c>
      <c r="G35" s="4">
        <v>2014</v>
      </c>
      <c r="H35" s="4">
        <v>2015</v>
      </c>
      <c r="I35" s="4">
        <v>2016</v>
      </c>
      <c r="J35" s="4">
        <v>2017</v>
      </c>
      <c r="K35" s="4">
        <v>2018</v>
      </c>
      <c r="L35" s="4">
        <v>2019</v>
      </c>
      <c r="M35" s="4">
        <v>2020</v>
      </c>
      <c r="N35" s="4">
        <v>2021</v>
      </c>
      <c r="O35" s="4">
        <v>2022</v>
      </c>
    </row>
    <row r="36" spans="1:15" s="150" customFormat="1">
      <c r="A36" s="180" t="s">
        <v>527</v>
      </c>
      <c r="B36" s="181">
        <f>Предположения!$B$86*Предположения!C32/2</f>
        <v>11250000</v>
      </c>
      <c r="C36" s="183">
        <f>C7</f>
        <v>0</v>
      </c>
      <c r="D36" s="183">
        <f t="shared" ref="D36:O36" si="15">D7</f>
        <v>7500000</v>
      </c>
      <c r="E36" s="183">
        <f t="shared" si="15"/>
        <v>0</v>
      </c>
      <c r="F36" s="183">
        <f t="shared" si="15"/>
        <v>0</v>
      </c>
      <c r="G36" s="183">
        <f t="shared" si="15"/>
        <v>0</v>
      </c>
      <c r="H36" s="183">
        <f t="shared" si="15"/>
        <v>6000000</v>
      </c>
      <c r="I36" s="183">
        <f t="shared" si="15"/>
        <v>3000000</v>
      </c>
      <c r="J36" s="183">
        <f t="shared" si="15"/>
        <v>3000000</v>
      </c>
      <c r="K36" s="183">
        <f t="shared" si="15"/>
        <v>0</v>
      </c>
      <c r="L36" s="183">
        <f t="shared" si="15"/>
        <v>0</v>
      </c>
      <c r="M36" s="183">
        <f t="shared" si="15"/>
        <v>0</v>
      </c>
      <c r="N36" s="183">
        <f t="shared" si="15"/>
        <v>0</v>
      </c>
      <c r="O36" s="183">
        <f t="shared" si="15"/>
        <v>0</v>
      </c>
    </row>
    <row r="37" spans="1:15">
      <c r="A37" t="s">
        <v>521</v>
      </c>
      <c r="G37" s="181">
        <f>IF('Pr BS 2012'!B30=0,0,-'Pr BS 2012'!B30)</f>
        <v>-7500000</v>
      </c>
      <c r="H37" s="181">
        <f>IF(C7=0,0,-C7)</f>
        <v>0</v>
      </c>
      <c r="I37" s="181">
        <f t="shared" ref="I37:O37" si="16">IF(D7=0,0,-D7)</f>
        <v>-7500000</v>
      </c>
      <c r="J37" s="181">
        <f t="shared" si="16"/>
        <v>0</v>
      </c>
      <c r="K37" s="181">
        <f t="shared" si="16"/>
        <v>0</v>
      </c>
      <c r="L37" s="181">
        <f t="shared" si="16"/>
        <v>0</v>
      </c>
      <c r="M37" s="181">
        <f t="shared" si="16"/>
        <v>-6000000</v>
      </c>
      <c r="N37" s="181">
        <f t="shared" si="16"/>
        <v>-3000000</v>
      </c>
      <c r="O37" s="181">
        <f t="shared" si="16"/>
        <v>-3000000</v>
      </c>
    </row>
    <row r="38" spans="1:15">
      <c r="A38" s="180" t="s">
        <v>525</v>
      </c>
      <c r="B38" s="181"/>
      <c r="C38" s="181">
        <f>D30</f>
        <v>3750000</v>
      </c>
      <c r="D38" s="181">
        <f t="shared" ref="D38:O38" si="17">E30</f>
        <v>3750000</v>
      </c>
      <c r="E38" s="181">
        <f t="shared" si="17"/>
        <v>3750000</v>
      </c>
      <c r="F38" s="181">
        <f t="shared" si="17"/>
        <v>3750000</v>
      </c>
      <c r="G38" s="181">
        <f t="shared" si="17"/>
        <v>2700000</v>
      </c>
      <c r="H38" s="181">
        <f t="shared" si="17"/>
        <v>1800000</v>
      </c>
      <c r="I38" s="181">
        <f t="shared" si="17"/>
        <v>2400000</v>
      </c>
      <c r="J38" s="181">
        <f t="shared" si="17"/>
        <v>2400000</v>
      </c>
      <c r="K38" s="181">
        <f t="shared" si="17"/>
        <v>2400000</v>
      </c>
      <c r="L38" s="181">
        <f t="shared" si="17"/>
        <v>1200000</v>
      </c>
      <c r="M38" s="181">
        <f t="shared" si="17"/>
        <v>600000</v>
      </c>
      <c r="N38" s="181">
        <f t="shared" si="17"/>
        <v>0</v>
      </c>
      <c r="O38" s="181">
        <f t="shared" si="17"/>
        <v>0</v>
      </c>
    </row>
    <row r="39" spans="1:15">
      <c r="A39" s="180" t="s">
        <v>526</v>
      </c>
      <c r="C39" s="181">
        <f>B36+C36-C38</f>
        <v>7500000</v>
      </c>
      <c r="D39" s="181">
        <f>C39+D36-D38</f>
        <v>11250000</v>
      </c>
      <c r="E39" s="181">
        <f t="shared" ref="E39:O39" si="18">D39+E36-E38</f>
        <v>7500000</v>
      </c>
      <c r="F39" s="181">
        <f t="shared" si="18"/>
        <v>3750000</v>
      </c>
      <c r="G39" s="181">
        <f t="shared" si="18"/>
        <v>1050000</v>
      </c>
      <c r="H39" s="181">
        <f t="shared" si="18"/>
        <v>5250000</v>
      </c>
      <c r="I39" s="181">
        <f t="shared" si="18"/>
        <v>5850000</v>
      </c>
      <c r="J39" s="181">
        <f t="shared" si="18"/>
        <v>6450000</v>
      </c>
      <c r="K39" s="181">
        <f t="shared" si="18"/>
        <v>4050000</v>
      </c>
      <c r="L39" s="181">
        <f t="shared" si="18"/>
        <v>2850000</v>
      </c>
      <c r="M39" s="181">
        <f t="shared" si="18"/>
        <v>2250000</v>
      </c>
      <c r="N39" s="181">
        <f t="shared" si="18"/>
        <v>2250000</v>
      </c>
      <c r="O39" s="181">
        <f t="shared" si="18"/>
        <v>2250000</v>
      </c>
    </row>
    <row r="40" spans="1:15" ht="15.6">
      <c r="C40" s="18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O158"/>
  <sheetViews>
    <sheetView workbookViewId="0">
      <pane xSplit="1" ySplit="4" topLeftCell="F5" activePane="bottomRight" state="frozen"/>
      <selection pane="topRight" activeCell="B1" sqref="B1"/>
      <selection pane="bottomLeft" activeCell="A4" sqref="A4"/>
      <selection pane="bottomRight"/>
    </sheetView>
  </sheetViews>
  <sheetFormatPr defaultRowHeight="14.4"/>
  <cols>
    <col min="1" max="1" width="46.33203125" style="2" customWidth="1"/>
    <col min="2" max="17" width="14.77734375" style="2" customWidth="1"/>
    <col min="18" max="16384" width="8.88671875" style="2"/>
  </cols>
  <sheetData>
    <row r="1" spans="1:14">
      <c r="A1" s="303" t="s">
        <v>740</v>
      </c>
    </row>
    <row r="2" spans="1:14" ht="21">
      <c r="A2" s="92" t="s">
        <v>547</v>
      </c>
    </row>
    <row r="3" spans="1:14" ht="21">
      <c r="A3" s="201" t="s">
        <v>119</v>
      </c>
    </row>
    <row r="4" spans="1:14" s="37" customFormat="1" ht="15.6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s="47" customFormat="1" ht="15.6">
      <c r="A6" s="1" t="s">
        <v>401</v>
      </c>
      <c r="B6" s="152">
        <f>SUM(B7:B10)</f>
        <v>-1371545.171875</v>
      </c>
      <c r="C6" s="152">
        <f t="shared" ref="C6:N6" si="0">SUM(C7:C10)</f>
        <v>-2425120.0457654223</v>
      </c>
      <c r="D6" s="152">
        <f t="shared" si="0"/>
        <v>-2006607.0887544523</v>
      </c>
      <c r="E6" s="152">
        <f t="shared" si="0"/>
        <v>-1484173.938995658</v>
      </c>
      <c r="F6" s="152">
        <f t="shared" si="0"/>
        <v>-1101936.2905953608</v>
      </c>
      <c r="G6" s="152">
        <f t="shared" si="0"/>
        <v>-1450484.6096716481</v>
      </c>
      <c r="H6" s="152">
        <f t="shared" si="0"/>
        <v>-1598441.7782509483</v>
      </c>
      <c r="I6" s="152">
        <f t="shared" si="0"/>
        <v>-1659640.3147696913</v>
      </c>
      <c r="J6" s="152">
        <f t="shared" si="0"/>
        <v>-1471416.4757866305</v>
      </c>
      <c r="K6" s="152">
        <f t="shared" si="0"/>
        <v>-1283324.8024391627</v>
      </c>
      <c r="L6" s="152">
        <f t="shared" si="0"/>
        <v>-1191369.9205245334</v>
      </c>
      <c r="M6" s="152">
        <f t="shared" si="0"/>
        <v>-1147556.6177428921</v>
      </c>
      <c r="N6" s="152">
        <f t="shared" si="0"/>
        <v>-1151889.8493638933</v>
      </c>
    </row>
    <row r="7" spans="1:14" s="126" customFormat="1" ht="13.8">
      <c r="A7" s="126" t="s">
        <v>400</v>
      </c>
      <c r="B7" s="127">
        <f>'Pr P&amp;L 2012'!B34</f>
        <v>-42170.171875</v>
      </c>
      <c r="C7" s="127">
        <f>'Pr P&amp;L 2012'!C34</f>
        <v>-82225</v>
      </c>
      <c r="D7" s="127">
        <f>'Pr P&amp;L 2012'!D34</f>
        <v>-71548.75</v>
      </c>
      <c r="E7" s="127">
        <f>-Предположения!F115</f>
        <v>-67157.268750000003</v>
      </c>
      <c r="F7" s="127">
        <f>-Предположения!G115</f>
        <v>-68550.365812500007</v>
      </c>
      <c r="G7" s="127">
        <f>-Предположения!H115</f>
        <v>-85833.195959671866</v>
      </c>
      <c r="H7" s="127">
        <f>-Предположения!I115</f>
        <v>-96283.204248190785</v>
      </c>
      <c r="I7" s="127">
        <f>-Предположения!J115</f>
        <v>-107890.31476969129</v>
      </c>
      <c r="J7" s="127">
        <f>-Предположения!K115</f>
        <v>-111666.4757866305</v>
      </c>
      <c r="K7" s="127">
        <f>-Предположения!L115</f>
        <v>-115574.80243916257</v>
      </c>
      <c r="L7" s="127">
        <f>-Предположения!M115</f>
        <v>-119619.92052453326</v>
      </c>
      <c r="M7" s="127">
        <f>-Предположения!N115</f>
        <v>-123806.6177428919</v>
      </c>
      <c r="N7" s="127">
        <f>-Предположения!O115</f>
        <v>-128139.84936389312</v>
      </c>
    </row>
    <row r="8" spans="1:14" s="126" customFormat="1" ht="13.8">
      <c r="A8" s="126" t="s">
        <v>402</v>
      </c>
      <c r="B8" s="127">
        <f>'Pr P&amp;L 2012'!B35</f>
        <v>-720000</v>
      </c>
      <c r="C8" s="127">
        <f>'Pr P&amp;L 2012'!C35</f>
        <v>-1020000</v>
      </c>
      <c r="D8" s="127">
        <f>'Pr P&amp;L 2012'!D35</f>
        <v>-720000</v>
      </c>
      <c r="E8" s="127">
        <f>-Лизинг!F31</f>
        <v>-420000</v>
      </c>
      <c r="F8" s="127">
        <f>-Лизинг!G31</f>
        <v>-119999.99999999999</v>
      </c>
      <c r="G8" s="127">
        <f>-Лизинг!H31</f>
        <v>-384000</v>
      </c>
      <c r="H8" s="127">
        <f>-Лизинг!I31</f>
        <v>-480000</v>
      </c>
      <c r="I8" s="127">
        <f>-Лизинг!J31</f>
        <v>-528000</v>
      </c>
      <c r="J8" s="127">
        <f>-Лизинг!K31</f>
        <v>-336000</v>
      </c>
      <c r="K8" s="127">
        <f>-Лизинг!L31</f>
        <v>-144000</v>
      </c>
      <c r="L8" s="127">
        <f>-Лизинг!M31</f>
        <v>-47999.999999999993</v>
      </c>
      <c r="M8" s="127">
        <f>-Лизинг!N31</f>
        <v>0</v>
      </c>
      <c r="N8" s="127">
        <f>-Лизинг!O31</f>
        <v>0</v>
      </c>
    </row>
    <row r="9" spans="1:14" s="126" customFormat="1" ht="13.8">
      <c r="A9" s="126" t="s">
        <v>403</v>
      </c>
      <c r="B9" s="127">
        <f>'Pr P&amp;L 2012'!B36</f>
        <v>-609375</v>
      </c>
      <c r="C9" s="127">
        <f>'Pr P&amp;L 2012'!C36</f>
        <v>-812500</v>
      </c>
      <c r="D9" s="127">
        <f>'Pr P&amp;L 2012'!D36</f>
        <v>-812500</v>
      </c>
      <c r="E9" s="127">
        <f>-Предположения!F119</f>
        <v>-731250</v>
      </c>
      <c r="F9" s="127">
        <f>-Предположения!G119</f>
        <v>-731250</v>
      </c>
      <c r="G9" s="127">
        <f>-Предположения!H119</f>
        <v>-877500.00000000012</v>
      </c>
      <c r="H9" s="127">
        <f>-Предположения!I119</f>
        <v>-950625.00000000012</v>
      </c>
      <c r="I9" s="127">
        <f>-Предположения!J119</f>
        <v>-1023750.0000000001</v>
      </c>
      <c r="J9" s="127">
        <f>-Предположения!K119</f>
        <v>-1023750.0000000001</v>
      </c>
      <c r="K9" s="127">
        <f>-Предположения!L119</f>
        <v>-1023750.0000000001</v>
      </c>
      <c r="L9" s="127">
        <f>-Предположения!M119</f>
        <v>-1023750.0000000001</v>
      </c>
      <c r="M9" s="127">
        <f>-Предположения!N119</f>
        <v>-1023750.0000000001</v>
      </c>
      <c r="N9" s="127">
        <f>-Предположения!O119</f>
        <v>-1023750.0000000001</v>
      </c>
    </row>
    <row r="10" spans="1:14" s="126" customFormat="1" ht="27.6">
      <c r="A10" s="146" t="s">
        <v>531</v>
      </c>
      <c r="B10" s="127">
        <f>(B11+B12)/Предположения!C5+B13</f>
        <v>0</v>
      </c>
      <c r="C10" s="127">
        <f>(C11+C12)/Предположения!D5+C13</f>
        <v>-510395.04576542246</v>
      </c>
      <c r="D10" s="127">
        <f>(D11+D12)/Предположения!E5+D13</f>
        <v>-402558.3387544523</v>
      </c>
      <c r="E10" s="127">
        <f>(E11+E12)/Предположения!F5+E13</f>
        <v>-265766.67024565779</v>
      </c>
      <c r="F10" s="127">
        <f>(F11+F12)/Предположения!G5+F13</f>
        <v>-182135.92478286088</v>
      </c>
      <c r="G10" s="127">
        <f>(G11+G12)/Предположения!H5+G13</f>
        <v>-103151.41371197622</v>
      </c>
      <c r="H10" s="127">
        <f>(H11+H12)/Предположения!I5+H13</f>
        <v>-71533.574002757436</v>
      </c>
      <c r="I10" s="127">
        <f>(I11+I12)/Предположения!J5+I13</f>
        <v>0</v>
      </c>
      <c r="J10" s="127">
        <f>(J11+J12)/Предположения!K5+J13</f>
        <v>0</v>
      </c>
      <c r="K10" s="127">
        <f>(K11+K12)/Предположения!L5+K13</f>
        <v>0</v>
      </c>
      <c r="L10" s="127">
        <f>(L11+L12)/Предположения!M5+L13</f>
        <v>0</v>
      </c>
      <c r="M10" s="127">
        <f>(M11+M12)/Предположения!N5+M13</f>
        <v>0</v>
      </c>
      <c r="N10" s="127">
        <f>(N11+N12)/Предположения!O5+N13</f>
        <v>0</v>
      </c>
    </row>
    <row r="11" spans="1:14" s="126" customFormat="1" ht="27.6">
      <c r="A11" s="145" t="s">
        <v>528</v>
      </c>
      <c r="B11" s="127">
        <f>-(B28/2)*Предположения!$B$216</f>
        <v>0</v>
      </c>
      <c r="C11" s="127">
        <f>-(C28/2)*Предположения!$B$216</f>
        <v>-15000000</v>
      </c>
      <c r="D11" s="127">
        <f>-(D28/2)*Предположения!$B$216</f>
        <v>-12500000</v>
      </c>
      <c r="E11" s="127">
        <f>-(E28/2)*Предположения!$B$216</f>
        <v>-8500000</v>
      </c>
      <c r="F11" s="127">
        <f>-(F28/2)*Предположения!$B$216</f>
        <v>-6000000</v>
      </c>
      <c r="G11" s="127">
        <f>-(G28/2)*Предположения!$B$216</f>
        <v>-3500000</v>
      </c>
      <c r="H11" s="127">
        <f>-(H28/2)*Предположения!$B$216</f>
        <v>-2500000</v>
      </c>
      <c r="I11" s="127">
        <f>-(I28/2)*Предположения!$B$216</f>
        <v>0</v>
      </c>
      <c r="J11" s="127">
        <f>-(J28/2)*Предположения!$B$216</f>
        <v>0</v>
      </c>
      <c r="K11" s="127">
        <f>-(K28/2)*Предположения!$B$216</f>
        <v>0</v>
      </c>
      <c r="L11" s="127">
        <f>-(L28/2)*Предположения!$B$216</f>
        <v>0</v>
      </c>
      <c r="M11" s="127">
        <f>-(M28/2)*Предположения!$B$216</f>
        <v>0</v>
      </c>
      <c r="N11" s="127">
        <f>-(N28/2)*Предположения!$B$216</f>
        <v>0</v>
      </c>
    </row>
    <row r="12" spans="1:14" s="126" customFormat="1" ht="27.6">
      <c r="A12" s="145" t="s">
        <v>529</v>
      </c>
      <c r="B12" s="127">
        <v>0</v>
      </c>
      <c r="C12" s="127">
        <v>0</v>
      </c>
      <c r="D12" s="127">
        <v>0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</row>
    <row r="13" spans="1:14" s="126" customFormat="1" ht="27.6">
      <c r="A13" s="145" t="s">
        <v>530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</row>
    <row r="14" spans="1:14" s="126" customFormat="1" ht="13.8">
      <c r="A14" s="145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</row>
    <row r="15" spans="1:14" s="153" customFormat="1" ht="15.6">
      <c r="A15" s="95" t="s">
        <v>404</v>
      </c>
      <c r="B15" s="152">
        <f>'Pr P&amp;L 2012'!B38</f>
        <v>1779374.9999999958</v>
      </c>
      <c r="C15" s="152">
        <f>'Pr P&amp;L 2012'!C38</f>
        <v>0</v>
      </c>
      <c r="D15" s="152">
        <f>'Pr P&amp;L 2012'!D38</f>
        <v>0</v>
      </c>
      <c r="E15" s="152">
        <f>Предположения!F123</f>
        <v>0</v>
      </c>
      <c r="F15" s="152">
        <f>Предположения!G123</f>
        <v>0</v>
      </c>
      <c r="G15" s="152">
        <f>Предположения!H123</f>
        <v>0</v>
      </c>
      <c r="H15" s="152">
        <f>Предположения!I123</f>
        <v>0</v>
      </c>
      <c r="I15" s="152">
        <f>Предположения!J123</f>
        <v>0</v>
      </c>
      <c r="J15" s="152">
        <f>Предположения!K123</f>
        <v>0</v>
      </c>
      <c r="K15" s="152">
        <f>Предположения!L123</f>
        <v>0</v>
      </c>
      <c r="L15" s="152">
        <f>Предположения!M123</f>
        <v>0</v>
      </c>
      <c r="M15" s="152">
        <f>Предположения!N123</f>
        <v>0</v>
      </c>
      <c r="N15" s="152">
        <f>Предположения!O123</f>
        <v>0</v>
      </c>
    </row>
    <row r="16" spans="1:14" s="130" customFormat="1" ht="15.6">
      <c r="A16" s="117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</row>
    <row r="17" spans="1:15">
      <c r="A17" s="8" t="s">
        <v>405</v>
      </c>
      <c r="B17" s="125">
        <f>'Pr P&amp;L 2012'!B39</f>
        <v>-337361.375</v>
      </c>
      <c r="C17" s="125">
        <f>'Pr P&amp;L 2012'!C39</f>
        <v>-657800</v>
      </c>
      <c r="D17" s="125">
        <f>'Pr P&amp;L 2012'!D39</f>
        <v>-572390</v>
      </c>
      <c r="E17" s="125">
        <f>Предположения!$B$128*'Pr Sales'!E29</f>
        <v>-537258.15</v>
      </c>
      <c r="F17" s="125">
        <f>Предположения!$B$128*'Pr Sales'!F29</f>
        <v>-548402.92649999994</v>
      </c>
      <c r="G17" s="125">
        <f>Предположения!$B$128*'Pr Sales'!G29</f>
        <v>-686665.56767737493</v>
      </c>
      <c r="H17" s="125">
        <f>Предположения!$B$128*'Pr Sales'!H29</f>
        <v>-770265.63398552616</v>
      </c>
      <c r="I17" s="125">
        <f>Предположения!$B$128*'Pr Sales'!I29</f>
        <v>-863122.51815753046</v>
      </c>
      <c r="J17" s="125">
        <f>Предположения!$B$128*'Pr Sales'!J29</f>
        <v>-893331.80629304412</v>
      </c>
      <c r="K17" s="125">
        <f>Предположения!$B$128*'Pr Sales'!K29</f>
        <v>-924598.41951330064</v>
      </c>
      <c r="L17" s="125">
        <f>Предположения!$B$128*'Pr Sales'!L29</f>
        <v>-956959.36419626593</v>
      </c>
      <c r="M17" s="125">
        <f>Предположения!$B$128*'Pr Sales'!M29</f>
        <v>-990452.94194313511</v>
      </c>
      <c r="N17" s="125">
        <f>Предположения!$B$128*'Pr Sales'!N29</f>
        <v>-1025118.7949111449</v>
      </c>
    </row>
    <row r="18" spans="1:15">
      <c r="A18" s="128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</row>
    <row r="19" spans="1:15" s="38" customFormat="1" ht="28.8">
      <c r="A19" s="20" t="s">
        <v>420</v>
      </c>
      <c r="B19" s="123">
        <f>(B28/2)*Предположения!$B$29/Предположения!C5</f>
        <v>0</v>
      </c>
      <c r="C19" s="123">
        <f>(C28/2)*Предположения!$B$29/Предположения!D5</f>
        <v>280717.27517098235</v>
      </c>
      <c r="D19" s="123">
        <f>(D28/2)*Предположения!$B$29/Предположения!E5</f>
        <v>221407.08631494874</v>
      </c>
      <c r="E19" s="123">
        <f>(E28/2)*Предположения!$B$29/Предположения!F5</f>
        <v>146171.6686351118</v>
      </c>
      <c r="F19" s="123">
        <f>(F28/2)*Предположения!$B$29/Предположения!G5</f>
        <v>100174.75863057347</v>
      </c>
      <c r="G19" s="123">
        <f>(G28/2)*Предположения!$B$29/Предположения!H5</f>
        <v>56733.277541586918</v>
      </c>
      <c r="H19" s="123">
        <f>(H28/2)*Предположения!$B$29/Предположения!I5</f>
        <v>39343.465701516587</v>
      </c>
      <c r="I19" s="123">
        <f>(I28/2)*Предположения!$B$29/Предположения!J5</f>
        <v>0</v>
      </c>
      <c r="J19" s="123">
        <f>(J28/2)*Предположения!$B$29/Предположения!K5</f>
        <v>0</v>
      </c>
      <c r="K19" s="123">
        <f>(K28/2)*Предположения!$B$29/Предположения!L5</f>
        <v>0</v>
      </c>
      <c r="L19" s="123">
        <f>(L28/2)*Предположения!$B$29/Предположения!M5</f>
        <v>0</v>
      </c>
      <c r="M19" s="123">
        <f>(M28/2)*Предположения!$B$29/Предположения!N5</f>
        <v>0</v>
      </c>
      <c r="N19" s="123">
        <f>(N28/2)*Предположения!$B$29/Предположения!O5</f>
        <v>0</v>
      </c>
    </row>
    <row r="20" spans="1:15" ht="15.6">
      <c r="A20" s="44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</row>
    <row r="21" spans="1:15" s="38" customFormat="1">
      <c r="A21" s="38" t="s">
        <v>409</v>
      </c>
      <c r="B21" s="123">
        <f>'Pr P&amp;L 2012'!B41</f>
        <v>0</v>
      </c>
      <c r="C21" s="123">
        <f>'Pr P&amp;L 2012'!C41</f>
        <v>0</v>
      </c>
      <c r="D21" s="123">
        <f>'Pr P&amp;L 2012'!D41</f>
        <v>0</v>
      </c>
      <c r="E21" s="123">
        <f>IF(E44&lt;0,0,-E44*Предположения!$B$18)</f>
        <v>0</v>
      </c>
      <c r="F21" s="123">
        <f>IF(F44&lt;0,0,-F44*Предположения!$B$18)</f>
        <v>0</v>
      </c>
      <c r="G21" s="123">
        <f>IF(G44&lt;0,0,-G44*Предположения!$B$18)</f>
        <v>0</v>
      </c>
      <c r="H21" s="123">
        <f>IF(H44&lt;0,0,-H44*Предположения!$B$18)</f>
        <v>0</v>
      </c>
      <c r="I21" s="123">
        <f>IF(I44&lt;0,0,-I44*Предположения!$B$18)</f>
        <v>0</v>
      </c>
      <c r="J21" s="123">
        <f>IF(J44&lt;0,0,-J44*Предположения!$B$18)</f>
        <v>0</v>
      </c>
      <c r="K21" s="123">
        <f>IF(K44&lt;0,0,-K44*Предположения!$B$18)</f>
        <v>0</v>
      </c>
      <c r="L21" s="123">
        <f>IF(L44&lt;0,0,-L44*Предположения!$B$18)</f>
        <v>0</v>
      </c>
      <c r="M21" s="123">
        <f>IF(M44&lt;0,0,-M44*Предположения!$B$18)</f>
        <v>0</v>
      </c>
      <c r="N21" s="123">
        <f>IF(N44&lt;0,0,-N44*Предположения!$B$18)</f>
        <v>0</v>
      </c>
    </row>
    <row r="22" spans="1:15" ht="15.6">
      <c r="A22" s="124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</row>
    <row r="23" spans="1:15" s="149" customFormat="1" ht="31.2">
      <c r="A23" s="95" t="s">
        <v>475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</row>
    <row r="24" spans="1:15">
      <c r="A24" s="154" t="s">
        <v>471</v>
      </c>
      <c r="B24" s="125">
        <f>Предположения!C213</f>
        <v>0</v>
      </c>
      <c r="C24" s="125">
        <f>Предположения!D213</f>
        <v>300000000</v>
      </c>
      <c r="D24" s="125">
        <f>Предположения!E213</f>
        <v>250000000</v>
      </c>
      <c r="E24" s="125">
        <f>Предположения!F213</f>
        <v>170000000</v>
      </c>
      <c r="F24" s="125">
        <f>Предположения!G213</f>
        <v>120000000</v>
      </c>
      <c r="G24" s="125">
        <f>Предположения!H213</f>
        <v>70000000</v>
      </c>
      <c r="H24" s="125">
        <f>Предположения!I213</f>
        <v>50000000</v>
      </c>
      <c r="I24" s="125">
        <f>Предположения!J213</f>
        <v>0</v>
      </c>
      <c r="J24" s="125">
        <f>Предположения!K213</f>
        <v>0</v>
      </c>
      <c r="K24" s="125">
        <f>Предположения!L213</f>
        <v>0</v>
      </c>
      <c r="L24" s="125">
        <f>Предположения!M213</f>
        <v>0</v>
      </c>
      <c r="M24" s="125">
        <f>Предположения!N213</f>
        <v>0</v>
      </c>
      <c r="N24" s="125">
        <f>Предположения!O213</f>
        <v>0</v>
      </c>
    </row>
    <row r="25" spans="1:15" ht="27.6">
      <c r="A25" s="154" t="s">
        <v>472</v>
      </c>
      <c r="B25" s="125">
        <f>B24/Предположения!C5</f>
        <v>0</v>
      </c>
      <c r="C25" s="125">
        <f>C24/Предположения!D5</f>
        <v>10207900.915308449</v>
      </c>
      <c r="D25" s="125">
        <f>D24/Предположения!E5</f>
        <v>8051166.775089046</v>
      </c>
      <c r="E25" s="125">
        <f>E24/Предположения!F5</f>
        <v>5315333.4049131563</v>
      </c>
      <c r="F25" s="125">
        <f>F24/Предположения!G5</f>
        <v>3642718.4956572172</v>
      </c>
      <c r="G25" s="125">
        <f>G24/Предположения!H5</f>
        <v>2063028.2742395243</v>
      </c>
      <c r="H25" s="125">
        <f>H24/Предположения!I5</f>
        <v>1430671.4800551487</v>
      </c>
      <c r="I25" s="125">
        <f>I24/Предположения!J5</f>
        <v>0</v>
      </c>
      <c r="J25" s="125">
        <f>J24/Предположения!K5</f>
        <v>0</v>
      </c>
      <c r="K25" s="125">
        <f>K24/Предположения!L5</f>
        <v>0</v>
      </c>
      <c r="L25" s="125">
        <f>L24/Предположения!M5</f>
        <v>0</v>
      </c>
      <c r="M25" s="125">
        <f>M24/Предположения!N5</f>
        <v>0</v>
      </c>
      <c r="N25" s="125">
        <f>N24/Предположения!O5</f>
        <v>0</v>
      </c>
    </row>
    <row r="26" spans="1:15">
      <c r="A26" s="154" t="s">
        <v>473</v>
      </c>
      <c r="B26" s="125">
        <v>0</v>
      </c>
      <c r="C26" s="125">
        <v>0</v>
      </c>
      <c r="D26" s="125">
        <v>-300000000</v>
      </c>
      <c r="E26" s="125">
        <v>-250000000</v>
      </c>
      <c r="F26" s="125">
        <v>-170000000</v>
      </c>
      <c r="G26" s="125">
        <v>-120000000</v>
      </c>
      <c r="H26" s="125">
        <v>-70000000</v>
      </c>
      <c r="I26" s="125">
        <v>-50000000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</row>
    <row r="27" spans="1:15" ht="27.6">
      <c r="A27" s="154" t="s">
        <v>474</v>
      </c>
      <c r="B27" s="125">
        <f>B26/Предположения!C5</f>
        <v>0</v>
      </c>
      <c r="C27" s="125">
        <f>C26/Предположения!D5</f>
        <v>0</v>
      </c>
      <c r="D27" s="125">
        <f>D26/Предположения!E5</f>
        <v>-9661400.1301068552</v>
      </c>
      <c r="E27" s="125">
        <f>E26/Предположения!F5</f>
        <v>-7816666.7719311118</v>
      </c>
      <c r="F27" s="125">
        <f>F26/Предположения!G5</f>
        <v>-5160517.8688477241</v>
      </c>
      <c r="G27" s="125">
        <f>G26/Предположения!H5</f>
        <v>-3536619.8986963271</v>
      </c>
      <c r="H27" s="125">
        <f>H26/Предположения!I5</f>
        <v>-2002940.0720772082</v>
      </c>
      <c r="I27" s="125">
        <f>I26/Предположения!J5</f>
        <v>-1389001.4369467462</v>
      </c>
      <c r="J27" s="125">
        <f>J26/Предположения!K5</f>
        <v>0</v>
      </c>
      <c r="K27" s="125">
        <f>K26/Предположения!L5</f>
        <v>0</v>
      </c>
      <c r="L27" s="125">
        <f>L26/Предположения!M5</f>
        <v>0</v>
      </c>
      <c r="M27" s="125">
        <f>M26/Предположения!N5</f>
        <v>0</v>
      </c>
      <c r="N27" s="125">
        <f>N26/Предположения!O5</f>
        <v>0</v>
      </c>
    </row>
    <row r="28" spans="1:15" s="128" customFormat="1" ht="27.6">
      <c r="A28" s="154" t="s">
        <v>419</v>
      </c>
      <c r="B28" s="129">
        <f>B24+B26</f>
        <v>0</v>
      </c>
      <c r="C28" s="129">
        <f>B28+C24+C26</f>
        <v>300000000</v>
      </c>
      <c r="D28" s="129">
        <f t="shared" ref="D28:N28" si="1">C28+D24+D26</f>
        <v>250000000</v>
      </c>
      <c r="E28" s="129">
        <f t="shared" si="1"/>
        <v>170000000</v>
      </c>
      <c r="F28" s="129">
        <f t="shared" si="1"/>
        <v>120000000</v>
      </c>
      <c r="G28" s="129">
        <f t="shared" si="1"/>
        <v>70000000</v>
      </c>
      <c r="H28" s="129">
        <f t="shared" si="1"/>
        <v>50000000</v>
      </c>
      <c r="I28" s="129">
        <f t="shared" si="1"/>
        <v>0</v>
      </c>
      <c r="J28" s="129">
        <f t="shared" si="1"/>
        <v>0</v>
      </c>
      <c r="K28" s="129">
        <f t="shared" si="1"/>
        <v>0</v>
      </c>
      <c r="L28" s="129">
        <f t="shared" si="1"/>
        <v>0</v>
      </c>
      <c r="M28" s="129">
        <f t="shared" si="1"/>
        <v>0</v>
      </c>
      <c r="N28" s="129">
        <f t="shared" si="1"/>
        <v>0</v>
      </c>
    </row>
    <row r="29" spans="1:15" s="128" customFormat="1" ht="27.6">
      <c r="A29" s="154" t="s">
        <v>483</v>
      </c>
      <c r="B29" s="129">
        <f>B28/Предположения!C5</f>
        <v>0</v>
      </c>
      <c r="C29" s="129">
        <f>C28/Предположения!D5</f>
        <v>10207900.915308449</v>
      </c>
      <c r="D29" s="129">
        <f>D28/Предположения!E5</f>
        <v>8051166.775089046</v>
      </c>
      <c r="E29" s="129">
        <f>E28/Предположения!F5</f>
        <v>5315333.4049131563</v>
      </c>
      <c r="F29" s="129">
        <f>F28/Предположения!G5</f>
        <v>3642718.4956572172</v>
      </c>
      <c r="G29" s="129">
        <f>G28/Предположения!H5</f>
        <v>2063028.2742395243</v>
      </c>
      <c r="H29" s="129">
        <f>H28/Предположения!I5</f>
        <v>1430671.4800551487</v>
      </c>
      <c r="I29" s="129">
        <f>I28/Предположения!J5</f>
        <v>0</v>
      </c>
      <c r="J29" s="129">
        <f>J28/Предположения!K5</f>
        <v>0</v>
      </c>
      <c r="K29" s="129">
        <f>K28/Предположения!L5</f>
        <v>0</v>
      </c>
      <c r="L29" s="129">
        <f>L28/Предположения!M5</f>
        <v>0</v>
      </c>
      <c r="M29" s="129">
        <f>M28/Предположения!N5</f>
        <v>0</v>
      </c>
      <c r="N29" s="129">
        <f>N28/Предположения!O5</f>
        <v>0</v>
      </c>
    </row>
    <row r="30" spans="1:15" s="149" customFormat="1" ht="31.2">
      <c r="A30" s="95" t="s">
        <v>476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</row>
    <row r="31" spans="1:15">
      <c r="A31" s="154" t="s">
        <v>477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</row>
    <row r="32" spans="1:15" ht="27.6">
      <c r="A32" s="154" t="s">
        <v>478</v>
      </c>
      <c r="B32" s="125">
        <f>B31/Предположения!C5</f>
        <v>0</v>
      </c>
      <c r="C32" s="125">
        <f>C31/Предположения!D5</f>
        <v>0</v>
      </c>
      <c r="D32" s="125">
        <f>D31/Предположения!E5</f>
        <v>0</v>
      </c>
      <c r="E32" s="125">
        <f>E31/Предположения!F5</f>
        <v>0</v>
      </c>
      <c r="F32" s="125">
        <f>F31/Предположения!G5</f>
        <v>0</v>
      </c>
      <c r="G32" s="125">
        <f>G31/Предположения!H5</f>
        <v>0</v>
      </c>
      <c r="H32" s="125">
        <f>H31/Предположения!I5</f>
        <v>0</v>
      </c>
      <c r="I32" s="125">
        <f>I31/Предположения!J5</f>
        <v>0</v>
      </c>
      <c r="J32" s="125">
        <f>J31/Предположения!K5</f>
        <v>0</v>
      </c>
      <c r="K32" s="125">
        <f>K31/Предположения!L5</f>
        <v>0</v>
      </c>
      <c r="L32" s="125">
        <f>L31/Предположения!M5</f>
        <v>0</v>
      </c>
      <c r="M32" s="125">
        <f>M31/Предположения!N5</f>
        <v>0</v>
      </c>
      <c r="N32" s="125">
        <f>N31/Предположения!O5</f>
        <v>0</v>
      </c>
      <c r="O32" s="125"/>
    </row>
    <row r="33" spans="1:15">
      <c r="A33" s="154" t="s">
        <v>479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</row>
    <row r="34" spans="1:15" ht="27.6">
      <c r="A34" s="154" t="s">
        <v>480</v>
      </c>
      <c r="B34" s="125">
        <f>B33/Предположения!C5</f>
        <v>0</v>
      </c>
      <c r="C34" s="125">
        <f>C33/Предположения!D5</f>
        <v>0</v>
      </c>
      <c r="D34" s="125">
        <f>D33/Предположения!E5</f>
        <v>0</v>
      </c>
      <c r="E34" s="125">
        <f>E33/Предположения!F5</f>
        <v>0</v>
      </c>
      <c r="F34" s="125">
        <f>F33/Предположения!G5</f>
        <v>0</v>
      </c>
      <c r="G34" s="125">
        <f>G33/Предположения!H5</f>
        <v>0</v>
      </c>
      <c r="H34" s="125">
        <f>H33/Предположения!I5</f>
        <v>0</v>
      </c>
      <c r="I34" s="125">
        <f>I33/Предположения!J5</f>
        <v>0</v>
      </c>
      <c r="J34" s="125">
        <f>J33/Предположения!K5</f>
        <v>0</v>
      </c>
      <c r="K34" s="125">
        <f>K33/Предположения!L5</f>
        <v>0</v>
      </c>
      <c r="L34" s="125">
        <f>L33/Предположения!M5</f>
        <v>0</v>
      </c>
      <c r="M34" s="125">
        <f>M33/Предположения!N5</f>
        <v>0</v>
      </c>
      <c r="N34" s="125">
        <f>N33/Предположения!O5</f>
        <v>0</v>
      </c>
    </row>
    <row r="35" spans="1:15" s="128" customFormat="1" ht="27.6">
      <c r="A35" s="154" t="s">
        <v>481</v>
      </c>
      <c r="B35" s="129">
        <f>B31+B33</f>
        <v>0</v>
      </c>
      <c r="C35" s="129">
        <f>B35+C31+C33</f>
        <v>0</v>
      </c>
      <c r="D35" s="129">
        <f t="shared" ref="D35:N35" si="2">C35+D31+D33</f>
        <v>0</v>
      </c>
      <c r="E35" s="129">
        <f t="shared" si="2"/>
        <v>0</v>
      </c>
      <c r="F35" s="129">
        <f t="shared" si="2"/>
        <v>0</v>
      </c>
      <c r="G35" s="129">
        <f t="shared" si="2"/>
        <v>0</v>
      </c>
      <c r="H35" s="129">
        <f t="shared" si="2"/>
        <v>0</v>
      </c>
      <c r="I35" s="129">
        <f t="shared" si="2"/>
        <v>0</v>
      </c>
      <c r="J35" s="129">
        <f t="shared" si="2"/>
        <v>0</v>
      </c>
      <c r="K35" s="129">
        <f t="shared" si="2"/>
        <v>0</v>
      </c>
      <c r="L35" s="129">
        <f t="shared" si="2"/>
        <v>0</v>
      </c>
      <c r="M35" s="129">
        <f t="shared" si="2"/>
        <v>0</v>
      </c>
      <c r="N35" s="129">
        <f t="shared" si="2"/>
        <v>0</v>
      </c>
    </row>
    <row r="36" spans="1:15" s="128" customFormat="1" ht="27.6">
      <c r="A36" s="154" t="s">
        <v>484</v>
      </c>
      <c r="B36" s="129">
        <v>0</v>
      </c>
      <c r="C36" s="129">
        <v>0</v>
      </c>
      <c r="D36" s="129">
        <v>0</v>
      </c>
      <c r="E36" s="129">
        <f>E35/Предположения!F5</f>
        <v>0</v>
      </c>
      <c r="F36" s="129">
        <f>F35/Предположения!G5</f>
        <v>0</v>
      </c>
      <c r="G36" s="129">
        <f>G35/Предположения!H5</f>
        <v>0</v>
      </c>
      <c r="H36" s="129">
        <f>H35/Предположения!I5</f>
        <v>0</v>
      </c>
      <c r="I36" s="129">
        <f>I35/Предположения!J5</f>
        <v>0</v>
      </c>
      <c r="J36" s="129">
        <f>J35/Предположения!K5</f>
        <v>0</v>
      </c>
      <c r="K36" s="129">
        <f>K35/Предположения!L5</f>
        <v>0</v>
      </c>
      <c r="L36" s="129">
        <f>L35/Предположения!M5</f>
        <v>0</v>
      </c>
      <c r="M36" s="129">
        <f>M35/Предположения!N5</f>
        <v>0</v>
      </c>
      <c r="N36" s="129">
        <f>N35/Предположения!O5</f>
        <v>0</v>
      </c>
    </row>
    <row r="37" spans="1:15" s="149" customFormat="1" ht="31.2">
      <c r="A37" s="95" t="s">
        <v>487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</row>
    <row r="38" spans="1:15">
      <c r="A38" s="154" t="s">
        <v>485</v>
      </c>
      <c r="B38" s="125">
        <v>0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/>
    </row>
    <row r="39" spans="1:15">
      <c r="A39" s="154" t="s">
        <v>486</v>
      </c>
      <c r="B39" s="125">
        <v>0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  <c r="M39" s="125">
        <v>0</v>
      </c>
      <c r="N39" s="125">
        <v>0</v>
      </c>
    </row>
    <row r="40" spans="1:15" s="128" customFormat="1" ht="27.6">
      <c r="A40" s="154" t="s">
        <v>482</v>
      </c>
      <c r="B40" s="129">
        <f>B38+B39</f>
        <v>0</v>
      </c>
      <c r="C40" s="129">
        <f>B40+C38+C39</f>
        <v>0</v>
      </c>
      <c r="D40" s="129">
        <f t="shared" ref="D40:N40" si="3">C40+D38+D39</f>
        <v>0</v>
      </c>
      <c r="E40" s="129">
        <f t="shared" si="3"/>
        <v>0</v>
      </c>
      <c r="F40" s="129">
        <f t="shared" si="3"/>
        <v>0</v>
      </c>
      <c r="G40" s="129">
        <f t="shared" si="3"/>
        <v>0</v>
      </c>
      <c r="H40" s="129">
        <f t="shared" si="3"/>
        <v>0</v>
      </c>
      <c r="I40" s="129">
        <f t="shared" si="3"/>
        <v>0</v>
      </c>
      <c r="J40" s="129">
        <f t="shared" si="3"/>
        <v>0</v>
      </c>
      <c r="K40" s="129">
        <f t="shared" si="3"/>
        <v>0</v>
      </c>
      <c r="L40" s="129">
        <f t="shared" si="3"/>
        <v>0</v>
      </c>
      <c r="M40" s="129">
        <f t="shared" si="3"/>
        <v>0</v>
      </c>
      <c r="N40" s="129">
        <f t="shared" si="3"/>
        <v>0</v>
      </c>
    </row>
    <row r="41" spans="1:15" ht="15.6">
      <c r="A41" s="44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</row>
    <row r="42" spans="1:15" s="149" customFormat="1" ht="15.6">
      <c r="A42" s="1" t="s">
        <v>424</v>
      </c>
      <c r="B42" s="152">
        <f>'Pr P&amp;L 2012'!B46</f>
        <v>-143621.44918908077</v>
      </c>
      <c r="C42" s="152">
        <f>'Pr P&amp;L 2012'!C46</f>
        <v>-1827154.1466130179</v>
      </c>
      <c r="D42" s="152">
        <f>'Pr P&amp;L 2012'!D46</f>
        <v>-1968169.4240114619</v>
      </c>
      <c r="E42" s="152">
        <f>IF(E45&lt;0,0,-E45*Предположения!$B$207)</f>
        <v>0</v>
      </c>
      <c r="F42" s="152">
        <f>IF(F45&lt;0,0,-F45*Предположения!$B$207)</f>
        <v>-67519.18811215063</v>
      </c>
      <c r="G42" s="152">
        <f>IF(G45&lt;0,0,-G45*Предположения!$B$207)</f>
        <v>-1807489.4716960024</v>
      </c>
      <c r="H42" s="152">
        <f>IF(H45&lt;0,0,-H45*Предположения!$B$207)</f>
        <v>-3028612.9906557375</v>
      </c>
      <c r="I42" s="152">
        <f>IF(I45&lt;0,0,-I45*Предположения!$B$207)</f>
        <v>-4071662.9402209721</v>
      </c>
      <c r="J42" s="152">
        <f>IF(J45&lt;0,0,-J45*Предположения!$B$207)</f>
        <v>-4481616.7888137773</v>
      </c>
      <c r="K42" s="152">
        <f>IF(K45&lt;0,0,-K45*Предположения!$B$207)</f>
        <v>-4946009.858934476</v>
      </c>
      <c r="L42" s="152">
        <f>IF(L45&lt;0,0,-L45*Предположения!$B$207)</f>
        <v>-5686897.756313934</v>
      </c>
      <c r="M42" s="152">
        <f>IF(M45&lt;0,0,-M45*Предположения!$B$207)</f>
        <v>-6292986.6749585615</v>
      </c>
      <c r="N42" s="152">
        <f>IF(N45&lt;0,0,-N45*Предположения!$B$207)</f>
        <v>-6972855.0721438425</v>
      </c>
    </row>
    <row r="43" spans="1:15" s="44" customFormat="1" ht="18">
      <c r="A43" s="36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</row>
    <row r="44" spans="1:15" s="47" customFormat="1">
      <c r="A44" s="8" t="s">
        <v>425</v>
      </c>
      <c r="B44" s="125">
        <f>'Pr P&amp;L 2012'!B40</f>
        <v>957476.32792720525</v>
      </c>
      <c r="C44" s="125">
        <f>'Pr P&amp;L 2012'!C40</f>
        <v>12181027.644086786</v>
      </c>
      <c r="D44" s="125">
        <f>'Pr P&amp;L 2012'!D40</f>
        <v>13121129.493409747</v>
      </c>
      <c r="E44" s="125">
        <f>'Pr P&amp;L proj'!E39</f>
        <v>-112011.54619330645</v>
      </c>
      <c r="F44" s="125">
        <f>'Pr P&amp;L proj'!F39</f>
        <v>450127.92074767093</v>
      </c>
      <c r="G44" s="125">
        <f>'Pr P&amp;L proj'!G39</f>
        <v>12049929.811306683</v>
      </c>
      <c r="H44" s="125">
        <f>'Pr P&amp;L proj'!H39</f>
        <v>20190753.271038249</v>
      </c>
      <c r="I44" s="125">
        <f>'Pr P&amp;L proj'!I39</f>
        <v>27144419.601473149</v>
      </c>
      <c r="J44" s="125">
        <f>'Pr P&amp;L proj'!J39</f>
        <v>29877445.258758515</v>
      </c>
      <c r="K44" s="125">
        <f>'Pr P&amp;L proj'!K39</f>
        <v>32973399.059563175</v>
      </c>
      <c r="L44" s="125">
        <f>'Pr P&amp;L proj'!L39</f>
        <v>37912651.708759561</v>
      </c>
      <c r="M44" s="125">
        <f>'Pr P&amp;L proj'!M39</f>
        <v>41953244.499723747</v>
      </c>
      <c r="N44" s="125">
        <f>'Pr P&amp;L proj'!N39</f>
        <v>46485700.480958953</v>
      </c>
    </row>
    <row r="45" spans="1:15" s="47" customFormat="1">
      <c r="A45" s="8" t="s">
        <v>426</v>
      </c>
      <c r="B45" s="125">
        <f>'Pr P&amp;L 2012'!B42</f>
        <v>957476.32792720525</v>
      </c>
      <c r="C45" s="125">
        <f>'Pr P&amp;L 2012'!C42</f>
        <v>12181027.644086786</v>
      </c>
      <c r="D45" s="125">
        <f>'Pr P&amp;L 2012'!D42</f>
        <v>13121129.493409747</v>
      </c>
      <c r="E45" s="125">
        <f>'Pr P&amp;L proj'!E41</f>
        <v>-112011.54619330645</v>
      </c>
      <c r="F45" s="125">
        <f>'Pr P&amp;L proj'!F41</f>
        <v>450127.92074767093</v>
      </c>
      <c r="G45" s="125">
        <f>'Pr P&amp;L proj'!G41</f>
        <v>12049929.811306683</v>
      </c>
      <c r="H45" s="125">
        <f>'Pr P&amp;L proj'!H41</f>
        <v>20190753.271038249</v>
      </c>
      <c r="I45" s="125">
        <f>'Pr P&amp;L proj'!I41</f>
        <v>27144419.601473149</v>
      </c>
      <c r="J45" s="125">
        <f>'Pr P&amp;L proj'!J41</f>
        <v>29877445.258758515</v>
      </c>
      <c r="K45" s="125">
        <f>'Pr P&amp;L proj'!K41</f>
        <v>32973399.059563175</v>
      </c>
      <c r="L45" s="125">
        <f>'Pr P&amp;L proj'!L41</f>
        <v>37912651.708759561</v>
      </c>
      <c r="M45" s="125">
        <f>'Pr P&amp;L proj'!M41</f>
        <v>41953244.499723747</v>
      </c>
      <c r="N45" s="125">
        <f>'Pr P&amp;L proj'!N41</f>
        <v>46485700.480958953</v>
      </c>
    </row>
    <row r="46" spans="1:15" s="126" customFormat="1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5" ht="15.6">
      <c r="A47" s="47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2:15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2: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2:15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2:15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2:15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2:15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2: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2:15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2:15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2:15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2:15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2:15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2:15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2:15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2:15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2:15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"/>
  <sheetViews>
    <sheetView zoomScaleNormal="100" workbookViewId="0">
      <selection activeCell="P13" sqref="P13"/>
    </sheetView>
  </sheetViews>
  <sheetFormatPr defaultRowHeight="14.4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410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68580</xdr:colOff>
                <xdr:row>31</xdr:row>
                <xdr:rowOff>99060</xdr:rowOff>
              </to>
            </anchor>
          </objectPr>
        </oleObject>
      </mc:Choice>
      <mc:Fallback>
        <oleObject progId="Visio.Drawing.11" shapeId="4103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O15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RowHeight="14.4"/>
  <cols>
    <col min="1" max="1" width="44.5546875" style="2" customWidth="1"/>
    <col min="2" max="17" width="14.77734375" style="2" customWidth="1"/>
    <col min="18" max="16384" width="8.88671875" style="2"/>
  </cols>
  <sheetData>
    <row r="1" spans="1:15">
      <c r="A1" s="303" t="s">
        <v>740</v>
      </c>
    </row>
    <row r="2" spans="1:15" ht="21">
      <c r="A2" s="92" t="s">
        <v>548</v>
      </c>
    </row>
    <row r="3" spans="1:15" ht="21">
      <c r="A3" s="92"/>
    </row>
    <row r="4" spans="1:15" s="37" customFormat="1" ht="15.6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5" spans="1:15" s="5" customFormat="1" ht="28.8">
      <c r="A5" s="5" t="s">
        <v>223</v>
      </c>
      <c r="B5" s="94">
        <f>'Pr Sales'!B25</f>
        <v>182357.5</v>
      </c>
      <c r="C5" s="94">
        <f>'Pr Sales'!C25</f>
        <v>299000</v>
      </c>
      <c r="D5" s="94">
        <f>'Pr Sales'!D25</f>
        <v>204425</v>
      </c>
      <c r="E5" s="94">
        <f>'Pr Sales'!E25</f>
        <v>235950</v>
      </c>
      <c r="F5" s="94">
        <f>'Pr Sales'!F25</f>
        <v>232700</v>
      </c>
      <c r="G5" s="94">
        <f>'Pr Sales'!G25</f>
        <v>281515</v>
      </c>
      <c r="H5" s="94">
        <f>'Pr Sales'!H25</f>
        <v>305110</v>
      </c>
      <c r="I5" s="94">
        <f>'Pr Sales'!I25</f>
        <v>330330</v>
      </c>
      <c r="J5" s="94">
        <f>'Pr Sales'!J25</f>
        <v>330330</v>
      </c>
      <c r="K5" s="94">
        <f>'Pr Sales'!K25</f>
        <v>330330</v>
      </c>
      <c r="L5" s="94">
        <f>'Pr Sales'!L25</f>
        <v>330330</v>
      </c>
      <c r="M5" s="94">
        <f>'Pr Sales'!M25</f>
        <v>330330</v>
      </c>
      <c r="N5" s="94">
        <f>'Pr Sales'!N25</f>
        <v>330330</v>
      </c>
    </row>
    <row r="6" spans="1:15" s="20" customFormat="1" ht="28.8">
      <c r="A6" s="8" t="s">
        <v>222</v>
      </c>
      <c r="B6" s="7">
        <f>'Pr Sales'!B29</f>
        <v>33736137.5</v>
      </c>
      <c r="C6" s="7">
        <f>'Pr Sales'!C29</f>
        <v>65780000</v>
      </c>
      <c r="D6" s="7">
        <f>'Pr Sales'!D29</f>
        <v>57239000</v>
      </c>
      <c r="E6" s="7">
        <f>'Pr Sales'!E29</f>
        <v>53725815</v>
      </c>
      <c r="F6" s="7">
        <f>'Pr Sales'!F29</f>
        <v>54840292.649999991</v>
      </c>
      <c r="G6" s="7">
        <f>'Pr Sales'!G29</f>
        <v>68666556.767737493</v>
      </c>
      <c r="H6" s="7">
        <f>'Pr Sales'!H29</f>
        <v>77026563.398552611</v>
      </c>
      <c r="I6" s="7">
        <f>'Pr Sales'!I29</f>
        <v>86312251.815753043</v>
      </c>
      <c r="J6" s="7">
        <f>'Pr Sales'!J29</f>
        <v>89333180.629304409</v>
      </c>
      <c r="K6" s="7">
        <f>'Pr Sales'!K29</f>
        <v>92459841.951330066</v>
      </c>
      <c r="L6" s="7">
        <f>'Pr Sales'!L29</f>
        <v>95695936.419626594</v>
      </c>
      <c r="M6" s="7">
        <f>'Pr Sales'!M29</f>
        <v>99045294.194313511</v>
      </c>
      <c r="N6" s="7">
        <f>'Pr Sales'!N29</f>
        <v>102511879.49111448</v>
      </c>
    </row>
    <row r="7" spans="1:15" s="5" customFormat="1" ht="28.8">
      <c r="A7" s="5" t="s">
        <v>224</v>
      </c>
      <c r="B7" s="51">
        <f>Предположения!C138</f>
        <v>275000</v>
      </c>
      <c r="C7" s="51">
        <f>Предположения!D138</f>
        <v>327000</v>
      </c>
      <c r="D7" s="51">
        <f>Предположения!E138</f>
        <v>185000</v>
      </c>
      <c r="E7" s="51">
        <f>Предположения!F138</f>
        <v>315000</v>
      </c>
      <c r="F7" s="51">
        <f>Предположения!G138</f>
        <v>330000</v>
      </c>
      <c r="G7" s="51">
        <f>Предположения!H138</f>
        <v>345000</v>
      </c>
      <c r="H7" s="51">
        <f>Предположения!I138</f>
        <v>360000</v>
      </c>
      <c r="I7" s="51">
        <f>Предположения!J138</f>
        <v>375000</v>
      </c>
      <c r="J7" s="51">
        <f>Предположения!K138</f>
        <v>390000</v>
      </c>
      <c r="K7" s="51">
        <f>Предположения!L138</f>
        <v>405000</v>
      </c>
      <c r="L7" s="51">
        <f>Предположения!M138</f>
        <v>420000</v>
      </c>
      <c r="M7" s="51">
        <f>Предположения!N138</f>
        <v>435000</v>
      </c>
      <c r="N7" s="51">
        <f>Предположения!O138</f>
        <v>450000</v>
      </c>
      <c r="O7" s="51"/>
    </row>
    <row r="8" spans="1:15" s="5" customFormat="1" ht="28.8">
      <c r="A8" s="5" t="s">
        <v>225</v>
      </c>
      <c r="B8" s="51">
        <f>B7*Предположения!C132</f>
        <v>50050000</v>
      </c>
      <c r="C8" s="51">
        <f>C7*Предположения!D132</f>
        <v>70959000</v>
      </c>
      <c r="D8" s="51">
        <f>D7*Предположения!E132</f>
        <v>51245000</v>
      </c>
      <c r="E8" s="51">
        <f>E7*Предположения!F132</f>
        <v>70780500</v>
      </c>
      <c r="F8" s="51">
        <f>F7*Предположения!G132</f>
        <v>76780934.999999985</v>
      </c>
      <c r="G8" s="51">
        <f>G7*Предположения!H132</f>
        <v>83116686.712499976</v>
      </c>
      <c r="H8" s="51">
        <f>H7*Предположения!I132</f>
        <v>89803821.649499983</v>
      </c>
      <c r="I8" s="51">
        <f>I7*Предположения!J132</f>
        <v>96859120.215867147</v>
      </c>
      <c r="J8" s="51">
        <f>J7*Предположения!K132</f>
        <v>104300107.00035939</v>
      </c>
      <c r="K8" s="51">
        <f>K7*Предположения!L132</f>
        <v>112145082.31250167</v>
      </c>
      <c r="L8" s="51">
        <f>L7*Предположения!M132</f>
        <v>120413155.01541843</v>
      </c>
      <c r="M8" s="51">
        <f>M7*Предположения!N132</f>
        <v>129124276.70670655</v>
      </c>
      <c r="N8" s="51">
        <f>N7*Предположения!O132</f>
        <v>138299277.30149099</v>
      </c>
      <c r="O8" s="51"/>
    </row>
    <row r="9" spans="1:15" s="20" customFormat="1">
      <c r="A9" s="20" t="s">
        <v>241</v>
      </c>
      <c r="B9" s="93">
        <f>B7+B5</f>
        <v>457357.5</v>
      </c>
      <c r="C9" s="93">
        <f t="shared" ref="C9:N9" si="0">C7+C5</f>
        <v>626000</v>
      </c>
      <c r="D9" s="93">
        <f t="shared" si="0"/>
        <v>389425</v>
      </c>
      <c r="E9" s="93">
        <f t="shared" si="0"/>
        <v>550950</v>
      </c>
      <c r="F9" s="93">
        <f t="shared" si="0"/>
        <v>562700</v>
      </c>
      <c r="G9" s="93">
        <f t="shared" si="0"/>
        <v>626515</v>
      </c>
      <c r="H9" s="93">
        <f t="shared" si="0"/>
        <v>665110</v>
      </c>
      <c r="I9" s="93">
        <f t="shared" si="0"/>
        <v>705330</v>
      </c>
      <c r="J9" s="93">
        <f t="shared" si="0"/>
        <v>720330</v>
      </c>
      <c r="K9" s="93">
        <f t="shared" si="0"/>
        <v>735330</v>
      </c>
      <c r="L9" s="93">
        <f t="shared" si="0"/>
        <v>750330</v>
      </c>
      <c r="M9" s="93">
        <f t="shared" si="0"/>
        <v>765330</v>
      </c>
      <c r="N9" s="93">
        <f t="shared" si="0"/>
        <v>780330</v>
      </c>
      <c r="O9" s="93"/>
    </row>
    <row r="10" spans="1:15" s="20" customFormat="1">
      <c r="A10" s="20" t="s">
        <v>242</v>
      </c>
      <c r="B10" s="93">
        <f>B8+B6</f>
        <v>83786137.5</v>
      </c>
      <c r="C10" s="93">
        <f t="shared" ref="C10:N10" si="1">C8+C6</f>
        <v>136739000</v>
      </c>
      <c r="D10" s="93">
        <f t="shared" si="1"/>
        <v>108484000</v>
      </c>
      <c r="E10" s="93">
        <f t="shared" si="1"/>
        <v>124506315</v>
      </c>
      <c r="F10" s="93">
        <f t="shared" si="1"/>
        <v>131621227.64999998</v>
      </c>
      <c r="G10" s="93">
        <f t="shared" si="1"/>
        <v>151783243.48023748</v>
      </c>
      <c r="H10" s="93">
        <f t="shared" si="1"/>
        <v>166830385.04805261</v>
      </c>
      <c r="I10" s="93">
        <f t="shared" si="1"/>
        <v>183171372.0316202</v>
      </c>
      <c r="J10" s="93">
        <f t="shared" si="1"/>
        <v>193633287.6296638</v>
      </c>
      <c r="K10" s="93">
        <f t="shared" si="1"/>
        <v>204604924.26383173</v>
      </c>
      <c r="L10" s="93">
        <f t="shared" si="1"/>
        <v>216109091.435045</v>
      </c>
      <c r="M10" s="93">
        <f t="shared" si="1"/>
        <v>228169570.90102005</v>
      </c>
      <c r="N10" s="93">
        <f t="shared" si="1"/>
        <v>240811156.79260546</v>
      </c>
      <c r="O10" s="93"/>
    </row>
    <row r="11" spans="1:15" s="20" customFormat="1" ht="28.8">
      <c r="A11" s="20" t="s">
        <v>243</v>
      </c>
      <c r="B11" s="103">
        <f>B10/B9</f>
        <v>183.19615945950378</v>
      </c>
      <c r="C11" s="103">
        <f t="shared" ref="C11:N11" si="2">C10/C9</f>
        <v>218.43290734824282</v>
      </c>
      <c r="D11" s="103">
        <f t="shared" si="2"/>
        <v>278.57482185273159</v>
      </c>
      <c r="E11" s="103">
        <f t="shared" si="2"/>
        <v>225.98478083310644</v>
      </c>
      <c r="F11" s="103">
        <f t="shared" si="2"/>
        <v>233.91012555535806</v>
      </c>
      <c r="G11" s="103">
        <f t="shared" si="2"/>
        <v>242.26593693724411</v>
      </c>
      <c r="H11" s="103">
        <f t="shared" si="2"/>
        <v>250.83126858422307</v>
      </c>
      <c r="I11" s="103">
        <f t="shared" si="2"/>
        <v>259.69598915631008</v>
      </c>
      <c r="J11" s="103">
        <f t="shared" si="2"/>
        <v>268.81191624625353</v>
      </c>
      <c r="K11" s="103">
        <f t="shared" si="2"/>
        <v>278.24911844183117</v>
      </c>
      <c r="L11" s="103">
        <f t="shared" si="2"/>
        <v>288.01872700684368</v>
      </c>
      <c r="M11" s="103">
        <f t="shared" si="2"/>
        <v>298.13227091714691</v>
      </c>
      <c r="N11" s="103">
        <f t="shared" si="2"/>
        <v>308.60169004473164</v>
      </c>
      <c r="O11" s="93"/>
    </row>
    <row r="12" spans="1:15" s="20" customFormat="1"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s="8" customFormat="1">
      <c r="A13" s="8" t="s">
        <v>244</v>
      </c>
      <c r="B13" s="104">
        <f>Предположения!$B$134+B11</f>
        <v>188.19615945950378</v>
      </c>
      <c r="C13" s="104">
        <f>Предположения!$B$134+C11</f>
        <v>223.43290734824282</v>
      </c>
      <c r="D13" s="104">
        <f>Предположения!$B$134+D11</f>
        <v>283.57482185273159</v>
      </c>
      <c r="E13" s="104">
        <f>Предположения!$B$134+E11</f>
        <v>230.98478083310644</v>
      </c>
      <c r="F13" s="104">
        <f>Предположения!$B$134+F11</f>
        <v>238.91012555535806</v>
      </c>
      <c r="G13" s="104">
        <f>Предположения!$B$134+G11</f>
        <v>247.26593693724411</v>
      </c>
      <c r="H13" s="104">
        <f>Предположения!$B$134+H11</f>
        <v>255.83126858422307</v>
      </c>
      <c r="I13" s="104">
        <f>Предположения!$B$134+I11</f>
        <v>264.69598915631008</v>
      </c>
      <c r="J13" s="104">
        <f>Предположения!$B$134+J11</f>
        <v>273.81191624625353</v>
      </c>
      <c r="K13" s="104">
        <f>Предположения!$B$134+K11</f>
        <v>283.24911844183117</v>
      </c>
      <c r="L13" s="104">
        <f>Предположения!$B$134+L11</f>
        <v>293.01872700684368</v>
      </c>
      <c r="M13" s="104">
        <f>Предположения!$B$134+M11</f>
        <v>303.13227091714691</v>
      </c>
      <c r="N13" s="104">
        <f>Предположения!$B$134+N11</f>
        <v>313.60169004473164</v>
      </c>
      <c r="O13" s="7"/>
    </row>
    <row r="14" spans="1:15" s="20" customFormat="1" ht="28.8">
      <c r="A14" s="8" t="s">
        <v>245</v>
      </c>
      <c r="B14" s="104">
        <f>B11+Предположения!$B$135</f>
        <v>198.19615945950378</v>
      </c>
      <c r="C14" s="104">
        <f>C11+Предположения!$B$135</f>
        <v>233.43290734824282</v>
      </c>
      <c r="D14" s="104">
        <f>D11+Предположения!$B$135</f>
        <v>293.57482185273159</v>
      </c>
      <c r="E14" s="104">
        <f>E11+Предположения!$B$135</f>
        <v>240.98478083310644</v>
      </c>
      <c r="F14" s="104">
        <f>F11+Предположения!$B$135</f>
        <v>248.91012555535806</v>
      </c>
      <c r="G14" s="104">
        <f>G11+Предположения!$B$135</f>
        <v>257.26593693724408</v>
      </c>
      <c r="H14" s="104">
        <f>H11+Предположения!$B$135</f>
        <v>265.83126858422304</v>
      </c>
      <c r="I14" s="104">
        <f>I11+Предположения!$B$135</f>
        <v>274.69598915631008</v>
      </c>
      <c r="J14" s="104">
        <f>J11+Предположения!$B$135</f>
        <v>283.81191624625353</v>
      </c>
      <c r="K14" s="104">
        <f>K11+Предположения!$B$135</f>
        <v>293.24911844183117</v>
      </c>
      <c r="L14" s="104">
        <f>L11+Предположения!$B$135</f>
        <v>303.01872700684368</v>
      </c>
      <c r="M14" s="104">
        <f>M11+Предположения!$B$135</f>
        <v>313.13227091714691</v>
      </c>
      <c r="N14" s="104">
        <f>N11+Предположения!$B$135</f>
        <v>323.60169004473164</v>
      </c>
      <c r="O14" s="93"/>
    </row>
    <row r="15" spans="1:15" s="20" customFormat="1">
      <c r="A15" s="8" t="s">
        <v>254</v>
      </c>
      <c r="B15" s="104">
        <f>Предположения!C151</f>
        <v>35</v>
      </c>
      <c r="C15" s="104">
        <f>Предположения!D151</f>
        <v>55</v>
      </c>
      <c r="D15" s="104">
        <f>Предположения!E151</f>
        <v>25</v>
      </c>
      <c r="E15" s="104">
        <f>Предположения!F151</f>
        <v>41.4</v>
      </c>
      <c r="F15" s="104">
        <f>Предположения!G151</f>
        <v>42.848999999999997</v>
      </c>
      <c r="G15" s="104">
        <f>Предположения!H151</f>
        <v>44.348714999999991</v>
      </c>
      <c r="H15" s="104">
        <f>Предположения!I151</f>
        <v>45.900920024999991</v>
      </c>
      <c r="I15" s="104">
        <f>Предположения!J151</f>
        <v>47.507452225874978</v>
      </c>
      <c r="J15" s="104">
        <f>Предположения!K151</f>
        <v>49.170213053780607</v>
      </c>
      <c r="K15" s="104">
        <f>Предположения!L151</f>
        <v>50.891170510662924</v>
      </c>
      <c r="L15" s="104">
        <f>Предположения!M151</f>
        <v>52.672361478536118</v>
      </c>
      <c r="M15" s="104">
        <f>Предположения!N151</f>
        <v>54.51589413028487</v>
      </c>
      <c r="N15" s="104">
        <f>Предположения!O151</f>
        <v>56.42395042484484</v>
      </c>
      <c r="O15" s="93"/>
    </row>
    <row r="16" spans="1:15" s="20" customFormat="1" ht="28.8">
      <c r="A16" s="8" t="s">
        <v>255</v>
      </c>
      <c r="B16" s="104">
        <f>B14+B15</f>
        <v>233.19615945950378</v>
      </c>
      <c r="C16" s="104">
        <f t="shared" ref="C16:N16" si="3">C14+C15</f>
        <v>288.43290734824279</v>
      </c>
      <c r="D16" s="104">
        <f t="shared" si="3"/>
        <v>318.57482185273159</v>
      </c>
      <c r="E16" s="104">
        <f t="shared" si="3"/>
        <v>282.38478083310645</v>
      </c>
      <c r="F16" s="104">
        <f t="shared" si="3"/>
        <v>291.75912555535808</v>
      </c>
      <c r="G16" s="104">
        <f t="shared" si="3"/>
        <v>301.61465193724405</v>
      </c>
      <c r="H16" s="104">
        <f t="shared" si="3"/>
        <v>311.73218860922304</v>
      </c>
      <c r="I16" s="104">
        <f t="shared" si="3"/>
        <v>322.20344138218508</v>
      </c>
      <c r="J16" s="104">
        <f t="shared" si="3"/>
        <v>332.98212930003416</v>
      </c>
      <c r="K16" s="104">
        <f t="shared" si="3"/>
        <v>344.14028895249407</v>
      </c>
      <c r="L16" s="104">
        <f t="shared" si="3"/>
        <v>355.69108848537979</v>
      </c>
      <c r="M16" s="104">
        <f t="shared" si="3"/>
        <v>367.6481650474318</v>
      </c>
      <c r="N16" s="104">
        <f t="shared" si="3"/>
        <v>380.0256404695765</v>
      </c>
      <c r="O16" s="93"/>
    </row>
    <row r="17" spans="1:15" s="20" customFormat="1">
      <c r="A17" s="8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s="5" customFormat="1" ht="28.8">
      <c r="A18" s="5" t="s">
        <v>226</v>
      </c>
      <c r="B18" s="51">
        <f>Предположения!$B$143*B9</f>
        <v>45735.75</v>
      </c>
      <c r="C18" s="51">
        <f>Предположения!$B$143*C9</f>
        <v>62600</v>
      </c>
      <c r="D18" s="51">
        <f>Предположения!$B$143*D9</f>
        <v>38942.5</v>
      </c>
      <c r="E18" s="51">
        <f>Предположения!$B$143*E9</f>
        <v>55095</v>
      </c>
      <c r="F18" s="51">
        <f>Предположения!$B$143*F9</f>
        <v>56270</v>
      </c>
      <c r="G18" s="51">
        <f>Предположения!$B$143*G9</f>
        <v>62651.5</v>
      </c>
      <c r="H18" s="51">
        <f>Предположения!$B$143*H9</f>
        <v>66511</v>
      </c>
      <c r="I18" s="51">
        <f>Предположения!$B$143*I9</f>
        <v>70533</v>
      </c>
      <c r="J18" s="51">
        <f>Предположения!$B$143*J9</f>
        <v>72033</v>
      </c>
      <c r="K18" s="51">
        <f>Предположения!$B$143*K9</f>
        <v>73533</v>
      </c>
      <c r="L18" s="51">
        <f>Предположения!$B$143*L9</f>
        <v>75033</v>
      </c>
      <c r="M18" s="51">
        <f>Предположения!$B$143*M9</f>
        <v>76533</v>
      </c>
      <c r="N18" s="51">
        <f>Предположения!$B$143*N9</f>
        <v>78033</v>
      </c>
      <c r="O18" s="51"/>
    </row>
    <row r="19" spans="1:15" s="5" customFormat="1">
      <c r="A19" s="5" t="s">
        <v>227</v>
      </c>
      <c r="B19" s="51">
        <f>B18*B13</f>
        <v>8607292.5</v>
      </c>
      <c r="C19" s="51">
        <f t="shared" ref="C19:N19" si="4">C18*C13</f>
        <v>13986900</v>
      </c>
      <c r="D19" s="51">
        <f t="shared" si="4"/>
        <v>11043112.5</v>
      </c>
      <c r="E19" s="51">
        <f t="shared" si="4"/>
        <v>12726106.5</v>
      </c>
      <c r="F19" s="51">
        <f t="shared" si="4"/>
        <v>13443472.764999999</v>
      </c>
      <c r="G19" s="51">
        <f t="shared" si="4"/>
        <v>15491581.84802375</v>
      </c>
      <c r="H19" s="51">
        <f t="shared" si="4"/>
        <v>17015593.504805259</v>
      </c>
      <c r="I19" s="51">
        <f t="shared" si="4"/>
        <v>18669802.203162018</v>
      </c>
      <c r="J19" s="51">
        <f t="shared" si="4"/>
        <v>19723493.76296638</v>
      </c>
      <c r="K19" s="51">
        <f t="shared" si="4"/>
        <v>20828157.426383171</v>
      </c>
      <c r="L19" s="51">
        <f t="shared" si="4"/>
        <v>21986074.1435045</v>
      </c>
      <c r="M19" s="51">
        <f t="shared" si="4"/>
        <v>23199622.090102006</v>
      </c>
      <c r="N19" s="51">
        <f t="shared" si="4"/>
        <v>24471280.679260544</v>
      </c>
      <c r="O19" s="51"/>
    </row>
    <row r="20" spans="1:15" s="20" customFormat="1" ht="28.8">
      <c r="A20" s="5" t="s">
        <v>228</v>
      </c>
      <c r="B20" s="7">
        <f>B9-B18</f>
        <v>411621.75</v>
      </c>
      <c r="C20" s="7">
        <f t="shared" ref="C20:N20" si="5">C9-C18</f>
        <v>563400</v>
      </c>
      <c r="D20" s="7">
        <f t="shared" si="5"/>
        <v>350482.5</v>
      </c>
      <c r="E20" s="7">
        <f t="shared" si="5"/>
        <v>495855</v>
      </c>
      <c r="F20" s="7">
        <f t="shared" si="5"/>
        <v>506430</v>
      </c>
      <c r="G20" s="7">
        <f t="shared" si="5"/>
        <v>563863.5</v>
      </c>
      <c r="H20" s="7">
        <f t="shared" si="5"/>
        <v>598599</v>
      </c>
      <c r="I20" s="7">
        <f t="shared" si="5"/>
        <v>634797</v>
      </c>
      <c r="J20" s="7">
        <f t="shared" si="5"/>
        <v>648297</v>
      </c>
      <c r="K20" s="7">
        <f t="shared" si="5"/>
        <v>661797</v>
      </c>
      <c r="L20" s="7">
        <f t="shared" si="5"/>
        <v>675297</v>
      </c>
      <c r="M20" s="7">
        <f t="shared" si="5"/>
        <v>688797</v>
      </c>
      <c r="N20" s="7">
        <f t="shared" si="5"/>
        <v>702297</v>
      </c>
      <c r="O20" s="93"/>
    </row>
    <row r="21" spans="1:15" s="5" customFormat="1">
      <c r="A21" s="5" t="s">
        <v>229</v>
      </c>
      <c r="B21" s="51">
        <f>B20*B16</f>
        <v>95988611.25</v>
      </c>
      <c r="C21" s="51">
        <f t="shared" ref="C21:N21" si="6">C20*C16</f>
        <v>162503100</v>
      </c>
      <c r="D21" s="51">
        <f t="shared" si="6"/>
        <v>111654900</v>
      </c>
      <c r="E21" s="51">
        <f t="shared" si="6"/>
        <v>140021905.5</v>
      </c>
      <c r="F21" s="51">
        <f t="shared" si="6"/>
        <v>147755573.95499998</v>
      </c>
      <c r="G21" s="51">
        <f t="shared" si="6"/>
        <v>170069493.29261622</v>
      </c>
      <c r="H21" s="51">
        <f t="shared" si="6"/>
        <v>186602576.36929232</v>
      </c>
      <c r="I21" s="51">
        <f t="shared" si="6"/>
        <v>204533777.97908694</v>
      </c>
      <c r="J21" s="51">
        <f t="shared" si="6"/>
        <v>215871315.47882426</v>
      </c>
      <c r="K21" s="51">
        <f t="shared" si="6"/>
        <v>227751010.80789372</v>
      </c>
      <c r="L21" s="51">
        <f t="shared" si="6"/>
        <v>240197124.98091152</v>
      </c>
      <c r="M21" s="51">
        <f t="shared" si="6"/>
        <v>253234953.14017588</v>
      </c>
      <c r="N21" s="51">
        <f t="shared" si="6"/>
        <v>266890867.22486216</v>
      </c>
      <c r="O21" s="51"/>
    </row>
    <row r="22" spans="1:15" s="95" customFormat="1" ht="15.6">
      <c r="A22" s="95" t="s">
        <v>256</v>
      </c>
      <c r="B22" s="107">
        <f>B19+B21</f>
        <v>104595903.75</v>
      </c>
      <c r="C22" s="107">
        <f t="shared" ref="C22:N22" si="7">C19+C21</f>
        <v>176490000</v>
      </c>
      <c r="D22" s="107">
        <f t="shared" si="7"/>
        <v>122698012.5</v>
      </c>
      <c r="E22" s="107">
        <f t="shared" si="7"/>
        <v>152748012</v>
      </c>
      <c r="F22" s="107">
        <f t="shared" si="7"/>
        <v>161199046.71999997</v>
      </c>
      <c r="G22" s="107">
        <f t="shared" si="7"/>
        <v>185561075.14063996</v>
      </c>
      <c r="H22" s="107">
        <f t="shared" si="7"/>
        <v>203618169.87409759</v>
      </c>
      <c r="I22" s="107">
        <f t="shared" si="7"/>
        <v>223203580.18224895</v>
      </c>
      <c r="J22" s="107">
        <f t="shared" si="7"/>
        <v>235594809.24179065</v>
      </c>
      <c r="K22" s="107">
        <f t="shared" si="7"/>
        <v>248579168.23427689</v>
      </c>
      <c r="L22" s="107">
        <f t="shared" si="7"/>
        <v>262183199.12441602</v>
      </c>
      <c r="M22" s="107">
        <f t="shared" si="7"/>
        <v>276434575.2302779</v>
      </c>
      <c r="N22" s="107">
        <f t="shared" si="7"/>
        <v>291362147.90412271</v>
      </c>
      <c r="O22" s="107"/>
    </row>
    <row r="23" spans="1:15" s="5" customFormat="1">
      <c r="A23" s="20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</row>
    <row r="24" spans="1:15" s="5" customFormat="1">
      <c r="A24" s="5" t="s">
        <v>257</v>
      </c>
      <c r="B24" s="94">
        <f>-B15*B20</f>
        <v>-14406761.25</v>
      </c>
      <c r="C24" s="94">
        <f t="shared" ref="C24:N24" si="8">-C15*C20</f>
        <v>-30987000</v>
      </c>
      <c r="D24" s="94">
        <f t="shared" si="8"/>
        <v>-8762062.5</v>
      </c>
      <c r="E24" s="94">
        <f t="shared" si="8"/>
        <v>-20528397</v>
      </c>
      <c r="F24" s="94">
        <f t="shared" si="8"/>
        <v>-21700019.069999997</v>
      </c>
      <c r="G24" s="94">
        <f t="shared" si="8"/>
        <v>-25006621.660402495</v>
      </c>
      <c r="H24" s="94">
        <f t="shared" si="8"/>
        <v>-27476244.826044969</v>
      </c>
      <c r="I24" s="94">
        <f t="shared" si="8"/>
        <v>-30157588.150628757</v>
      </c>
      <c r="J24" s="94">
        <f t="shared" si="8"/>
        <v>-31876901.612126805</v>
      </c>
      <c r="K24" s="94">
        <f t="shared" si="8"/>
        <v>-33679623.970445193</v>
      </c>
      <c r="L24" s="94">
        <f t="shared" si="8"/>
        <v>-35569487.689371005</v>
      </c>
      <c r="M24" s="94">
        <f t="shared" si="8"/>
        <v>-37550384.329257831</v>
      </c>
      <c r="N24" s="94">
        <f t="shared" si="8"/>
        <v>-39626371.111517258</v>
      </c>
      <c r="O24" s="94"/>
    </row>
    <row r="25" spans="1:15" s="5" customFormat="1" ht="43.2">
      <c r="A25" s="5" t="s">
        <v>258</v>
      </c>
      <c r="B25" s="94">
        <f>-Предположения!$B$152*B10</f>
        <v>-837861.375</v>
      </c>
      <c r="C25" s="94">
        <f>-Предположения!$B$152*C10</f>
        <v>-1367390</v>
      </c>
      <c r="D25" s="94">
        <f>-Предположения!$B$152*D10</f>
        <v>-1084840</v>
      </c>
      <c r="E25" s="94">
        <f>-Предположения!$B$152*E10</f>
        <v>-1245063.1500000001</v>
      </c>
      <c r="F25" s="94">
        <f>-Предположения!$B$152*F10</f>
        <v>-1316212.2764999997</v>
      </c>
      <c r="G25" s="94">
        <f>-Предположения!$B$152*G10</f>
        <v>-1517832.4348023748</v>
      </c>
      <c r="H25" s="94">
        <f>-Предположения!$B$152*H10</f>
        <v>-1668303.8504805262</v>
      </c>
      <c r="I25" s="94">
        <f>-Предположения!$B$152*I10</f>
        <v>-1831713.7203162021</v>
      </c>
      <c r="J25" s="94">
        <f>-Предположения!$B$152*J10</f>
        <v>-1936332.876296638</v>
      </c>
      <c r="K25" s="94">
        <f>-Предположения!$B$152*K10</f>
        <v>-2046049.2426383174</v>
      </c>
      <c r="L25" s="94">
        <f>-Предположения!$B$152*L10</f>
        <v>-2161090.91435045</v>
      </c>
      <c r="M25" s="94">
        <f>-Предположения!$B$152*M10</f>
        <v>-2281695.7090102006</v>
      </c>
      <c r="N25" s="94">
        <f>-Предположения!$B$152*N10</f>
        <v>-2408111.5679260548</v>
      </c>
      <c r="O25" s="94"/>
    </row>
    <row r="26" spans="1:15" s="5" customFormat="1" ht="28.8" hidden="1">
      <c r="A26" s="5" t="s">
        <v>260</v>
      </c>
      <c r="B26" s="94">
        <f>-Предположения!$B$146*Предположения!$B$145*B22</f>
        <v>-78446.927812499998</v>
      </c>
      <c r="C26" s="94">
        <f>-Предположения!$B$146*Предположения!$B$145*C22</f>
        <v>-132367.5</v>
      </c>
      <c r="D26" s="94">
        <f>-Предположения!$B$146*Предположения!$B$145*D22</f>
        <v>-92023.509375000009</v>
      </c>
      <c r="E26" s="94">
        <f>-Предположения!$B$146*Предположения!$B$145*E22</f>
        <v>-114561.00900000001</v>
      </c>
      <c r="F26" s="94">
        <f>-Предположения!$B$146*Предположения!$B$145*F22</f>
        <v>-120899.28503999997</v>
      </c>
      <c r="G26" s="94">
        <f>-Предположения!$B$146*Предположения!$B$145*G22</f>
        <v>-139170.80635547996</v>
      </c>
      <c r="H26" s="94">
        <f>-Предположения!$B$146*Предположения!$B$145*H22</f>
        <v>-152713.62740557321</v>
      </c>
      <c r="I26" s="94">
        <f>-Предположения!$B$146*Предположения!$B$145*I22</f>
        <v>-167402.68513668672</v>
      </c>
      <c r="J26" s="94">
        <f>-Предположения!$B$146*Предположения!$B$145*J22</f>
        <v>-176696.10693134301</v>
      </c>
      <c r="K26" s="94">
        <f>-Предположения!$B$146*Предположения!$B$145*K22</f>
        <v>-186434.37617570767</v>
      </c>
      <c r="L26" s="94">
        <f>-Предположения!$B$146*Предположения!$B$145*L22</f>
        <v>-196637.39934331202</v>
      </c>
      <c r="M26" s="94">
        <f>-Предположения!$B$146*Предположения!$B$145*M22</f>
        <v>-207325.93142270844</v>
      </c>
      <c r="N26" s="94">
        <f>-Предположения!$B$146*Предположения!$B$145*N22</f>
        <v>-218521.61092809204</v>
      </c>
      <c r="O26" s="94"/>
    </row>
    <row r="27" spans="1:15" s="5" customFormat="1">
      <c r="A27" s="5" t="s">
        <v>276</v>
      </c>
      <c r="B27" s="94">
        <f>-Предположения!$B$153*B22</f>
        <v>-1045959.0375</v>
      </c>
      <c r="C27" s="94">
        <f>-Предположения!$B$153*C22</f>
        <v>-1764900</v>
      </c>
      <c r="D27" s="94">
        <f>-Предположения!$B$153*D22</f>
        <v>-1226980.125</v>
      </c>
      <c r="E27" s="94">
        <f>-Предположения!$B$153*E22</f>
        <v>-1527480.12</v>
      </c>
      <c r="F27" s="94">
        <f>-Предположения!$B$153*F22</f>
        <v>-1611990.4671999998</v>
      </c>
      <c r="G27" s="94">
        <f>-Предположения!$B$153*G22</f>
        <v>-1855610.7514063995</v>
      </c>
      <c r="H27" s="94">
        <f>-Предположения!$B$153*H22</f>
        <v>-2036181.6987409759</v>
      </c>
      <c r="I27" s="94">
        <f>-Предположения!$B$153*I22</f>
        <v>-2232035.8018224896</v>
      </c>
      <c r="J27" s="94">
        <f>-Предположения!$B$153*J22</f>
        <v>-2355948.0924179065</v>
      </c>
      <c r="K27" s="94">
        <f>-Предположения!$B$153*K22</f>
        <v>-2485791.6823427691</v>
      </c>
      <c r="L27" s="94">
        <f>-Предположения!$B$153*L22</f>
        <v>-2621831.9912441601</v>
      </c>
      <c r="M27" s="94">
        <f>-Предположения!$B$153*M22</f>
        <v>-2764345.7523027789</v>
      </c>
      <c r="N27" s="94">
        <f>-Предположения!$B$153*N22</f>
        <v>-2913621.4790412271</v>
      </c>
      <c r="O27" s="94"/>
    </row>
    <row r="28" spans="1:15" s="5" customFormat="1" ht="43.2">
      <c r="A28" s="5" t="s">
        <v>277</v>
      </c>
      <c r="B28" s="94">
        <f>-Предположения!$B$158*B22</f>
        <v>-522979.51874999999</v>
      </c>
      <c r="C28" s="94">
        <f>-Предположения!$B$158*C22</f>
        <v>-882450</v>
      </c>
      <c r="D28" s="94">
        <f>-Предположения!$B$158*D22</f>
        <v>-613490.0625</v>
      </c>
      <c r="E28" s="94">
        <f>-Предположения!$B$158*E22</f>
        <v>-763740.06</v>
      </c>
      <c r="F28" s="94">
        <f>-Предположения!$B$158*F22</f>
        <v>-805995.23359999992</v>
      </c>
      <c r="G28" s="94">
        <f>-Предположения!$B$158*G22</f>
        <v>-927805.37570319977</v>
      </c>
      <c r="H28" s="94">
        <f>-Предположения!$B$158*H22</f>
        <v>-1018090.849370488</v>
      </c>
      <c r="I28" s="94">
        <f>-Предположения!$B$158*I22</f>
        <v>-1116017.9009112448</v>
      </c>
      <c r="J28" s="94">
        <f>-Предположения!$B$158*J22</f>
        <v>-1177974.0462089533</v>
      </c>
      <c r="K28" s="94">
        <f>-Предположения!$B$158*K22</f>
        <v>-1242895.8411713846</v>
      </c>
      <c r="L28" s="94">
        <f>-Предположения!$B$158*L22</f>
        <v>-1310915.9956220801</v>
      </c>
      <c r="M28" s="94">
        <f>-Предположения!$B$158*M22</f>
        <v>-1382172.8761513894</v>
      </c>
      <c r="N28" s="94">
        <f>-Предположения!$B$158*N22</f>
        <v>-1456810.7395206136</v>
      </c>
      <c r="O28" s="94"/>
    </row>
    <row r="29" spans="1:15" s="117" customFormat="1" ht="31.2">
      <c r="A29" s="117" t="s">
        <v>273</v>
      </c>
      <c r="B29" s="119">
        <f>B26+B25+B24+B22-B10+B27+B28</f>
        <v>3917758.1409374988</v>
      </c>
      <c r="C29" s="119">
        <f t="shared" ref="C29:N29" si="9">C26+C25+C24+C22-C10+C27+C28</f>
        <v>4616892.5</v>
      </c>
      <c r="D29" s="119">
        <f t="shared" si="9"/>
        <v>2434616.303124994</v>
      </c>
      <c r="E29" s="119">
        <f t="shared" si="9"/>
        <v>4062455.6609999905</v>
      </c>
      <c r="F29" s="119">
        <f t="shared" si="9"/>
        <v>4022702.7376599927</v>
      </c>
      <c r="G29" s="119">
        <f t="shared" si="9"/>
        <v>4330790.6317325113</v>
      </c>
      <c r="H29" s="119">
        <f t="shared" si="9"/>
        <v>4436249.9740024554</v>
      </c>
      <c r="I29" s="119">
        <f t="shared" si="9"/>
        <v>4527449.8918133592</v>
      </c>
      <c r="J29" s="119">
        <f t="shared" si="9"/>
        <v>4437668.8781452011</v>
      </c>
      <c r="K29" s="119">
        <f t="shared" si="9"/>
        <v>4333448.8576717945</v>
      </c>
      <c r="L29" s="119">
        <f t="shared" si="9"/>
        <v>4214143.6994399987</v>
      </c>
      <c r="M29" s="119">
        <f t="shared" si="9"/>
        <v>4079079.7311129374</v>
      </c>
      <c r="N29" s="119">
        <f t="shared" si="9"/>
        <v>3927554.6025839918</v>
      </c>
      <c r="O29" s="118"/>
    </row>
    <row r="30" spans="1:15" s="5" customFormat="1" ht="43.2">
      <c r="A30" s="70" t="s">
        <v>271</v>
      </c>
      <c r="B30" s="94">
        <f>-Предположения!$B$156*B29</f>
        <v>-117532.74422812495</v>
      </c>
      <c r="C30" s="94">
        <f>-Предположения!$B$156*C29</f>
        <v>-138506.77499999999</v>
      </c>
      <c r="D30" s="94">
        <f>-Предположения!$B$156*D29</f>
        <v>-73038.489093749813</v>
      </c>
      <c r="E30" s="94">
        <f>-Предположения!$B$156*E29</f>
        <v>-121873.66982999971</v>
      </c>
      <c r="F30" s="94">
        <f>-Предположения!$B$156*F29</f>
        <v>-120681.08212979978</v>
      </c>
      <c r="G30" s="94">
        <f>-Предположения!$B$156*G29</f>
        <v>-129923.71895197533</v>
      </c>
      <c r="H30" s="94">
        <f>-Предположения!$B$156*H29</f>
        <v>-133087.49922007366</v>
      </c>
      <c r="I30" s="94">
        <f>-Предположения!$B$156*I29</f>
        <v>-135823.49675440078</v>
      </c>
      <c r="J30" s="94">
        <f>-Предположения!$B$156*J29</f>
        <v>-133130.06634435602</v>
      </c>
      <c r="K30" s="94">
        <f>-Предположения!$B$156*K29</f>
        <v>-130003.46573015382</v>
      </c>
      <c r="L30" s="94">
        <f>-Предположения!$B$156*L29</f>
        <v>-126424.31098319996</v>
      </c>
      <c r="M30" s="94">
        <f>-Предположения!$B$156*M29</f>
        <v>-122372.39193338812</v>
      </c>
      <c r="N30" s="94">
        <f>-Предположения!$B$156*N29</f>
        <v>-117826.63807751975</v>
      </c>
      <c r="O30" s="94"/>
    </row>
    <row r="31" spans="1:15" s="5" customFormat="1">
      <c r="A31" s="70" t="s">
        <v>429</v>
      </c>
      <c r="B31" s="94">
        <f>'Tr P&amp;L 2012'!B18</f>
        <v>-510756</v>
      </c>
      <c r="C31" s="94">
        <f>'Tr P&amp;L 2012'!C18</f>
        <v>-965342</v>
      </c>
      <c r="D31" s="94">
        <f>'Tr P&amp;L 2012'!D18</f>
        <v>-1051276</v>
      </c>
      <c r="E31" s="94">
        <f>D31*(1+Предположения!F11)</f>
        <v>-1079660.4519999998</v>
      </c>
      <c r="F31" s="94">
        <f>E31*(1+Предположения!G11)</f>
        <v>-1110970.6051079996</v>
      </c>
      <c r="G31" s="94">
        <f>F31*(1+Предположения!H11)</f>
        <v>-1145410.6938663474</v>
      </c>
      <c r="H31" s="94">
        <f>G31*(1+Предположения!I11)</f>
        <v>-1183209.2467639367</v>
      </c>
      <c r="I31" s="94">
        <f>H31*(1+Предположения!J11)</f>
        <v>-1224621.5704006744</v>
      </c>
      <c r="J31" s="94">
        <f>I31*(1+Предположения!K11)</f>
        <v>-1269932.5685054993</v>
      </c>
      <c r="K31" s="94">
        <f>J31*(1+Предположения!L11)</f>
        <v>-1319459.9386772136</v>
      </c>
      <c r="L31" s="94">
        <f>K31*(1+Предположения!M11)</f>
        <v>-1373557.7961629792</v>
      </c>
      <c r="M31" s="94">
        <f>L31*(1+Предположения!N11)</f>
        <v>-1432620.7813979872</v>
      </c>
      <c r="N31" s="94">
        <f>M31*(1+Предположения!O11)</f>
        <v>-1497088.7165608965</v>
      </c>
      <c r="O31" s="94"/>
    </row>
    <row r="32" spans="1:15" s="5" customFormat="1"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</row>
    <row r="33" spans="1:15" s="5" customFormat="1" ht="15.6">
      <c r="A33" s="1" t="s">
        <v>300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1:15" s="5" customFormat="1" ht="28.8">
      <c r="A34" s="32" t="s">
        <v>301</v>
      </c>
      <c r="B34" s="94">
        <f>'Tr P&amp;L 2012'!B16</f>
        <v>-24756</v>
      </c>
      <c r="C34" s="94">
        <f>'Tr P&amp;L 2012'!C16</f>
        <v>-35987</v>
      </c>
      <c r="D34" s="94">
        <f>'Tr P&amp;L 2012'!D16</f>
        <v>-176894</v>
      </c>
      <c r="E34" s="94">
        <f>E22*Предположения!$B$188</f>
        <v>-89896.050503334031</v>
      </c>
      <c r="F34" s="94">
        <f>F22*Предположения!$B$188</f>
        <v>-94869.697191413652</v>
      </c>
      <c r="G34" s="94">
        <f>G22*Предположения!$B$188</f>
        <v>-109207.36423264173</v>
      </c>
      <c r="H34" s="94">
        <f>H22*Предположения!$B$188</f>
        <v>-119834.41907183921</v>
      </c>
      <c r="I34" s="94">
        <f>I22*Предположения!$B$188</f>
        <v>-131360.92610218993</v>
      </c>
      <c r="J34" s="94">
        <f>J22*Предположения!$B$188</f>
        <v>-138653.4763537437</v>
      </c>
      <c r="K34" s="94">
        <f>K22*Предположения!$B$188</f>
        <v>-146295.09850292077</v>
      </c>
      <c r="L34" s="94">
        <f>L22*Предположения!$B$188</f>
        <v>-154301.41316414767</v>
      </c>
      <c r="M34" s="94">
        <f>M22*Предположения!$B$188</f>
        <v>-162688.70678178614</v>
      </c>
      <c r="N34" s="94">
        <f>N22*Предположения!$B$188</f>
        <v>-171473.95910297605</v>
      </c>
      <c r="O34" s="94"/>
    </row>
    <row r="35" spans="1:15" s="5" customFormat="1"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1:15" s="97" customFormat="1" ht="15.6">
      <c r="A36" s="95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</row>
    <row r="37" spans="1:15" s="5" customFormat="1"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1:15" s="5" customFormat="1"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1:15" s="5" customFormat="1"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1:15" s="95" customFormat="1" ht="15.6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</row>
    <row r="41" spans="1:15" s="5" customFormat="1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1:15" s="95" customFormat="1" ht="15.6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>
        <f t="shared" ref="N42" si="10">N43+N44</f>
        <v>9193159.7902130093</v>
      </c>
      <c r="O42" s="98"/>
    </row>
    <row r="43" spans="1:15" s="5" customFormat="1"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>
        <f>-Предположения!O106*N34</f>
        <v>7368020.5273186164</v>
      </c>
      <c r="O43" s="94"/>
    </row>
    <row r="44" spans="1:15" s="5" customFormat="1"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>
        <f>-Предположения!O107*'Tr Fin'!N12</f>
        <v>1825139.2628943932</v>
      </c>
      <c r="O44" s="94"/>
    </row>
    <row r="45" spans="1:15" s="95" customFormat="1" ht="15.6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>
        <f t="shared" ref="N45" si="11">N46</f>
        <v>5526015.3954889616</v>
      </c>
      <c r="O45" s="98"/>
    </row>
    <row r="46" spans="1:15" s="5" customFormat="1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>
        <f>-Предположения!O109*N34</f>
        <v>5526015.3954889616</v>
      </c>
      <c r="O46" s="94"/>
    </row>
    <row r="47" spans="1:15" s="95" customFormat="1" ht="15.6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>
        <f t="shared" ref="N47" si="12">N45+N42</f>
        <v>14719175.18570197</v>
      </c>
      <c r="O47" s="98"/>
    </row>
    <row r="48" spans="1:15" s="5" customFormat="1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s="5" customFormat="1"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2:15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2: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2:15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2:15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2:15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2:15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2: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2:15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2:15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2:15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2:15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2:15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2:15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2:15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2:15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2:15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2:15"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O138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RowHeight="14.4"/>
  <cols>
    <col min="1" max="1" width="46.33203125" style="2" customWidth="1"/>
    <col min="2" max="17" width="14.77734375" style="2" customWidth="1"/>
    <col min="18" max="16384" width="8.88671875" style="2"/>
  </cols>
  <sheetData>
    <row r="1" spans="1:14">
      <c r="A1" s="303" t="s">
        <v>740</v>
      </c>
    </row>
    <row r="2" spans="1:14" ht="21">
      <c r="A2" s="92" t="s">
        <v>652</v>
      </c>
    </row>
    <row r="3" spans="1:14" ht="21">
      <c r="A3" s="201" t="s">
        <v>119</v>
      </c>
    </row>
    <row r="4" spans="1:14" s="37" customFormat="1" ht="15.6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ht="15.6">
      <c r="A6" s="124" t="s">
        <v>401</v>
      </c>
      <c r="B6" s="123">
        <f>SUM(B7:B10)</f>
        <v>-78446.927812499998</v>
      </c>
      <c r="C6" s="123">
        <f t="shared" ref="C6:N6" si="0">SUM(C7:C10)</f>
        <v>-132367.5</v>
      </c>
      <c r="D6" s="123">
        <f t="shared" si="0"/>
        <v>-92023.509375000009</v>
      </c>
      <c r="E6" s="123">
        <f t="shared" si="0"/>
        <v>-114561.00900000001</v>
      </c>
      <c r="F6" s="123">
        <f t="shared" si="0"/>
        <v>-120899.28503999997</v>
      </c>
      <c r="G6" s="123">
        <f t="shared" si="0"/>
        <v>-139170.80635547996</v>
      </c>
      <c r="H6" s="123">
        <f t="shared" si="0"/>
        <v>-152713.62740557321</v>
      </c>
      <c r="I6" s="123">
        <f t="shared" si="0"/>
        <v>-167402.68513668672</v>
      </c>
      <c r="J6" s="123">
        <f t="shared" si="0"/>
        <v>-176696.10693134301</v>
      </c>
      <c r="K6" s="123">
        <f t="shared" si="0"/>
        <v>-186434.37617570767</v>
      </c>
      <c r="L6" s="123">
        <f t="shared" si="0"/>
        <v>-196637.39934331202</v>
      </c>
      <c r="M6" s="123">
        <f t="shared" si="0"/>
        <v>-207325.93142270844</v>
      </c>
      <c r="N6" s="123">
        <f t="shared" si="0"/>
        <v>-218521.61092809204</v>
      </c>
    </row>
    <row r="7" spans="1:14" s="126" customFormat="1" ht="13.8">
      <c r="A7" s="126" t="s">
        <v>421</v>
      </c>
      <c r="B7" s="127">
        <f>-Предположения!$B$145*Предположения!$B$146*'Tr Sales Costs'!B22</f>
        <v>-78446.927812499998</v>
      </c>
      <c r="C7" s="127">
        <f>-Предположения!$B$145*Предположения!$B$146*'Tr Sales Costs'!C22</f>
        <v>-132367.5</v>
      </c>
      <c r="D7" s="127">
        <f>-Предположения!$B$145*Предположения!$B$146*'Tr Sales Costs'!D22</f>
        <v>-92023.509375000009</v>
      </c>
      <c r="E7" s="127">
        <f>-Предположения!$B$145*Предположения!$B$146*'Tr Sales Costs'!E22</f>
        <v>-114561.00900000001</v>
      </c>
      <c r="F7" s="127">
        <f>-Предположения!$B$145*Предположения!$B$146*'Tr Sales Costs'!F22</f>
        <v>-120899.28503999997</v>
      </c>
      <c r="G7" s="127">
        <f>-Предположения!$B$145*Предположения!$B$146*'Tr Sales Costs'!G22</f>
        <v>-139170.80635547996</v>
      </c>
      <c r="H7" s="127">
        <f>-Предположения!$B$145*Предположения!$B$146*'Tr Sales Costs'!H22</f>
        <v>-152713.62740557321</v>
      </c>
      <c r="I7" s="127">
        <f>-Предположения!$B$145*Предположения!$B$146*'Tr Sales Costs'!I22</f>
        <v>-167402.68513668672</v>
      </c>
      <c r="J7" s="127">
        <f>-Предположения!$B$145*Предположения!$B$146*'Tr Sales Costs'!J22</f>
        <v>-176696.10693134301</v>
      </c>
      <c r="K7" s="127">
        <f>-Предположения!$B$145*Предположения!$B$146*'Tr Sales Costs'!K22</f>
        <v>-186434.37617570767</v>
      </c>
      <c r="L7" s="127">
        <f>-Предположения!$B$145*Предположения!$B$146*'Tr Sales Costs'!L22</f>
        <v>-196637.39934331202</v>
      </c>
      <c r="M7" s="127">
        <f>-Предположения!$B$145*Предположения!$B$146*'Tr Sales Costs'!M22</f>
        <v>-207325.93142270844</v>
      </c>
      <c r="N7" s="127">
        <f>-Предположения!$B$145*Предположения!$B$146*'Tr Sales Costs'!N22</f>
        <v>-218521.61092809204</v>
      </c>
    </row>
    <row r="8" spans="1:14" s="126" customFormat="1" ht="27.6">
      <c r="A8" s="145" t="s">
        <v>422</v>
      </c>
      <c r="B8" s="127">
        <f>'Tr P&amp;L 2012'!B26</f>
        <v>0</v>
      </c>
      <c r="C8" s="127">
        <f>'Tr P&amp;L 2012'!C26</f>
        <v>0</v>
      </c>
      <c r="D8" s="127">
        <f>'Tr P&amp;L 2012'!D26</f>
        <v>0</v>
      </c>
      <c r="E8" s="127"/>
      <c r="F8" s="127"/>
      <c r="G8" s="127"/>
      <c r="H8" s="127"/>
      <c r="I8" s="127"/>
      <c r="J8" s="127"/>
      <c r="K8" s="127"/>
      <c r="L8" s="127"/>
      <c r="M8" s="127"/>
      <c r="N8" s="127"/>
    </row>
    <row r="9" spans="1:14" s="126" customFormat="1" ht="13.8">
      <c r="A9" s="126" t="s">
        <v>403</v>
      </c>
      <c r="B9" s="127">
        <f>'Tr P&amp;L 2012'!B27</f>
        <v>0</v>
      </c>
      <c r="C9" s="127">
        <f>'Tr P&amp;L 2012'!C27</f>
        <v>0</v>
      </c>
      <c r="D9" s="127">
        <f>'Tr P&amp;L 2012'!D27</f>
        <v>0</v>
      </c>
      <c r="E9" s="127"/>
      <c r="F9" s="127"/>
      <c r="G9" s="127"/>
      <c r="H9" s="127"/>
      <c r="I9" s="127"/>
      <c r="J9" s="127"/>
      <c r="K9" s="127"/>
      <c r="L9" s="127"/>
      <c r="M9" s="127"/>
      <c r="N9" s="127"/>
    </row>
    <row r="10" spans="1:14" s="126" customFormat="1" ht="27.6">
      <c r="A10" s="145" t="s">
        <v>423</v>
      </c>
      <c r="B10" s="127">
        <f>'Tr P&amp;L 2012'!B28</f>
        <v>0</v>
      </c>
      <c r="C10" s="127">
        <f>'Tr P&amp;L 2012'!C28</f>
        <v>0</v>
      </c>
      <c r="D10" s="127">
        <f>'Tr P&amp;L 2012'!D28</f>
        <v>0</v>
      </c>
      <c r="E10" s="127"/>
      <c r="F10" s="127"/>
      <c r="G10" s="127"/>
      <c r="H10" s="127"/>
      <c r="I10" s="127"/>
      <c r="J10" s="127"/>
      <c r="K10" s="127"/>
      <c r="L10" s="127"/>
      <c r="M10" s="127"/>
      <c r="N10" s="127"/>
    </row>
    <row r="11" spans="1:14" s="126" customFormat="1" ht="15.6">
      <c r="A11" s="97" t="s">
        <v>404</v>
      </c>
      <c r="B11" s="127">
        <f>'Tr P&amp;L 2012'!B29</f>
        <v>0</v>
      </c>
      <c r="C11" s="127">
        <f>'Tr P&amp;L 2012'!C29</f>
        <v>0</v>
      </c>
      <c r="D11" s="127">
        <f>'Tr P&amp;L 2012'!D29</f>
        <v>0</v>
      </c>
      <c r="E11" s="127"/>
      <c r="F11" s="127"/>
      <c r="G11" s="127"/>
      <c r="H11" s="127"/>
      <c r="I11" s="127"/>
      <c r="J11" s="127"/>
      <c r="K11" s="127"/>
      <c r="L11" s="127"/>
      <c r="M11" s="127"/>
      <c r="N11" s="127"/>
    </row>
    <row r="12" spans="1:14" s="126" customFormat="1" ht="31.2">
      <c r="A12" s="97" t="s">
        <v>302</v>
      </c>
      <c r="B12" s="129">
        <f>'Tr P&amp;L 2012'!B30</f>
        <v>-86072.925000000003</v>
      </c>
      <c r="C12" s="129">
        <f>'Tr P&amp;L 2012'!C30</f>
        <v>-139869</v>
      </c>
      <c r="D12" s="129">
        <f>'Tr P&amp;L 2012'!D30</f>
        <v>-110431.125</v>
      </c>
      <c r="E12" s="94">
        <f>'Tr Sales Costs'!E22*Предположения!$B$189</f>
        <v>-127247.05618552878</v>
      </c>
      <c r="F12" s="94">
        <f>'Tr Sales Costs'!F22*Предположения!$B$189</f>
        <v>-134287.20862850585</v>
      </c>
      <c r="G12" s="94">
        <f>'Tr Sales Costs'!G22*Предположения!$B$189</f>
        <v>-154582.04820543353</v>
      </c>
      <c r="H12" s="94">
        <f>'Tr Sales Costs'!H22*Предположения!$B$189</f>
        <v>-169624.54936803918</v>
      </c>
      <c r="I12" s="94">
        <f>'Tr Sales Costs'!I22*Предположения!$B$189</f>
        <v>-185940.21706980912</v>
      </c>
      <c r="J12" s="94">
        <f>'Tr Sales Costs'!J22*Предположения!$B$189</f>
        <v>-196262.75678539809</v>
      </c>
      <c r="K12" s="94">
        <f>'Tr Sales Costs'!K22*Предположения!$B$189</f>
        <v>-207079.40465280192</v>
      </c>
      <c r="L12" s="94">
        <f>'Tr Sales Costs'!L22*Предположения!$B$189</f>
        <v>-218412.2715121572</v>
      </c>
      <c r="M12" s="94">
        <f>'Tr Sales Costs'!M22*Предположения!$B$189</f>
        <v>-230284.41067992395</v>
      </c>
      <c r="N12" s="94">
        <f>'Tr Sales Costs'!N22*Предположения!$B$189</f>
        <v>-242719.85683644935</v>
      </c>
    </row>
    <row r="13" spans="1:14" s="126" customFormat="1" ht="15.6">
      <c r="A13" s="97"/>
      <c r="B13" s="129"/>
      <c r="C13" s="129"/>
      <c r="D13" s="129"/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s="126" customFormat="1" ht="15.6">
      <c r="A14" s="97" t="s">
        <v>430</v>
      </c>
      <c r="B14" s="129">
        <f>'Tr P&amp;L 2012'!B14</f>
        <v>0</v>
      </c>
      <c r="C14" s="129">
        <f>'Tr P&amp;L 2012'!C14</f>
        <v>0</v>
      </c>
      <c r="D14" s="129">
        <f>'Tr P&amp;L 2012'!D14</f>
        <v>0</v>
      </c>
      <c r="E14" s="94">
        <v>0</v>
      </c>
      <c r="F14" s="94">
        <f>E14</f>
        <v>0</v>
      </c>
      <c r="G14" s="94">
        <f t="shared" ref="G14:N14" si="1">F14</f>
        <v>0</v>
      </c>
      <c r="H14" s="94">
        <f t="shared" si="1"/>
        <v>0</v>
      </c>
      <c r="I14" s="94">
        <f t="shared" si="1"/>
        <v>0</v>
      </c>
      <c r="J14" s="94">
        <f t="shared" si="1"/>
        <v>0</v>
      </c>
      <c r="K14" s="94">
        <f t="shared" si="1"/>
        <v>0</v>
      </c>
      <c r="L14" s="94">
        <f t="shared" si="1"/>
        <v>0</v>
      </c>
      <c r="M14" s="94">
        <f t="shared" si="1"/>
        <v>0</v>
      </c>
      <c r="N14" s="94">
        <f t="shared" si="1"/>
        <v>0</v>
      </c>
    </row>
    <row r="15" spans="1:14" s="130" customFormat="1"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</row>
    <row r="16" spans="1:14" s="38" customFormat="1">
      <c r="A16" s="38" t="s">
        <v>409</v>
      </c>
      <c r="B16" s="123">
        <f>'Tr P&amp;L 2012'!B32</f>
        <v>-321370.72276468761</v>
      </c>
      <c r="C16" s="123">
        <f>'Tr P&amp;L 2012'!C32</f>
        <v>-338487.42249999999</v>
      </c>
      <c r="D16" s="123">
        <f>'Tr P&amp;L 2012'!D32</f>
        <v>-103970.14484062503</v>
      </c>
      <c r="E16" s="123">
        <f>IF(E20&lt;0,0,-E20*Предположения!F19)</f>
        <v>-263954.20574811433</v>
      </c>
      <c r="F16" s="123">
        <f>IF(F20&lt;0,0,-F20*Предположения!G19)</f>
        <v>-255709.89917397697</v>
      </c>
      <c r="G16" s="123">
        <f>IF(G20&lt;0,0,-G20*Предположения!H19)</f>
        <v>-278622.86236147856</v>
      </c>
      <c r="H16" s="123">
        <f>IF(H20&lt;0,0,-H20*Предположения!I19)</f>
        <v>-282431.48523931659</v>
      </c>
      <c r="I16" s="123">
        <f>IF(I20&lt;0,0,-I20*Предположения!J19)</f>
        <v>-284266.84264057368</v>
      </c>
      <c r="J16" s="123">
        <f>IF(J20&lt;0,0,-J20*Предположения!K19)</f>
        <v>-269166.48946858471</v>
      </c>
      <c r="K16" s="123">
        <f>IF(K20&lt;0,0,-K20*Предположения!L19)</f>
        <v>-252143.90456375806</v>
      </c>
      <c r="L16" s="123">
        <f>IF(L20&lt;0,0,-L20*Предположения!M19)</f>
        <v>-233094.51598077128</v>
      </c>
      <c r="M16" s="123">
        <f>IF(M20&lt;0,0,-M20*Предположения!N19)</f>
        <v>-211906.36377576308</v>
      </c>
      <c r="N16" s="123">
        <f>IF(N20&lt;0,0,-N20*Предположения!O19)</f>
        <v>-188459.41839608518</v>
      </c>
    </row>
    <row r="17" spans="1:15" ht="15.6">
      <c r="A17" s="9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</row>
    <row r="18" spans="1:15" s="38" customFormat="1">
      <c r="A18" s="38" t="s">
        <v>424</v>
      </c>
      <c r="B18" s="123">
        <f>'Tr P&amp;L 2012'!B37</f>
        <v>-723084.12622054713</v>
      </c>
      <c r="C18" s="123">
        <f>'Tr P&amp;L 2012'!C37</f>
        <v>-761596.70062499994</v>
      </c>
      <c r="D18" s="123">
        <f>'Tr P&amp;L 2012'!D37</f>
        <v>-233932.8258914063</v>
      </c>
      <c r="E18" s="123">
        <f>IF(E21&lt;0,0,-E21*Предположения!$B$209)</f>
        <v>-593896.96293325722</v>
      </c>
      <c r="F18" s="123">
        <f>IF(F21&lt;0,0,-F21*Предположения!$B$209)</f>
        <v>-575347.27314144815</v>
      </c>
      <c r="G18" s="123">
        <f>IF(G21&lt;0,0,-G21*Предположения!$B$209)</f>
        <v>-626901.44031332666</v>
      </c>
      <c r="H18" s="123">
        <f>IF(H21&lt;0,0,-H21*Предположения!$B$209)</f>
        <v>-635470.84178846225</v>
      </c>
      <c r="I18" s="123">
        <f>IF(I21&lt;0,0,-I21*Предположения!$B$209)</f>
        <v>-639600.39594129077</v>
      </c>
      <c r="J18" s="123">
        <f>IF(J21&lt;0,0,-J21*Предположения!$B$209)</f>
        <v>-605624.6013043155</v>
      </c>
      <c r="K18" s="123">
        <f>IF(K21&lt;0,0,-K21*Предположения!$B$209)</f>
        <v>-567323.78526845563</v>
      </c>
      <c r="L18" s="123">
        <f>IF(L21&lt;0,0,-L21*Предположения!$B$209)</f>
        <v>-524462.66095673537</v>
      </c>
      <c r="M18" s="123">
        <f>IF(M21&lt;0,0,-M21*Предположения!$B$209)</f>
        <v>-476789.31849546684</v>
      </c>
      <c r="N18" s="123">
        <f>IF(N21&lt;0,0,-N21*Предположения!$B$209)</f>
        <v>-424033.69139119162</v>
      </c>
    </row>
    <row r="19" spans="1:15" s="44" customFormat="1" ht="15.6"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</row>
    <row r="20" spans="1:15" ht="15.6">
      <c r="A20" s="97" t="s">
        <v>425</v>
      </c>
      <c r="B20" s="41">
        <f>'Tr P&amp;L 2012'!B31</f>
        <v>3177430.4717093762</v>
      </c>
      <c r="C20" s="41">
        <f>'Tr P&amp;L 2012'!C31</f>
        <v>3334731.7249999996</v>
      </c>
      <c r="D20" s="41">
        <f>'Tr P&amp;L 2012'!D31</f>
        <v>1019226.6890312503</v>
      </c>
      <c r="E20" s="41">
        <f>'Tr P&amp;L proj'!E30</f>
        <v>2639542.0574811432</v>
      </c>
      <c r="F20" s="41">
        <f>'Tr P&amp;L proj'!F30</f>
        <v>2557098.9917397695</v>
      </c>
      <c r="G20" s="41">
        <f>'Tr P&amp;L proj'!G30</f>
        <v>2786228.6236147853</v>
      </c>
      <c r="H20" s="41">
        <f>'Tr P&amp;L proj'!H30</f>
        <v>2824314.8523931657</v>
      </c>
      <c r="I20" s="41">
        <f>'Tr P&amp;L proj'!I30</f>
        <v>2842668.4264057367</v>
      </c>
      <c r="J20" s="41">
        <f>'Tr P&amp;L proj'!J30</f>
        <v>2691664.8946858468</v>
      </c>
      <c r="K20" s="41">
        <f>'Tr P&amp;L proj'!K30</f>
        <v>2521439.0456375806</v>
      </c>
      <c r="L20" s="41">
        <f>'Tr P&amp;L proj'!L30</f>
        <v>2330945.1598077128</v>
      </c>
      <c r="M20" s="41">
        <f>'Tr P&amp;L proj'!M30</f>
        <v>2119063.6377576306</v>
      </c>
      <c r="N20" s="41">
        <f>'Tr P&amp;L proj'!N30</f>
        <v>1884594.1839608517</v>
      </c>
    </row>
    <row r="21" spans="1:15" ht="15.6">
      <c r="A21" s="97" t="s">
        <v>426</v>
      </c>
      <c r="B21" s="125">
        <f>'Tr P&amp;L 2012'!B33</f>
        <v>2856059.7489446886</v>
      </c>
      <c r="C21" s="125">
        <f>'Tr P&amp;L 2012'!C33</f>
        <v>2996244.3024999998</v>
      </c>
      <c r="D21" s="125">
        <f>'Tr P&amp;L 2012'!D33</f>
        <v>915256.54419062531</v>
      </c>
      <c r="E21" s="125">
        <f>'Tr P&amp;L proj'!E32</f>
        <v>2375587.8517330289</v>
      </c>
      <c r="F21" s="125">
        <f>'Tr P&amp;L proj'!F32</f>
        <v>2301389.0925657926</v>
      </c>
      <c r="G21" s="125">
        <f>'Tr P&amp;L proj'!G32</f>
        <v>2507605.7612533066</v>
      </c>
      <c r="H21" s="125">
        <f>'Tr P&amp;L proj'!H32</f>
        <v>2541883.367153849</v>
      </c>
      <c r="I21" s="125">
        <f>'Tr P&amp;L proj'!I32</f>
        <v>2558401.5837651631</v>
      </c>
      <c r="J21" s="125">
        <f>'Tr P&amp;L proj'!J32</f>
        <v>2422498.405217262</v>
      </c>
      <c r="K21" s="125">
        <f>'Tr P&amp;L proj'!K32</f>
        <v>2269295.1410738225</v>
      </c>
      <c r="L21" s="125">
        <f>'Tr P&amp;L proj'!L32</f>
        <v>2097850.6438269415</v>
      </c>
      <c r="M21" s="125">
        <f>'Tr P&amp;L proj'!M32</f>
        <v>1907157.2739818674</v>
      </c>
      <c r="N21" s="125">
        <f>'Tr P&amp;L proj'!N32</f>
        <v>1696134.7655647665</v>
      </c>
    </row>
    <row r="22" spans="1:15" s="126" customFormat="1"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</row>
    <row r="23" spans="1:15" s="126" customFormat="1" ht="15.6">
      <c r="A23" s="124" t="s">
        <v>653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</row>
    <row r="24" spans="1:15" s="45" customFormat="1" ht="31.2">
      <c r="A24" s="97" t="s">
        <v>654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</row>
    <row r="25" spans="1:15" ht="31.2">
      <c r="A25" s="97" t="s">
        <v>655</v>
      </c>
      <c r="B25" s="41"/>
      <c r="C25" s="41"/>
      <c r="D25" s="41"/>
      <c r="E25" s="41"/>
    </row>
    <row r="26" spans="1:15" ht="31.2">
      <c r="A26" s="97" t="s">
        <v>656</v>
      </c>
      <c r="B26" s="41">
        <f>B24+B25</f>
        <v>0</v>
      </c>
      <c r="C26" s="41">
        <f>B26+C24+C25</f>
        <v>0</v>
      </c>
      <c r="D26" s="41">
        <f t="shared" ref="D26:N26" si="2">C26+D24+D25</f>
        <v>0</v>
      </c>
      <c r="E26" s="41">
        <f t="shared" si="2"/>
        <v>0</v>
      </c>
      <c r="F26" s="41">
        <f t="shared" si="2"/>
        <v>0</v>
      </c>
      <c r="G26" s="41">
        <f t="shared" si="2"/>
        <v>0</v>
      </c>
      <c r="H26" s="41">
        <f t="shared" si="2"/>
        <v>0</v>
      </c>
      <c r="I26" s="41">
        <f t="shared" si="2"/>
        <v>0</v>
      </c>
      <c r="J26" s="41">
        <f t="shared" si="2"/>
        <v>0</v>
      </c>
      <c r="K26" s="41">
        <f t="shared" si="2"/>
        <v>0</v>
      </c>
      <c r="L26" s="41">
        <f t="shared" si="2"/>
        <v>0</v>
      </c>
      <c r="M26" s="41">
        <f t="shared" si="2"/>
        <v>0</v>
      </c>
      <c r="N26" s="41">
        <f t="shared" si="2"/>
        <v>0</v>
      </c>
    </row>
    <row r="27" spans="1:15" ht="31.2">
      <c r="A27" s="97" t="s">
        <v>657</v>
      </c>
      <c r="B27" s="260">
        <f>Предположения!$B$225</f>
        <v>0.08</v>
      </c>
      <c r="C27" s="260">
        <f>Предположения!$B$225</f>
        <v>0.08</v>
      </c>
      <c r="D27" s="260">
        <f>Предположения!$B$225</f>
        <v>0.08</v>
      </c>
      <c r="E27" s="260">
        <f>Предположения!$B$225</f>
        <v>0.08</v>
      </c>
      <c r="F27" s="260">
        <f>Предположения!$B$225</f>
        <v>0.08</v>
      </c>
      <c r="G27" s="260">
        <f>Предположения!$B$225</f>
        <v>0.08</v>
      </c>
      <c r="H27" s="260">
        <f>Предположения!$B$225</f>
        <v>0.08</v>
      </c>
      <c r="I27" s="260">
        <f>Предположения!$B$225</f>
        <v>0.08</v>
      </c>
      <c r="J27" s="260">
        <f>Предположения!$B$225</f>
        <v>0.08</v>
      </c>
      <c r="K27" s="260">
        <f>Предположения!$B$225</f>
        <v>0.08</v>
      </c>
      <c r="L27" s="260">
        <f>Предположения!$B$225</f>
        <v>0.08</v>
      </c>
      <c r="M27" s="260">
        <f>Предположения!$B$225</f>
        <v>0.08</v>
      </c>
      <c r="N27" s="260">
        <f>Предположения!$B$225</f>
        <v>0.08</v>
      </c>
    </row>
    <row r="28" spans="1:15" ht="15.6">
      <c r="A28" s="117" t="s">
        <v>658</v>
      </c>
      <c r="B28" s="2">
        <f>-B27*B26/2</f>
        <v>0</v>
      </c>
      <c r="C28" s="2">
        <f t="shared" ref="C28:N28" si="3">-C27*C26/2</f>
        <v>0</v>
      </c>
      <c r="D28" s="2">
        <f t="shared" si="3"/>
        <v>0</v>
      </c>
      <c r="E28" s="2">
        <f t="shared" si="3"/>
        <v>0</v>
      </c>
      <c r="F28" s="2">
        <f t="shared" si="3"/>
        <v>0</v>
      </c>
      <c r="G28" s="2">
        <f t="shared" si="3"/>
        <v>0</v>
      </c>
      <c r="H28" s="2">
        <f t="shared" si="3"/>
        <v>0</v>
      </c>
      <c r="I28" s="2">
        <f t="shared" si="3"/>
        <v>0</v>
      </c>
      <c r="J28" s="2">
        <f t="shared" si="3"/>
        <v>0</v>
      </c>
      <c r="K28" s="2">
        <f t="shared" si="3"/>
        <v>0</v>
      </c>
      <c r="L28" s="2">
        <f t="shared" si="3"/>
        <v>0</v>
      </c>
      <c r="M28" s="2">
        <f t="shared" si="3"/>
        <v>0</v>
      </c>
      <c r="N28" s="2">
        <f t="shared" si="3"/>
        <v>0</v>
      </c>
    </row>
    <row r="31" spans="1:1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pans="2:15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2:1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2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2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2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2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2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2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2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2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2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2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2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2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2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2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N69"/>
  <sheetViews>
    <sheetView zoomScale="50" zoomScaleNormal="50" workbookViewId="0">
      <pane xSplit="1" ySplit="4" topLeftCell="F32" activePane="bottomRight" state="frozen"/>
      <selection pane="topRight" activeCell="B1" sqref="B1"/>
      <selection pane="bottomLeft" activeCell="A4" sqref="A4"/>
      <selection pane="bottomRight" activeCell="B50" sqref="B50"/>
    </sheetView>
  </sheetViews>
  <sheetFormatPr defaultRowHeight="18"/>
  <cols>
    <col min="1" max="1" width="77.33203125" style="49" customWidth="1"/>
    <col min="2" max="15" width="18.77734375" style="2" customWidth="1"/>
    <col min="16" max="16384" width="8.88671875" style="2"/>
  </cols>
  <sheetData>
    <row r="1" spans="1:14" ht="14.4">
      <c r="A1" s="303" t="s">
        <v>740</v>
      </c>
    </row>
    <row r="2" spans="1:14" ht="21">
      <c r="A2" s="92" t="s">
        <v>428</v>
      </c>
    </row>
    <row r="3" spans="1:14" ht="21">
      <c r="A3" s="92" t="s">
        <v>202</v>
      </c>
      <c r="B3" s="202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B7+B8</f>
        <v>54998637.5</v>
      </c>
      <c r="C6" s="54">
        <f t="shared" ref="C6:N6" si="0">C7+C8</f>
        <v>96965000</v>
      </c>
      <c r="D6" s="54">
        <f t="shared" si="0"/>
        <v>94724000</v>
      </c>
      <c r="E6" s="54">
        <f t="shared" si="0"/>
        <v>84356415</v>
      </c>
      <c r="F6" s="54">
        <f t="shared" si="0"/>
        <v>86696116.650000006</v>
      </c>
      <c r="G6" s="54">
        <f t="shared" si="0"/>
        <v>108422625.11973751</v>
      </c>
      <c r="H6" s="54">
        <f t="shared" si="0"/>
        <v>121818400.40847263</v>
      </c>
      <c r="I6" s="54">
        <f t="shared" si="0"/>
        <v>136479109.26686347</v>
      </c>
      <c r="J6" s="54">
        <f t="shared" si="0"/>
        <v>141506712.37845924</v>
      </c>
      <c r="K6" s="54">
        <f t="shared" si="0"/>
        <v>146720314.97045109</v>
      </c>
      <c r="L6" s="54">
        <f t="shared" si="0"/>
        <v>152126828.35951245</v>
      </c>
      <c r="M6" s="54">
        <f t="shared" si="0"/>
        <v>157733421.81179482</v>
      </c>
      <c r="N6" s="54">
        <f t="shared" si="0"/>
        <v>163547532.21329504</v>
      </c>
    </row>
    <row r="7" spans="1:14" s="44" customFormat="1">
      <c r="A7" s="49" t="s">
        <v>200</v>
      </c>
      <c r="B7" s="56">
        <f>'Pr P&amp;L 2012'!B8</f>
        <v>33736137.5</v>
      </c>
      <c r="C7" s="56">
        <f>'Pr P&amp;L 2012'!C8</f>
        <v>65780000</v>
      </c>
      <c r="D7" s="56">
        <f>'Pr P&amp;L 2012'!D8</f>
        <v>57239000</v>
      </c>
      <c r="E7" s="56">
        <f>'Pr Sales'!E29</f>
        <v>53725815</v>
      </c>
      <c r="F7" s="56">
        <f>'Pr Sales'!F29</f>
        <v>54840292.649999991</v>
      </c>
      <c r="G7" s="56">
        <f>'Pr Sales'!G29</f>
        <v>68666556.767737493</v>
      </c>
      <c r="H7" s="56">
        <f>'Pr Sales'!H29</f>
        <v>77026563.398552611</v>
      </c>
      <c r="I7" s="56">
        <f>'Pr Sales'!I29</f>
        <v>86312251.815753043</v>
      </c>
      <c r="J7" s="56">
        <f>'Pr Sales'!J29</f>
        <v>89333180.629304409</v>
      </c>
      <c r="K7" s="56">
        <f>'Pr Sales'!K29</f>
        <v>92459841.951330066</v>
      </c>
      <c r="L7" s="56">
        <f>'Pr Sales'!L29</f>
        <v>95695936.419626594</v>
      </c>
      <c r="M7" s="56">
        <f>'Pr Sales'!M29</f>
        <v>99045294.194313511</v>
      </c>
      <c r="N7" s="56">
        <f>'Pr Sales'!N29</f>
        <v>102511879.49111448</v>
      </c>
    </row>
    <row r="8" spans="1:14" s="44" customFormat="1">
      <c r="A8" s="49" t="s">
        <v>201</v>
      </c>
      <c r="B8" s="56">
        <f>'Pr P&amp;L 2012'!B9</f>
        <v>21262500.000000004</v>
      </c>
      <c r="C8" s="56">
        <f>'Pr P&amp;L 2012'!C9</f>
        <v>31185000</v>
      </c>
      <c r="D8" s="56">
        <f>'Pr P&amp;L 2012'!D9</f>
        <v>37485000</v>
      </c>
      <c r="E8" s="56">
        <f>'Pr Sales'!E31</f>
        <v>30630600</v>
      </c>
      <c r="F8" s="56">
        <f>'Pr Sales'!F31</f>
        <v>31855824.000000007</v>
      </c>
      <c r="G8" s="56">
        <f>'Pr Sales'!G31</f>
        <v>39756068.352000013</v>
      </c>
      <c r="H8" s="56">
        <f>'Pr Sales'!H31</f>
        <v>44791837.009920008</v>
      </c>
      <c r="I8" s="56">
        <f>'Pr Sales'!I31</f>
        <v>50166857.451110415</v>
      </c>
      <c r="J8" s="56">
        <f>'Pr Sales'!J31</f>
        <v>52173531.749154828</v>
      </c>
      <c r="K8" s="56">
        <f>'Pr Sales'!K31</f>
        <v>54260473.019121021</v>
      </c>
      <c r="L8" s="56">
        <f>'Pr Sales'!L31</f>
        <v>56430891.93988587</v>
      </c>
      <c r="M8" s="56">
        <f>'Pr Sales'!M31</f>
        <v>58688127.617481314</v>
      </c>
      <c r="N8" s="56">
        <f>'Pr Sales'!N31</f>
        <v>61035652.72218056</v>
      </c>
    </row>
    <row r="9" spans="1:14" s="1" customFormat="1">
      <c r="A9" s="36" t="s">
        <v>391</v>
      </c>
      <c r="B9" s="54">
        <f>SUM(B10,B16,B17,B18,B19,B20,B21,B24,B25)</f>
        <v>-43148350.625197791</v>
      </c>
      <c r="C9" s="54">
        <f t="shared" ref="C9:D9" si="1">SUM(C10,C16,C17,C18,C19,C20,C21,C24,C25)</f>
        <v>-61922842.585318774</v>
      </c>
      <c r="D9" s="54">
        <f t="shared" si="1"/>
        <v>-63152432.504150748</v>
      </c>
      <c r="E9" s="54">
        <f t="shared" ref="E9:N9" si="2">SUM(E10,E16,E17,E18,E19,E20,E21,E24)</f>
        <v>-63874060.682845078</v>
      </c>
      <c r="F9" s="54">
        <f t="shared" si="2"/>
        <v>-65761301.045489445</v>
      </c>
      <c r="G9" s="54">
        <f t="shared" si="2"/>
        <v>-71177342.319498017</v>
      </c>
      <c r="H9" s="54">
        <f t="shared" si="2"/>
        <v>-73969625.564040333</v>
      </c>
      <c r="I9" s="54">
        <f t="shared" si="2"/>
        <v>-79212168.373588249</v>
      </c>
      <c r="J9" s="54">
        <f t="shared" si="2"/>
        <v>-81517643.834171012</v>
      </c>
      <c r="K9" s="54">
        <f t="shared" si="2"/>
        <v>-83776426.850664496</v>
      </c>
      <c r="L9" s="54">
        <f t="shared" si="2"/>
        <v>-84419636.308703542</v>
      </c>
      <c r="M9" s="54">
        <f t="shared" si="2"/>
        <v>-86243047.882168949</v>
      </c>
      <c r="N9" s="54">
        <f t="shared" si="2"/>
        <v>-87860308.098540351</v>
      </c>
    </row>
    <row r="10" spans="1:14" s="47" customFormat="1">
      <c r="A10" s="49" t="s">
        <v>382</v>
      </c>
      <c r="B10" s="56">
        <f>SUM(B11:B15)</f>
        <v>-23654762.300984766</v>
      </c>
      <c r="C10" s="56">
        <f t="shared" ref="C10:N10" si="3">SUM(C11:C15)</f>
        <v>-31949784</v>
      </c>
      <c r="D10" s="56">
        <f t="shared" si="3"/>
        <v>-34119371</v>
      </c>
      <c r="E10" s="56">
        <f t="shared" si="3"/>
        <v>-36272411.236219995</v>
      </c>
      <c r="F10" s="56">
        <f t="shared" si="3"/>
        <v>-38480711.799495287</v>
      </c>
      <c r="G10" s="56">
        <f t="shared" si="3"/>
        <v>-40739455.817053385</v>
      </c>
      <c r="H10" s="56">
        <f t="shared" si="3"/>
        <v>-43044705.428911462</v>
      </c>
      <c r="I10" s="56">
        <f t="shared" si="3"/>
        <v>-45393790.041351408</v>
      </c>
      <c r="J10" s="56">
        <f t="shared" si="3"/>
        <v>-47785722.594303757</v>
      </c>
      <c r="K10" s="56">
        <f t="shared" si="3"/>
        <v>-50221638.457120448</v>
      </c>
      <c r="L10" s="56">
        <f t="shared" si="3"/>
        <v>-52705251.320644297</v>
      </c>
      <c r="M10" s="56">
        <f t="shared" si="3"/>
        <v>-55243320.56570328</v>
      </c>
      <c r="N10" s="56">
        <f t="shared" si="3"/>
        <v>-57846125.102610141</v>
      </c>
    </row>
    <row r="11" spans="1:14" s="45" customFormat="1" ht="14.4">
      <c r="A11" s="45" t="s">
        <v>136</v>
      </c>
      <c r="B11" s="57">
        <f>'Pr P&amp;L 2012'!B12</f>
        <v>-12540269.113149846</v>
      </c>
      <c r="C11" s="57">
        <f>'Pr P&amp;L 2012'!C12</f>
        <v>-16920359</v>
      </c>
      <c r="D11" s="57">
        <f>'Pr P&amp;L 2012'!D12</f>
        <v>-18625395</v>
      </c>
      <c r="E11" s="57">
        <f>'Pr Costs'!E7</f>
        <v>-19742918.699999999</v>
      </c>
      <c r="F11" s="57">
        <f>'Pr Costs'!F7</f>
        <v>-20828779.228499997</v>
      </c>
      <c r="G11" s="57">
        <f>'Pr Costs'!G7</f>
        <v>-21870218.189924996</v>
      </c>
      <c r="H11" s="57">
        <f>'Pr Costs'!H7</f>
        <v>-22854378.008471619</v>
      </c>
      <c r="I11" s="57">
        <f>'Pr Costs'!I7</f>
        <v>-23768553.128810484</v>
      </c>
      <c r="J11" s="57">
        <f>'Pr Costs'!J7</f>
        <v>-24600452.488318849</v>
      </c>
      <c r="K11" s="57">
        <f>'Pr Costs'!K7</f>
        <v>-25338466.062968414</v>
      </c>
      <c r="L11" s="57">
        <f>'Pr Costs'!L7</f>
        <v>-25971927.714542624</v>
      </c>
      <c r="M11" s="57">
        <f>'Pr Costs'!M7</f>
        <v>-26491366.268833477</v>
      </c>
      <c r="N11" s="57">
        <f>'Pr Costs'!N7</f>
        <v>-26888736.762865983</v>
      </c>
    </row>
    <row r="12" spans="1:14" s="45" customFormat="1" ht="14.4">
      <c r="A12" s="45" t="s">
        <v>137</v>
      </c>
      <c r="B12" s="57">
        <f>'Pr P&amp;L 2012'!B13</f>
        <v>-2922227.8483853769</v>
      </c>
      <c r="C12" s="57">
        <f>'Pr P&amp;L 2012'!C13</f>
        <v>-3996304</v>
      </c>
      <c r="D12" s="57">
        <f>'Pr P&amp;L 2012'!D13</f>
        <v>-4252934</v>
      </c>
      <c r="E12" s="57">
        <f>'Pr Costs'!E8</f>
        <v>-4635698.0600000005</v>
      </c>
      <c r="F12" s="57">
        <f>'Pr Costs'!F8</f>
        <v>-5052910.885400001</v>
      </c>
      <c r="G12" s="57">
        <f>'Pr Costs'!G8</f>
        <v>-5507672.8650860013</v>
      </c>
      <c r="H12" s="57">
        <f>'Pr Costs'!H8</f>
        <v>-6003363.422943742</v>
      </c>
      <c r="I12" s="57">
        <f>'Pr Costs'!I8</f>
        <v>-6543666.131008679</v>
      </c>
      <c r="J12" s="57">
        <f>'Pr Costs'!J8</f>
        <v>-7132596.0827994607</v>
      </c>
      <c r="K12" s="57">
        <f>'Pr Costs'!K8</f>
        <v>-7774529.7302514128</v>
      </c>
      <c r="L12" s="57">
        <f>'Pr Costs'!L8</f>
        <v>-8474237.4059740398</v>
      </c>
      <c r="M12" s="57">
        <f>'Pr Costs'!M8</f>
        <v>-9236918.7725117039</v>
      </c>
      <c r="N12" s="57">
        <f>'Pr Costs'!N8</f>
        <v>-10068241.462037759</v>
      </c>
    </row>
    <row r="13" spans="1:14" s="45" customFormat="1" ht="14.4">
      <c r="A13" s="45" t="s">
        <v>138</v>
      </c>
      <c r="B13" s="57">
        <f>'Pr P&amp;L 2012'!B14</f>
        <v>-4445244.648318043</v>
      </c>
      <c r="C13" s="57">
        <f>'Pr P&amp;L 2012'!C14</f>
        <v>-6026093</v>
      </c>
      <c r="D13" s="57">
        <f>'Pr P&amp;L 2012'!D14</f>
        <v>-6137702</v>
      </c>
      <c r="E13" s="57">
        <f>'Pr Costs'!E9</f>
        <v>-6492522.5526200002</v>
      </c>
      <c r="F13" s="57">
        <f>'Pr Costs'!F9</f>
        <v>-6881229.877845359</v>
      </c>
      <c r="G13" s="57">
        <f>'Pr Costs'!G9</f>
        <v>-7307384.4441803219</v>
      </c>
      <c r="H13" s="57">
        <f>'Pr Costs'!H9</f>
        <v>-7774983.9747634204</v>
      </c>
      <c r="I13" s="57">
        <f>'Pr Costs'!I9</f>
        <v>-8288521.6662965445</v>
      </c>
      <c r="J13" s="57">
        <f>'Pr Costs'!J9</f>
        <v>-8853052.8769880012</v>
      </c>
      <c r="K13" s="57">
        <f>'Pr Costs'!K9</f>
        <v>-9474271.5973662492</v>
      </c>
      <c r="L13" s="57">
        <f>'Pr Costs'!L9</f>
        <v>-10158598.234844012</v>
      </c>
      <c r="M13" s="57">
        <f>'Pr Costs'!M9</f>
        <v>-10913280.497710573</v>
      </c>
      <c r="N13" s="57">
        <f>'Pr Costs'!N9</f>
        <v>-11746509.463710776</v>
      </c>
    </row>
    <row r="14" spans="1:14" s="45" customFormat="1" ht="14.4">
      <c r="A14" s="45" t="s">
        <v>153</v>
      </c>
      <c r="B14" s="57">
        <f>'Pr P&amp;L 2012'!B15</f>
        <v>-2573562.6911314982</v>
      </c>
      <c r="C14" s="57">
        <f>'Pr P&amp;L 2012'!C15</f>
        <v>-3432417</v>
      </c>
      <c r="D14" s="57">
        <f>'Pr P&amp;L 2012'!D15</f>
        <v>-3775560</v>
      </c>
      <c r="E14" s="57">
        <f>'Pr Costs'!E10</f>
        <v>-3993825.1235999996</v>
      </c>
      <c r="F14" s="57">
        <f>'Pr Costs'!F10</f>
        <v>-4232935.4337499309</v>
      </c>
      <c r="G14" s="57">
        <f>'Pr Costs'!G10</f>
        <v>-4495081.1251620641</v>
      </c>
      <c r="H14" s="57">
        <f>'Pr Costs'!H10</f>
        <v>-4782721.366361184</v>
      </c>
      <c r="I14" s="57">
        <f>'Pr Costs'!I10</f>
        <v>-5098620.1126093399</v>
      </c>
      <c r="J14" s="57">
        <f>'Pr Costs'!J10</f>
        <v>-5445887.1284791613</v>
      </c>
      <c r="K14" s="57">
        <f>'Pr Costs'!K10</f>
        <v>-5828025.0282845441</v>
      </c>
      <c r="L14" s="57">
        <f>'Pr Costs'!L10</f>
        <v>-6248983.2760775359</v>
      </c>
      <c r="M14" s="57">
        <f>'Pr Costs'!M10</f>
        <v>-6713220.2436573366</v>
      </c>
      <c r="N14" s="57">
        <f>'Pr Costs'!N10</f>
        <v>-7225774.6092605731</v>
      </c>
    </row>
    <row r="15" spans="1:14" s="45" customFormat="1" ht="14.4">
      <c r="A15" s="45" t="s">
        <v>139</v>
      </c>
      <c r="B15" s="57">
        <f>'Pr P&amp;L 2012'!B16</f>
        <v>-1173458</v>
      </c>
      <c r="C15" s="57">
        <f>'Pr P&amp;L 2012'!C16</f>
        <v>-1574611</v>
      </c>
      <c r="D15" s="57">
        <f>'Pr P&amp;L 2012'!D16</f>
        <v>-1327780</v>
      </c>
      <c r="E15" s="57">
        <f>'Pr Costs'!E11</f>
        <v>-1407446.8</v>
      </c>
      <c r="F15" s="57">
        <f>'Pr Costs'!F11</f>
        <v>-1484856.3740000001</v>
      </c>
      <c r="G15" s="57">
        <f>'Pr Costs'!G11</f>
        <v>-1559099.1927000002</v>
      </c>
      <c r="H15" s="57">
        <f>'Pr Costs'!H11</f>
        <v>-1629258.6563715001</v>
      </c>
      <c r="I15" s="57">
        <f>'Pr Costs'!I11</f>
        <v>-1694429.0026263602</v>
      </c>
      <c r="J15" s="57">
        <f>'Pr Costs'!J11</f>
        <v>-1753734.0177182825</v>
      </c>
      <c r="K15" s="57">
        <f>'Pr Costs'!K11</f>
        <v>-1806346.0382498309</v>
      </c>
      <c r="L15" s="57">
        <f>'Pr Costs'!L11</f>
        <v>-1851504.6892060766</v>
      </c>
      <c r="M15" s="57">
        <f>'Pr Costs'!M11</f>
        <v>-1888534.7829901981</v>
      </c>
      <c r="N15" s="57">
        <f>'Pr Costs'!N11</f>
        <v>-1916862.8047350512</v>
      </c>
    </row>
    <row r="16" spans="1:14">
      <c r="A16" s="49" t="s">
        <v>383</v>
      </c>
      <c r="B16" s="56">
        <f>'Pr P&amp;L 2012'!B17</f>
        <v>-4356386.4477792857</v>
      </c>
      <c r="C16" s="56">
        <f>'Pr P&amp;L 2012'!C17</f>
        <v>-6709653.2716322439</v>
      </c>
      <c r="D16" s="56">
        <f>'Pr P&amp;L 2012'!D17</f>
        <v>-6279910.0845694551</v>
      </c>
      <c r="E16" s="56">
        <f>'Pr Costs'!E12</f>
        <v>-5965680.0803378252</v>
      </c>
      <c r="F16" s="56">
        <f>'Pr Costs'!F12</f>
        <v>-5601271.6288285153</v>
      </c>
      <c r="G16" s="56">
        <f>'Pr Costs'!G12</f>
        <v>-7267316.2351084882</v>
      </c>
      <c r="H16" s="56">
        <f>'Pr Costs'!H12</f>
        <v>-7899804.5759587763</v>
      </c>
      <c r="I16" s="56">
        <f>'Pr Costs'!I12</f>
        <v>-8508268.4882818144</v>
      </c>
      <c r="J16" s="56">
        <f>'Pr Costs'!J12</f>
        <v>-8015222.5898407251</v>
      </c>
      <c r="K16" s="56">
        <f>'Pr Costs'!K12</f>
        <v>-7480874.417184677</v>
      </c>
      <c r="L16" s="56">
        <f>'Pr Costs'!L12</f>
        <v>-6912805.2433415959</v>
      </c>
      <c r="M16" s="56">
        <f>'Pr Costs'!M12</f>
        <v>-6319099.042457141</v>
      </c>
      <c r="N16" s="56">
        <f>'Pr Costs'!N12</f>
        <v>-5708150.5508927172</v>
      </c>
    </row>
    <row r="17" spans="1:14">
      <c r="A17" s="49" t="s">
        <v>384</v>
      </c>
      <c r="B17" s="56">
        <f>'Pr P&amp;L 2012'!B18</f>
        <v>-2856583.3333333302</v>
      </c>
      <c r="C17" s="56">
        <f>'Pr P&amp;L 2012'!C18</f>
        <v>-3909778</v>
      </c>
      <c r="D17" s="56">
        <f>'Pr P&amp;L 2012'!D18</f>
        <v>-4302756</v>
      </c>
      <c r="E17" s="56">
        <f>'Pr Costs'!E13</f>
        <v>-4560921.3600000003</v>
      </c>
      <c r="F17" s="56">
        <f>'Pr Costs'!F13</f>
        <v>-4811772.0348000005</v>
      </c>
      <c r="G17" s="56">
        <f>'Pr Costs'!G13</f>
        <v>-5052360.6365400003</v>
      </c>
      <c r="H17" s="56">
        <f>'Pr Costs'!H13</f>
        <v>-5279716.8651842996</v>
      </c>
      <c r="I17" s="56">
        <f>'Pr Costs'!I13</f>
        <v>-5490905.5397916716</v>
      </c>
      <c r="J17" s="56">
        <f>'Pr Costs'!J13</f>
        <v>-5683087.2336843796</v>
      </c>
      <c r="K17" s="56">
        <f>'Pr Costs'!K13</f>
        <v>-5853579.8506949116</v>
      </c>
      <c r="L17" s="56">
        <f>'Pr Costs'!L13</f>
        <v>-5999919.3469622834</v>
      </c>
      <c r="M17" s="56">
        <f>'Pr Costs'!M13</f>
        <v>-6119917.7339015296</v>
      </c>
      <c r="N17" s="56">
        <f>'Pr Costs'!N13</f>
        <v>-6211716.4999100529</v>
      </c>
    </row>
    <row r="18" spans="1:14">
      <c r="A18" s="49" t="s">
        <v>385</v>
      </c>
      <c r="B18" s="56">
        <f>'Pr P&amp;L 2012'!B19</f>
        <v>-856974.99999999907</v>
      </c>
      <c r="C18" s="56">
        <f>'Pr P&amp;L 2012'!C19</f>
        <v>-1172933.3999999999</v>
      </c>
      <c r="D18" s="56">
        <f>'Pr P&amp;L 2012'!D19</f>
        <v>-1290826.8</v>
      </c>
      <c r="E18" s="56">
        <f>'Pr Costs'!E14</f>
        <v>-1368276.4080000001</v>
      </c>
      <c r="F18" s="56">
        <f>'Pr Costs'!F14</f>
        <v>-1443531.6104400002</v>
      </c>
      <c r="G18" s="56">
        <f>'Pr Costs'!G14</f>
        <v>-1515708.1909620001</v>
      </c>
      <c r="H18" s="56">
        <f>'Pr Costs'!H14</f>
        <v>-1583915.0595552898</v>
      </c>
      <c r="I18" s="56">
        <f>'Pr Costs'!I14</f>
        <v>-1647271.6619375015</v>
      </c>
      <c r="J18" s="56">
        <f>'Pr Costs'!J14</f>
        <v>-1704926.1701053139</v>
      </c>
      <c r="K18" s="56">
        <f>'Pr Costs'!K14</f>
        <v>-1756073.9552084734</v>
      </c>
      <c r="L18" s="56">
        <f>'Pr Costs'!L14</f>
        <v>-1799975.804088685</v>
      </c>
      <c r="M18" s="56">
        <f>'Pr Costs'!M14</f>
        <v>-1835975.3201704589</v>
      </c>
      <c r="N18" s="56">
        <f>'Pr Costs'!N14</f>
        <v>-1863514.9499730158</v>
      </c>
    </row>
    <row r="19" spans="1:14">
      <c r="A19" s="49" t="s">
        <v>386</v>
      </c>
      <c r="B19" s="56">
        <f>'Pr P&amp;L 2012'!B20</f>
        <v>-1140833.3333333333</v>
      </c>
      <c r="C19" s="56">
        <f>'Pr P&amp;L 2012'!C20</f>
        <v>-1521123</v>
      </c>
      <c r="D19" s="56">
        <f>'Pr P&amp;L 2012'!D20</f>
        <v>-1672565</v>
      </c>
      <c r="E19" s="56">
        <f>'Pr Costs'!E15</f>
        <v>-1772918.9000000001</v>
      </c>
      <c r="F19" s="56">
        <f>'Pr Costs'!F15</f>
        <v>-1870429.4395000001</v>
      </c>
      <c r="G19" s="56">
        <f>'Pr Costs'!G15</f>
        <v>-1963950.9114750002</v>
      </c>
      <c r="H19" s="56">
        <f>'Pr Costs'!H15</f>
        <v>-2052328.7024913752</v>
      </c>
      <c r="I19" s="56">
        <f>'Pr Costs'!I15</f>
        <v>-2134421.8505910304</v>
      </c>
      <c r="J19" s="56">
        <f>'Pr Costs'!J15</f>
        <v>-2209126.6153617161</v>
      </c>
      <c r="K19" s="56">
        <f>'Pr Costs'!K15</f>
        <v>-2275400.4138225676</v>
      </c>
      <c r="L19" s="56">
        <f>'Pr Costs'!L15</f>
        <v>-2332285.4241681313</v>
      </c>
      <c r="M19" s="56">
        <f>'Pr Costs'!M15</f>
        <v>-2378931.1326514939</v>
      </c>
      <c r="N19" s="56">
        <f>'Pr Costs'!N15</f>
        <v>-2414615.0996412667</v>
      </c>
    </row>
    <row r="20" spans="1:14">
      <c r="A20" s="49" t="s">
        <v>387</v>
      </c>
      <c r="B20" s="56">
        <f>'Pr P&amp;L 2012'!B21</f>
        <v>-2085555.5555555555</v>
      </c>
      <c r="C20" s="56">
        <f>'Pr P&amp;L 2012'!C21</f>
        <v>-2780741</v>
      </c>
      <c r="D20" s="56">
        <f>'Pr P&amp;L 2012'!D21</f>
        <v>-2431876</v>
      </c>
      <c r="E20" s="56">
        <f>'Pr Costs'!E16</f>
        <v>-2577788.56</v>
      </c>
      <c r="F20" s="56">
        <f>'Pr Costs'!F16</f>
        <v>-2719566.9307999997</v>
      </c>
      <c r="G20" s="56">
        <f>'Pr Costs'!G16</f>
        <v>-2855545.27734</v>
      </c>
      <c r="H20" s="56">
        <f>'Pr Costs'!H16</f>
        <v>-2984044.8148202999</v>
      </c>
      <c r="I20" s="56">
        <f>'Pr Costs'!I16</f>
        <v>-3103406.6074131122</v>
      </c>
      <c r="J20" s="56">
        <f>'Pr Costs'!J16</f>
        <v>-3212025.8386725709</v>
      </c>
      <c r="K20" s="56">
        <f>'Pr Costs'!K16</f>
        <v>-3308386.613832748</v>
      </c>
      <c r="L20" s="56">
        <f>'Pr Costs'!L16</f>
        <v>-3391096.2791785663</v>
      </c>
      <c r="M20" s="56">
        <f>'Pr Costs'!M16</f>
        <v>-3458918.2047621375</v>
      </c>
      <c r="N20" s="56">
        <f>'Pr Costs'!N16</f>
        <v>-3510801.97783357</v>
      </c>
    </row>
    <row r="21" spans="1:14">
      <c r="A21" s="49" t="s">
        <v>388</v>
      </c>
      <c r="B21" s="56">
        <f>B22+B23</f>
        <v>-2400643.2891078931</v>
      </c>
      <c r="C21" s="56">
        <f t="shared" ref="C21:N21" si="4">C22+C23</f>
        <v>-3460569.124502365</v>
      </c>
      <c r="D21" s="56">
        <f t="shared" si="4"/>
        <v>-3245045.2056912086</v>
      </c>
      <c r="E21" s="56">
        <f t="shared" si="4"/>
        <v>-1886356.477180867</v>
      </c>
      <c r="F21" s="56">
        <f t="shared" si="4"/>
        <v>-1789442.9686372506</v>
      </c>
      <c r="G21" s="56">
        <f t="shared" si="4"/>
        <v>-2193468.8440276524</v>
      </c>
      <c r="H21" s="56">
        <f t="shared" si="4"/>
        <v>-2369254.0915909465</v>
      </c>
      <c r="I21" s="56">
        <f t="shared" si="4"/>
        <v>-2524462.3353642817</v>
      </c>
      <c r="J21" s="56">
        <f t="shared" si="4"/>
        <v>-2437780.1325318348</v>
      </c>
      <c r="K21" s="56">
        <f t="shared" si="4"/>
        <v>-2347172.6262951558</v>
      </c>
      <c r="L21" s="56">
        <f t="shared" si="4"/>
        <v>-2278982.2201507781</v>
      </c>
      <c r="M21" s="56">
        <f t="shared" si="4"/>
        <v>-2220026.2007094179</v>
      </c>
      <c r="N21" s="56">
        <f t="shared" si="4"/>
        <v>-2170396.1100615901</v>
      </c>
    </row>
    <row r="22" spans="1:14" s="45" customFormat="1" ht="14.4">
      <c r="A22" s="45" t="s">
        <v>140</v>
      </c>
      <c r="B22" s="57">
        <f>'Pr P&amp;L 2012'!B23</f>
        <v>-1881861.750484196</v>
      </c>
      <c r="C22" s="57">
        <f>'Pr P&amp;L 2012'!C23</f>
        <v>-2746016.0604307735</v>
      </c>
      <c r="D22" s="57">
        <f>'Pr P&amp;L 2012'!D23</f>
        <v>-2568747.1965837288</v>
      </c>
      <c r="E22" s="57">
        <f>'Pr Costs'!E18</f>
        <v>-1190360.4678081209</v>
      </c>
      <c r="F22" s="57">
        <f>'Pr Costs'!F18</f>
        <v>-1076553.852240894</v>
      </c>
      <c r="G22" s="57">
        <f>'Pr Costs'!G18</f>
        <v>-1321390.8958146337</v>
      </c>
      <c r="H22" s="57">
        <f>'Pr Costs'!H18</f>
        <v>-1410744.4697079482</v>
      </c>
      <c r="I22" s="57">
        <f>'Pr Costs'!I18</f>
        <v>-1482199.4455497591</v>
      </c>
      <c r="J22" s="57">
        <f>'Pr Costs'!J18</f>
        <v>-1390457.7141259797</v>
      </c>
      <c r="K22" s="57">
        <f>'Pr Costs'!K18</f>
        <v>-1299850.2078893008</v>
      </c>
      <c r="L22" s="57">
        <f>'Pr Costs'!L18</f>
        <v>-1236743.8911546608</v>
      </c>
      <c r="M22" s="57">
        <f>'Pr Costs'!M18</f>
        <v>-1187906.6904414182</v>
      </c>
      <c r="N22" s="57">
        <f>'Pr Costs'!N18</f>
        <v>-1153307.4664479787</v>
      </c>
    </row>
    <row r="23" spans="1:14" s="45" customFormat="1" ht="14.4">
      <c r="A23" s="45" t="s">
        <v>141</v>
      </c>
      <c r="B23" s="57">
        <f>'Pr P&amp;L 2012'!B24</f>
        <v>-518781.5386236973</v>
      </c>
      <c r="C23" s="57">
        <f>'Pr P&amp;L 2012'!C24</f>
        <v>-714553.06407159148</v>
      </c>
      <c r="D23" s="57">
        <f>'Pr P&amp;L 2012'!D24</f>
        <v>-676298.00910747983</v>
      </c>
      <c r="E23" s="57">
        <f>'Pr Costs'!E19</f>
        <v>-695996.00937274622</v>
      </c>
      <c r="F23" s="57">
        <f>'Pr Costs'!F19</f>
        <v>-712889.11639635661</v>
      </c>
      <c r="G23" s="57">
        <f>'Pr Costs'!G19</f>
        <v>-872077.94821301871</v>
      </c>
      <c r="H23" s="57">
        <f>'Pr Costs'!H19</f>
        <v>-958509.62188299827</v>
      </c>
      <c r="I23" s="57">
        <f>'Pr Costs'!I19</f>
        <v>-1042262.8898145226</v>
      </c>
      <c r="J23" s="57">
        <f>'Pr Costs'!J19</f>
        <v>-1047322.4184058548</v>
      </c>
      <c r="K23" s="57">
        <f>'Pr Costs'!K19</f>
        <v>-1047322.4184058548</v>
      </c>
      <c r="L23" s="57">
        <f>'Pr Costs'!L19</f>
        <v>-1042238.3289961175</v>
      </c>
      <c r="M23" s="57">
        <f>'Pr Costs'!M19</f>
        <v>-1032119.5102679998</v>
      </c>
      <c r="N23" s="57">
        <f>'Pr Costs'!N19</f>
        <v>-1017088.6436136115</v>
      </c>
    </row>
    <row r="24" spans="1:14">
      <c r="A24" s="49" t="s">
        <v>389</v>
      </c>
      <c r="B24" s="56">
        <f>'Pr P&amp;L 2012'!B25</f>
        <v>-5702611.3651036238</v>
      </c>
      <c r="C24" s="56">
        <f>'Pr P&amp;L 2012'!C25</f>
        <v>-10071260.789184164</v>
      </c>
      <c r="D24" s="56">
        <f>'Pr P&amp;L 2012'!D25</f>
        <v>-9534082.4138900898</v>
      </c>
      <c r="E24" s="56">
        <f>'Pr Costs'!E20</f>
        <v>-9469707.6611063927</v>
      </c>
      <c r="F24" s="56">
        <f>'Pr Costs'!F20</f>
        <v>-9044574.6329883896</v>
      </c>
      <c r="G24" s="56">
        <f>'Pr Costs'!G20</f>
        <v>-9589536.4069914818</v>
      </c>
      <c r="H24" s="56">
        <f>'Pr Costs'!H20</f>
        <v>-8755856.0255278815</v>
      </c>
      <c r="I24" s="56">
        <f>'Pr Costs'!I20</f>
        <v>-10409641.848857421</v>
      </c>
      <c r="J24" s="56">
        <f>'Pr Costs'!J20</f>
        <v>-10469752.659670712</v>
      </c>
      <c r="K24" s="56">
        <f>'Pr Costs'!K20</f>
        <v>-10533300.516505521</v>
      </c>
      <c r="L24" s="56">
        <f>'Pr Costs'!L20</f>
        <v>-8999320.6701692156</v>
      </c>
      <c r="M24" s="56">
        <f>'Pr Costs'!M20</f>
        <v>-8666859.6818135008</v>
      </c>
      <c r="N24" s="56">
        <f>'Pr Costs'!N20</f>
        <v>-8134987.8076180099</v>
      </c>
    </row>
    <row r="25" spans="1:14">
      <c r="A25" s="49" t="s">
        <v>390</v>
      </c>
      <c r="B25" s="56">
        <f>'Pr P&amp;L 2012'!B26</f>
        <v>-94000</v>
      </c>
      <c r="C25" s="56">
        <f>'Pr P&amp;L 2012'!C26</f>
        <v>-347000</v>
      </c>
      <c r="D25" s="56">
        <f>'Pr P&amp;L 2012'!D26</f>
        <v>-276000</v>
      </c>
      <c r="E25" s="56">
        <f>'Pr Costs'!E21</f>
        <v>-245182.73460298555</v>
      </c>
      <c r="F25" s="56">
        <f>'Pr Costs'!F21</f>
        <v>-251983.10003698507</v>
      </c>
      <c r="G25" s="56">
        <f>'Pr Costs'!G21</f>
        <v>-315131.40665937017</v>
      </c>
      <c r="H25" s="56">
        <f>'Pr Costs'!H21</f>
        <v>-354066.35686344386</v>
      </c>
      <c r="I25" s="56">
        <f>'Pr Costs'!I21</f>
        <v>-396677.84869982029</v>
      </c>
      <c r="J25" s="56">
        <f>'Pr Costs'!J21</f>
        <v>-411290.62568186171</v>
      </c>
      <c r="K25" s="56">
        <f>'Pr Costs'!K21</f>
        <v>-426444.01194937644</v>
      </c>
      <c r="L25" s="56">
        <f>'Pr Costs'!L21</f>
        <v>-442158.09531100007</v>
      </c>
      <c r="M25" s="56">
        <f>'Pr Costs'!M21</f>
        <v>-458453.71330801648</v>
      </c>
      <c r="N25" s="56">
        <f>'Pr Costs'!N21</f>
        <v>-475352.48132137366</v>
      </c>
    </row>
    <row r="26" spans="1:14">
      <c r="A26" s="36" t="s">
        <v>634</v>
      </c>
      <c r="B26" s="54">
        <f>B6+B9</f>
        <v>11850286.874802209</v>
      </c>
      <c r="C26" s="54">
        <f t="shared" ref="C26:N26" si="5">C6+C9</f>
        <v>35042157.414681226</v>
      </c>
      <c r="D26" s="54">
        <f t="shared" si="5"/>
        <v>31571567.495849252</v>
      </c>
      <c r="E26" s="54">
        <f t="shared" si="5"/>
        <v>20482354.317154922</v>
      </c>
      <c r="F26" s="54">
        <f t="shared" si="5"/>
        <v>20934815.604510561</v>
      </c>
      <c r="G26" s="54">
        <f t="shared" si="5"/>
        <v>37245282.800239488</v>
      </c>
      <c r="H26" s="54">
        <f t="shared" si="5"/>
        <v>47848774.844432294</v>
      </c>
      <c r="I26" s="54">
        <f t="shared" si="5"/>
        <v>57266940.893275216</v>
      </c>
      <c r="J26" s="54">
        <f t="shared" si="5"/>
        <v>59989068.544288233</v>
      </c>
      <c r="K26" s="54">
        <f t="shared" si="5"/>
        <v>62943888.11978659</v>
      </c>
      <c r="L26" s="54">
        <f t="shared" si="5"/>
        <v>67707192.050808907</v>
      </c>
      <c r="M26" s="54">
        <f t="shared" si="5"/>
        <v>71490373.929625869</v>
      </c>
      <c r="N26" s="54">
        <f t="shared" si="5"/>
        <v>75687224.114754692</v>
      </c>
    </row>
    <row r="27" spans="1:14">
      <c r="A27" s="49" t="s">
        <v>392</v>
      </c>
      <c r="B27" s="56">
        <f>'Pr P&amp;L 2012'!B28</f>
        <v>-510756</v>
      </c>
      <c r="C27" s="56">
        <f>'Pr P&amp;L 2012'!C28</f>
        <v>-965342</v>
      </c>
      <c r="D27" s="56">
        <f>'Pr P&amp;L 2012'!D28</f>
        <v>-1051276</v>
      </c>
      <c r="E27" s="56">
        <f>'Pr Costs'!E23</f>
        <v>-1081895.6893203885</v>
      </c>
      <c r="F27" s="56">
        <f>'Pr Costs'!F23</f>
        <v>-1108155.2934301065</v>
      </c>
      <c r="G27" s="56">
        <f>'Pr Costs'!G23</f>
        <v>-1129672.8719433125</v>
      </c>
      <c r="H27" s="56">
        <f>'Pr Costs'!H23</f>
        <v>-1146124.4186220984</v>
      </c>
      <c r="I27" s="56">
        <f>'Pr Costs'!I23</f>
        <v>-1157251.8401621189</v>
      </c>
      <c r="J27" s="56">
        <f>'Pr Costs'!J23</f>
        <v>-1162869.5675415464</v>
      </c>
      <c r="K27" s="56">
        <f>'Pr Costs'!K23</f>
        <v>-1162869.5675415464</v>
      </c>
      <c r="L27" s="56">
        <f>'Pr Costs'!L23</f>
        <v>-1157224.5696408593</v>
      </c>
      <c r="M27" s="56">
        <f>'Pr Costs'!M23</f>
        <v>-1145989.379644346</v>
      </c>
      <c r="N27" s="56">
        <f>'Pr Costs'!N23</f>
        <v>-1129300.2139213702</v>
      </c>
    </row>
    <row r="28" spans="1:14">
      <c r="A28" s="49" t="s">
        <v>448</v>
      </c>
      <c r="B28" s="56">
        <f>'Pr P&amp;L 2012'!B29</f>
        <v>-10206850</v>
      </c>
      <c r="C28" s="56">
        <f>'Pr P&amp;L 2012'!C29</f>
        <v>-18953800</v>
      </c>
      <c r="D28" s="56">
        <f>'Pr P&amp;L 2012'!D29</f>
        <v>-14684600</v>
      </c>
      <c r="E28" s="56">
        <f>'Pr Costs'!E24</f>
        <v>-17383331.067961164</v>
      </c>
      <c r="F28" s="56">
        <f>'Pr Costs'!F24</f>
        <v>-17565447.690640021</v>
      </c>
      <c r="G28" s="56">
        <f>'Pr Costs'!G24</f>
        <v>-21658954.974160977</v>
      </c>
      <c r="H28" s="56">
        <f>'Pr Costs'!H24</f>
        <v>-23815909.100390229</v>
      </c>
      <c r="I28" s="56">
        <f>'Pr Costs'!I24</f>
        <v>-26031759.707680356</v>
      </c>
      <c r="J28" s="56">
        <f>'Pr Costs'!J24</f>
        <v>-26158127.473251615</v>
      </c>
      <c r="K28" s="56">
        <f>'Pr Costs'!K24</f>
        <v>-26158127.473251615</v>
      </c>
      <c r="L28" s="56">
        <f>'Pr Costs'!L24</f>
        <v>-26031146.271925144</v>
      </c>
      <c r="M28" s="56">
        <f>'Pr Costs'!M24</f>
        <v>-25778416.69646956</v>
      </c>
      <c r="N28" s="56">
        <f>'Pr Costs'!N24</f>
        <v>-25403002.861084085</v>
      </c>
    </row>
    <row r="29" spans="1:14">
      <c r="A29" s="49" t="s">
        <v>393</v>
      </c>
      <c r="B29" s="56">
        <f>'Pr P&amp;L 2012'!B30</f>
        <v>0</v>
      </c>
      <c r="C29" s="56">
        <f>'Pr P&amp;L 2012'!C30</f>
        <v>280717.27517098235</v>
      </c>
      <c r="D29" s="56">
        <f>'Pr P&amp;L 2012'!D30</f>
        <v>221407.08631494874</v>
      </c>
      <c r="E29" s="56">
        <f>'Pr Costs'!E28</f>
        <v>146171.6686351118</v>
      </c>
      <c r="F29" s="56">
        <f>'Pr Costs'!F28</f>
        <v>100174.75863057347</v>
      </c>
      <c r="G29" s="56">
        <f>'Pr Costs'!G28</f>
        <v>56733.277541586918</v>
      </c>
      <c r="H29" s="56">
        <f>'Pr Costs'!H28</f>
        <v>39343.465701516587</v>
      </c>
      <c r="I29" s="56">
        <f>'Pr Costs'!I28</f>
        <v>0</v>
      </c>
      <c r="J29" s="56">
        <f>'Pr Costs'!J28</f>
        <v>0</v>
      </c>
      <c r="K29" s="56">
        <f>'Pr Costs'!K28</f>
        <v>0</v>
      </c>
      <c r="L29" s="56">
        <f>'Pr Costs'!L28</f>
        <v>0</v>
      </c>
      <c r="M29" s="56">
        <f>'Pr Costs'!M28</f>
        <v>0</v>
      </c>
      <c r="N29" s="56">
        <f>'Pr Costs'!N28</f>
        <v>0</v>
      </c>
    </row>
    <row r="30" spans="1:14">
      <c r="A30" s="49" t="s">
        <v>394</v>
      </c>
      <c r="B30" s="56">
        <f>'Pr P&amp;L 2012'!B31</f>
        <v>-245673</v>
      </c>
      <c r="C30" s="56">
        <f>'Pr P&amp;L 2012'!C31</f>
        <v>-139785</v>
      </c>
      <c r="D30" s="56">
        <f>'Pr P&amp;L 2012'!D31</f>
        <v>-356972</v>
      </c>
      <c r="E30" s="56">
        <f>'Pr Costs'!E29</f>
        <v>-253878.68570612906</v>
      </c>
      <c r="F30" s="56">
        <f>'Pr Costs'!F29</f>
        <v>-260920.24122797602</v>
      </c>
      <c r="G30" s="56">
        <f>'Pr Costs'!G29</f>
        <v>-326308.24302108254</v>
      </c>
      <c r="H30" s="56">
        <f>'Pr Costs'!H29</f>
        <v>-366624.10784675955</v>
      </c>
      <c r="I30" s="56">
        <f>'Pr Costs'!I29</f>
        <v>-410746.91103236756</v>
      </c>
      <c r="J30" s="56">
        <f>'Pr Costs'!J29</f>
        <v>-425877.96265688218</v>
      </c>
      <c r="K30" s="56">
        <f>'Pr Costs'!K29</f>
        <v>-441568.7974777901</v>
      </c>
      <c r="L30" s="56">
        <f>'Pr Costs'!L29</f>
        <v>-457840.21576254634</v>
      </c>
      <c r="M30" s="56">
        <f>'Pr Costs'!M29</f>
        <v>-474713.79410219059</v>
      </c>
      <c r="N30" s="56">
        <f>'Pr Costs'!N29</f>
        <v>-492211.91451524053</v>
      </c>
    </row>
    <row r="31" spans="1:14">
      <c r="A31" s="36" t="s">
        <v>636</v>
      </c>
      <c r="B31" s="54">
        <f>B26+B27+B28+B29+B30</f>
        <v>887007.87480220944</v>
      </c>
      <c r="C31" s="54">
        <f t="shared" ref="C31:N31" si="6">C26+C27+C28+C29+C30</f>
        <v>15263947.689852208</v>
      </c>
      <c r="D31" s="54">
        <f t="shared" si="6"/>
        <v>15700126.5821642</v>
      </c>
      <c r="E31" s="54">
        <f t="shared" si="6"/>
        <v>1909420.5428023513</v>
      </c>
      <c r="F31" s="54">
        <f t="shared" si="6"/>
        <v>2100467.1378430319</v>
      </c>
      <c r="G31" s="54">
        <f t="shared" si="6"/>
        <v>14187079.988655707</v>
      </c>
      <c r="H31" s="54">
        <f t="shared" si="6"/>
        <v>22559460.683274724</v>
      </c>
      <c r="I31" s="54">
        <f t="shared" si="6"/>
        <v>29667182.434400372</v>
      </c>
      <c r="J31" s="54">
        <f t="shared" si="6"/>
        <v>32242193.540838189</v>
      </c>
      <c r="K31" s="54">
        <f t="shared" si="6"/>
        <v>35181322.281515636</v>
      </c>
      <c r="L31" s="54">
        <f t="shared" si="6"/>
        <v>40060980.993480355</v>
      </c>
      <c r="M31" s="54">
        <f t="shared" si="6"/>
        <v>44091254.059409767</v>
      </c>
      <c r="N31" s="54">
        <f t="shared" si="6"/>
        <v>48662709.125233993</v>
      </c>
    </row>
    <row r="32" spans="1:14">
      <c r="A32" s="49" t="s">
        <v>401</v>
      </c>
      <c r="B32" s="56">
        <f>B33+B34+B36+B35</f>
        <v>-1371545.171875</v>
      </c>
      <c r="C32" s="56">
        <f>C33+C34+C36+C35</f>
        <v>-2425120.0457654223</v>
      </c>
      <c r="D32" s="56">
        <f>D33+D34+D36+D35</f>
        <v>-2006607.0887544523</v>
      </c>
      <c r="E32" s="56">
        <f t="shared" ref="E32:N32" si="7">E33+E34+E36+E35</f>
        <v>-1484173.9389956577</v>
      </c>
      <c r="F32" s="56">
        <f t="shared" si="7"/>
        <v>-1101936.290595361</v>
      </c>
      <c r="G32" s="56">
        <f t="shared" si="7"/>
        <v>-1450484.6096716481</v>
      </c>
      <c r="H32" s="56">
        <f t="shared" si="7"/>
        <v>-1598441.7782509483</v>
      </c>
      <c r="I32" s="56">
        <f t="shared" si="7"/>
        <v>-1659640.3147696913</v>
      </c>
      <c r="J32" s="56">
        <f t="shared" si="7"/>
        <v>-1471416.4757866305</v>
      </c>
      <c r="K32" s="56">
        <f t="shared" si="7"/>
        <v>-1283324.8024391627</v>
      </c>
      <c r="L32" s="56">
        <f t="shared" si="7"/>
        <v>-1191369.9205245334</v>
      </c>
      <c r="M32" s="56">
        <f t="shared" si="7"/>
        <v>-1147556.6177428921</v>
      </c>
      <c r="N32" s="56">
        <f t="shared" si="7"/>
        <v>-1151889.8493638933</v>
      </c>
    </row>
    <row r="33" spans="1:14" ht="14.4">
      <c r="A33" s="45" t="s">
        <v>400</v>
      </c>
      <c r="B33" s="57">
        <f>'Pr P&amp;L 2012'!B34</f>
        <v>-42170.171875</v>
      </c>
      <c r="C33" s="57">
        <f>'Pr P&amp;L 2012'!C34</f>
        <v>-82225</v>
      </c>
      <c r="D33" s="57">
        <f>'Pr P&amp;L 2012'!D34</f>
        <v>-71548.75</v>
      </c>
      <c r="E33" s="57">
        <f>'Pr Fin'!E7</f>
        <v>-67157.268750000003</v>
      </c>
      <c r="F33" s="57">
        <f>'Pr Fin'!F7</f>
        <v>-68550.365812500007</v>
      </c>
      <c r="G33" s="57">
        <f>'Pr Fin'!G7</f>
        <v>-85833.195959671866</v>
      </c>
      <c r="H33" s="57">
        <f>'Pr Fin'!H7</f>
        <v>-96283.204248190785</v>
      </c>
      <c r="I33" s="57">
        <f>'Pr Fin'!I7</f>
        <v>-107890.31476969129</v>
      </c>
      <c r="J33" s="57">
        <f>'Pr Fin'!J7</f>
        <v>-111666.4757866305</v>
      </c>
      <c r="K33" s="57">
        <f>'Pr Fin'!K7</f>
        <v>-115574.80243916257</v>
      </c>
      <c r="L33" s="57">
        <f>'Pr Fin'!L7</f>
        <v>-119619.92052453326</v>
      </c>
      <c r="M33" s="57">
        <f>'Pr Fin'!M7</f>
        <v>-123806.6177428919</v>
      </c>
      <c r="N33" s="57">
        <f>'Pr Fin'!N7</f>
        <v>-128139.84936389312</v>
      </c>
    </row>
    <row r="34" spans="1:14" ht="14.4">
      <c r="A34" s="45" t="s">
        <v>402</v>
      </c>
      <c r="B34" s="57">
        <f>'Pr P&amp;L 2012'!B35</f>
        <v>-720000</v>
      </c>
      <c r="C34" s="57">
        <f>'Pr P&amp;L 2012'!C35</f>
        <v>-1020000</v>
      </c>
      <c r="D34" s="57">
        <f>'Pr P&amp;L 2012'!D35</f>
        <v>-720000</v>
      </c>
      <c r="E34" s="57">
        <f>'Pr Fin'!E8</f>
        <v>-420000</v>
      </c>
      <c r="F34" s="57">
        <f>'Pr Fin'!F8</f>
        <v>-119999.99999999999</v>
      </c>
      <c r="G34" s="57">
        <f>'Pr Fin'!G8</f>
        <v>-384000</v>
      </c>
      <c r="H34" s="57">
        <f>'Pr Fin'!H8</f>
        <v>-480000</v>
      </c>
      <c r="I34" s="57">
        <f>'Pr Fin'!I8</f>
        <v>-528000</v>
      </c>
      <c r="J34" s="57">
        <f>'Pr Fin'!J8</f>
        <v>-336000</v>
      </c>
      <c r="K34" s="57">
        <f>'Pr Fin'!K8</f>
        <v>-144000</v>
      </c>
      <c r="L34" s="57">
        <f>'Pr Fin'!L8</f>
        <v>-47999.999999999993</v>
      </c>
      <c r="M34" s="57">
        <f>'Pr Fin'!M8</f>
        <v>0</v>
      </c>
      <c r="N34" s="57">
        <f>'Pr Fin'!N8</f>
        <v>0</v>
      </c>
    </row>
    <row r="35" spans="1:14" ht="14.4">
      <c r="A35" s="45" t="s">
        <v>403</v>
      </c>
      <c r="B35" s="57">
        <f>'Pr P&amp;L 2012'!B36</f>
        <v>-609375</v>
      </c>
      <c r="C35" s="57">
        <f>'Pr P&amp;L 2012'!C36</f>
        <v>-812500</v>
      </c>
      <c r="D35" s="57">
        <f>'Pr P&amp;L 2012'!D36</f>
        <v>-812500</v>
      </c>
      <c r="E35" s="57">
        <f>'Pr Fin'!E9</f>
        <v>-731250</v>
      </c>
      <c r="F35" s="57">
        <f>'Pr Fin'!F9</f>
        <v>-731250</v>
      </c>
      <c r="G35" s="57">
        <f>'Pr Fin'!G9</f>
        <v>-877500.00000000012</v>
      </c>
      <c r="H35" s="57">
        <f>'Pr Fin'!H9</f>
        <v>-950625.00000000012</v>
      </c>
      <c r="I35" s="57">
        <f>'Pr Fin'!I9</f>
        <v>-1023750.0000000001</v>
      </c>
      <c r="J35" s="57">
        <f>'Pr Fin'!J9</f>
        <v>-1023750.0000000001</v>
      </c>
      <c r="K35" s="57">
        <f>'Pr Fin'!K9</f>
        <v>-1023750.0000000001</v>
      </c>
      <c r="L35" s="57">
        <f>'Pr Fin'!L9</f>
        <v>-1023750.0000000001</v>
      </c>
      <c r="M35" s="57">
        <f>'Pr Fin'!M9</f>
        <v>-1023750.0000000001</v>
      </c>
      <c r="N35" s="57">
        <f>'Pr Fin'!N9</f>
        <v>-1023750.0000000001</v>
      </c>
    </row>
    <row r="36" spans="1:14" ht="14.4">
      <c r="A36" s="45" t="s">
        <v>622</v>
      </c>
      <c r="B36" s="57">
        <f>'Pr P&amp;L 2012'!B37</f>
        <v>0</v>
      </c>
      <c r="C36" s="57">
        <f>'Pr P&amp;L 2012'!C37</f>
        <v>-510395.04576542246</v>
      </c>
      <c r="D36" s="57">
        <f>'Pr P&amp;L 2012'!D37</f>
        <v>-402558.3387544523</v>
      </c>
      <c r="E36" s="57">
        <f>'Pr Fin'!E10+'Pr Fin'!E12+'Pr Fin'!E13</f>
        <v>-265766.67024565779</v>
      </c>
      <c r="F36" s="57">
        <f>'Pr Fin'!F10+'Pr Fin'!F12+'Pr Fin'!F13</f>
        <v>-182135.92478286088</v>
      </c>
      <c r="G36" s="57">
        <f>'Pr Fin'!G10+'Pr Fin'!G12+'Pr Fin'!G13</f>
        <v>-103151.41371197622</v>
      </c>
      <c r="H36" s="57">
        <f>'Pr Fin'!H10+'Pr Fin'!H12+'Pr Fin'!H13</f>
        <v>-71533.574002757436</v>
      </c>
      <c r="I36" s="57">
        <f>'Pr Fin'!I10+'Pr Fin'!I12+'Pr Fin'!I13</f>
        <v>0</v>
      </c>
      <c r="J36" s="57">
        <f>'Pr Fin'!J10+'Pr Fin'!J12+'Pr Fin'!J13</f>
        <v>0</v>
      </c>
      <c r="K36" s="57">
        <f>'Pr Fin'!K10+'Pr Fin'!K12+'Pr Fin'!K13</f>
        <v>0</v>
      </c>
      <c r="L36" s="57">
        <f>'Pr Fin'!L10+'Pr Fin'!L12+'Pr Fin'!L13</f>
        <v>0</v>
      </c>
      <c r="M36" s="57">
        <f>'Pr Fin'!M10+'Pr Fin'!M12+'Pr Fin'!M13</f>
        <v>0</v>
      </c>
      <c r="N36" s="57">
        <f>'Pr Fin'!N10+'Pr Fin'!N12+'Pr Fin'!N13</f>
        <v>0</v>
      </c>
    </row>
    <row r="37" spans="1:14">
      <c r="A37" s="71" t="s">
        <v>646</v>
      </c>
      <c r="B37" s="56">
        <f>'Pr P&amp;L 2012'!B38</f>
        <v>1779374.9999999958</v>
      </c>
      <c r="C37" s="56">
        <f>'Pr P&amp;L 2012'!C38</f>
        <v>0</v>
      </c>
      <c r="D37" s="56">
        <f>'Pr P&amp;L 2012'!D38</f>
        <v>0</v>
      </c>
      <c r="E37" s="56">
        <f>'Pr Fin'!E15</f>
        <v>0</v>
      </c>
      <c r="F37" s="56">
        <f>'Pr Fin'!F15</f>
        <v>0</v>
      </c>
      <c r="G37" s="56">
        <f>'Pr Fin'!G15</f>
        <v>0</v>
      </c>
      <c r="H37" s="56">
        <f>'Pr Fin'!H15</f>
        <v>0</v>
      </c>
      <c r="I37" s="56">
        <f>'Pr Fin'!I15</f>
        <v>0</v>
      </c>
      <c r="J37" s="56">
        <f>'Pr Fin'!J15</f>
        <v>0</v>
      </c>
      <c r="K37" s="56">
        <f>'Pr Fin'!K15</f>
        <v>0</v>
      </c>
      <c r="L37" s="56">
        <f>'Pr Fin'!L15</f>
        <v>0</v>
      </c>
      <c r="M37" s="56">
        <f>'Pr Fin'!M15</f>
        <v>0</v>
      </c>
      <c r="N37" s="56">
        <f>'Pr Fin'!N15</f>
        <v>0</v>
      </c>
    </row>
    <row r="38" spans="1:14" ht="36">
      <c r="A38" s="71" t="s">
        <v>647</v>
      </c>
      <c r="B38" s="56">
        <f>'Pr P&amp;L 2012'!B39</f>
        <v>-337361.375</v>
      </c>
      <c r="C38" s="56">
        <f>'Pr P&amp;L 2012'!C39</f>
        <v>-657800</v>
      </c>
      <c r="D38" s="56">
        <f>'Pr P&amp;L 2012'!D39</f>
        <v>-572390</v>
      </c>
      <c r="E38" s="56">
        <f>'Pr Fin'!E17</f>
        <v>-537258.15</v>
      </c>
      <c r="F38" s="56">
        <f>'Pr Fin'!F17</f>
        <v>-548402.92649999994</v>
      </c>
      <c r="G38" s="56">
        <f>'Pr Fin'!G17</f>
        <v>-686665.56767737493</v>
      </c>
      <c r="H38" s="56">
        <f>'Pr Fin'!H17</f>
        <v>-770265.63398552616</v>
      </c>
      <c r="I38" s="56">
        <f>'Pr Fin'!I17</f>
        <v>-863122.51815753046</v>
      </c>
      <c r="J38" s="56">
        <f>'Pr Fin'!J17</f>
        <v>-893331.80629304412</v>
      </c>
      <c r="K38" s="56">
        <f>'Pr Fin'!K17</f>
        <v>-924598.41951330064</v>
      </c>
      <c r="L38" s="56">
        <f>'Pr Fin'!L17</f>
        <v>-956959.36419626593</v>
      </c>
      <c r="M38" s="56">
        <f>'Pr Fin'!M17</f>
        <v>-990452.94194313511</v>
      </c>
      <c r="N38" s="56">
        <f>'Pr Fin'!N17</f>
        <v>-1025118.7949111449</v>
      </c>
    </row>
    <row r="39" spans="1:14">
      <c r="A39" s="36" t="s">
        <v>637</v>
      </c>
      <c r="B39" s="54">
        <f t="shared" ref="B39:N39" si="8">B31+B32+B37+B38</f>
        <v>957476.32792720525</v>
      </c>
      <c r="C39" s="54">
        <f t="shared" si="8"/>
        <v>12181027.644086786</v>
      </c>
      <c r="D39" s="54">
        <f t="shared" si="8"/>
        <v>13121129.493409747</v>
      </c>
      <c r="E39" s="54">
        <f t="shared" si="8"/>
        <v>-112011.54619330645</v>
      </c>
      <c r="F39" s="54">
        <f t="shared" si="8"/>
        <v>450127.92074767093</v>
      </c>
      <c r="G39" s="54">
        <f t="shared" si="8"/>
        <v>12049929.811306683</v>
      </c>
      <c r="H39" s="54">
        <f t="shared" si="8"/>
        <v>20190753.271038249</v>
      </c>
      <c r="I39" s="54">
        <f t="shared" si="8"/>
        <v>27144419.601473149</v>
      </c>
      <c r="J39" s="54">
        <f t="shared" si="8"/>
        <v>29877445.258758515</v>
      </c>
      <c r="K39" s="54">
        <f t="shared" si="8"/>
        <v>32973399.059563175</v>
      </c>
      <c r="L39" s="54">
        <f t="shared" si="8"/>
        <v>37912651.708759561</v>
      </c>
      <c r="M39" s="54">
        <f t="shared" si="8"/>
        <v>41953244.499723747</v>
      </c>
      <c r="N39" s="54">
        <f t="shared" si="8"/>
        <v>46485700.480958953</v>
      </c>
    </row>
    <row r="40" spans="1:14">
      <c r="A40" s="49" t="s">
        <v>638</v>
      </c>
      <c r="B40" s="56">
        <f>'Pr P&amp;L 2012'!B41</f>
        <v>0</v>
      </c>
      <c r="C40" s="56">
        <f>'Pr P&amp;L 2012'!C41</f>
        <v>0</v>
      </c>
      <c r="D40" s="56">
        <f>'Pr P&amp;L 2012'!D41</f>
        <v>0</v>
      </c>
      <c r="E40" s="56">
        <f>'Pr Fin'!E21</f>
        <v>0</v>
      </c>
      <c r="F40" s="56">
        <f>'Pr Fin'!F21</f>
        <v>0</v>
      </c>
      <c r="G40" s="56">
        <f>'Pr Fin'!G21</f>
        <v>0</v>
      </c>
      <c r="H40" s="56">
        <f>'Pr Fin'!H21</f>
        <v>0</v>
      </c>
      <c r="I40" s="56">
        <f>'Pr Fin'!I21</f>
        <v>0</v>
      </c>
      <c r="J40" s="56">
        <f>'Pr Fin'!J21</f>
        <v>0</v>
      </c>
      <c r="K40" s="56">
        <f>'Pr Fin'!K21</f>
        <v>0</v>
      </c>
      <c r="L40" s="56">
        <f>'Pr Fin'!L21</f>
        <v>0</v>
      </c>
      <c r="M40" s="56">
        <f>'Pr Fin'!M21</f>
        <v>0</v>
      </c>
      <c r="N40" s="56">
        <f>'Pr Fin'!N21</f>
        <v>0</v>
      </c>
    </row>
    <row r="41" spans="1:14">
      <c r="A41" s="36" t="s">
        <v>426</v>
      </c>
      <c r="B41" s="54">
        <f>B39+B40</f>
        <v>957476.32792720525</v>
      </c>
      <c r="C41" s="54">
        <f t="shared" ref="C41:N41" si="9">C39+C40</f>
        <v>12181027.644086786</v>
      </c>
      <c r="D41" s="54">
        <f t="shared" si="9"/>
        <v>13121129.493409747</v>
      </c>
      <c r="E41" s="54">
        <f t="shared" si="9"/>
        <v>-112011.54619330645</v>
      </c>
      <c r="F41" s="54">
        <f t="shared" si="9"/>
        <v>450127.92074767093</v>
      </c>
      <c r="G41" s="54">
        <f t="shared" si="9"/>
        <v>12049929.811306683</v>
      </c>
      <c r="H41" s="54">
        <f t="shared" si="9"/>
        <v>20190753.271038249</v>
      </c>
      <c r="I41" s="54">
        <f t="shared" si="9"/>
        <v>27144419.601473149</v>
      </c>
      <c r="J41" s="54">
        <f t="shared" si="9"/>
        <v>29877445.258758515</v>
      </c>
      <c r="K41" s="54">
        <f t="shared" si="9"/>
        <v>32973399.059563175</v>
      </c>
      <c r="L41" s="54">
        <f t="shared" si="9"/>
        <v>37912651.708759561</v>
      </c>
      <c r="M41" s="54">
        <f t="shared" si="9"/>
        <v>41953244.499723747</v>
      </c>
      <c r="N41" s="54">
        <f t="shared" si="9"/>
        <v>46485700.480958953</v>
      </c>
    </row>
    <row r="42" spans="1:14">
      <c r="A42" s="36" t="s">
        <v>639</v>
      </c>
      <c r="B42" s="54"/>
      <c r="C42" s="54"/>
      <c r="D42" s="54"/>
      <c r="E42" s="3"/>
      <c r="F42" s="3"/>
      <c r="G42" s="3"/>
      <c r="H42" s="3"/>
    </row>
    <row r="43" spans="1:14" s="45" customFormat="1" ht="14.4">
      <c r="A43" s="45" t="s">
        <v>640</v>
      </c>
      <c r="B43" s="57">
        <f>'Pr P&amp;L 2012'!B44</f>
        <v>909602.51153084496</v>
      </c>
      <c r="C43" s="57">
        <f>'Pr P&amp;L 2012'!C44</f>
        <v>11571976.261882447</v>
      </c>
      <c r="D43" s="57">
        <f>'Pr P&amp;L 2012'!D44</f>
        <v>12465073.018739259</v>
      </c>
      <c r="E43" s="57">
        <f>E41*(1-Предположения!$B$206)</f>
        <v>-106410.96888364112</v>
      </c>
      <c r="F43" s="57">
        <f>F41*(1-Предположения!$B$206)</f>
        <v>427621.52471028734</v>
      </c>
      <c r="G43" s="57">
        <f>G41*(1-Предположения!$B$206)</f>
        <v>11447433.320741348</v>
      </c>
      <c r="H43" s="57">
        <f>H41*(1-Предположения!$B$206)</f>
        <v>19181215.607486337</v>
      </c>
      <c r="I43" s="57">
        <f>I41*(1-Предположения!$B$206)</f>
        <v>25787198.621399492</v>
      </c>
      <c r="J43" s="57">
        <f>J41*(1-Предположения!$B$206)</f>
        <v>28383572.995820589</v>
      </c>
      <c r="K43" s="57">
        <f>K41*(1-Предположения!$B$206)</f>
        <v>31324729.106585015</v>
      </c>
      <c r="L43" s="57">
        <f>L41*(1-Предположения!$B$206)</f>
        <v>36017019.123321578</v>
      </c>
      <c r="M43" s="57">
        <f>M41*(1-Предположения!$B$206)</f>
        <v>39855582.274737559</v>
      </c>
      <c r="N43" s="57">
        <f>N41*(1-Предположения!$B$206)</f>
        <v>44161415.456911005</v>
      </c>
    </row>
    <row r="44" spans="1:14" s="45" customFormat="1" ht="14.4">
      <c r="A44" s="45" t="s">
        <v>641</v>
      </c>
      <c r="B44" s="57">
        <f>'Pr P&amp;L 2012'!B45</f>
        <v>47873.816396360264</v>
      </c>
      <c r="C44" s="57">
        <f>'Pr P&amp;L 2012'!C45</f>
        <v>609051.38220433926</v>
      </c>
      <c r="D44" s="57">
        <f>'Pr P&amp;L 2012'!D45</f>
        <v>656056.47467048746</v>
      </c>
      <c r="E44" s="57">
        <f>E41*Предположения!$B$206</f>
        <v>-5600.5773096653229</v>
      </c>
      <c r="F44" s="57">
        <f>F41*Предположения!$B$206</f>
        <v>22506.396037383547</v>
      </c>
      <c r="G44" s="57">
        <f>G41*Предположения!$B$206</f>
        <v>602496.49056533421</v>
      </c>
      <c r="H44" s="57">
        <f>H41*Предположения!$B$206</f>
        <v>1009537.6635519125</v>
      </c>
      <c r="I44" s="57">
        <f>I41*Предположения!$B$206</f>
        <v>1357220.9800736576</v>
      </c>
      <c r="J44" s="57">
        <f>J41*Предположения!$B$206</f>
        <v>1493872.2629379258</v>
      </c>
      <c r="K44" s="57">
        <f>K41*Предположения!$B$206</f>
        <v>1648669.9529781588</v>
      </c>
      <c r="L44" s="57">
        <f>L41*Предположения!$B$206</f>
        <v>1895632.5854379782</v>
      </c>
      <c r="M44" s="57">
        <f>M41*Предположения!$B$206</f>
        <v>2097662.2249861876</v>
      </c>
      <c r="N44" s="57">
        <f>N41*Предположения!$B$206</f>
        <v>2324285.024047948</v>
      </c>
    </row>
    <row r="45" spans="1:14">
      <c r="A45" s="36" t="s">
        <v>424</v>
      </c>
      <c r="B45" s="125">
        <f>'Pr P&amp;L 2012'!B46</f>
        <v>-143621.44918908077</v>
      </c>
      <c r="C45" s="125">
        <f>'Pr P&amp;L 2012'!C46</f>
        <v>-1827154.1466130179</v>
      </c>
      <c r="D45" s="125">
        <f>'Pr P&amp;L 2012'!D46</f>
        <v>-1968169.4240114619</v>
      </c>
      <c r="E45" s="41">
        <f>'Pr Fin'!E42</f>
        <v>0</v>
      </c>
      <c r="F45" s="41">
        <f>'Pr Fin'!F42</f>
        <v>-67519.18811215063</v>
      </c>
      <c r="G45" s="41">
        <f>'Pr Fin'!G42</f>
        <v>-1807489.4716960024</v>
      </c>
      <c r="H45" s="41">
        <f>'Pr Fin'!H42</f>
        <v>-3028612.9906557375</v>
      </c>
      <c r="I45" s="41">
        <f>'Pr Fin'!I42</f>
        <v>-4071662.9402209721</v>
      </c>
      <c r="J45" s="41">
        <f>'Pr Fin'!J42</f>
        <v>-4481616.7888137773</v>
      </c>
      <c r="K45" s="41">
        <f>'Pr Fin'!K42</f>
        <v>-4946009.858934476</v>
      </c>
      <c r="L45" s="41">
        <f>'Pr Fin'!L42</f>
        <v>-5686897.756313934</v>
      </c>
      <c r="M45" s="41">
        <f>'Pr Fin'!M42</f>
        <v>-6292986.6749585615</v>
      </c>
      <c r="N45" s="41">
        <f>'Pr Fin'!N42</f>
        <v>-6972855.0721438425</v>
      </c>
    </row>
    <row r="46" spans="1:14" ht="21">
      <c r="A46" s="85" t="s">
        <v>642</v>
      </c>
      <c r="B46" s="86">
        <f>B41+B45</f>
        <v>813854.87873812451</v>
      </c>
      <c r="C46" s="86">
        <f t="shared" ref="C46:N46" si="10">C41+C45</f>
        <v>10353873.497473767</v>
      </c>
      <c r="D46" s="86">
        <f t="shared" si="10"/>
        <v>11152960.069398286</v>
      </c>
      <c r="E46" s="86">
        <f t="shared" si="10"/>
        <v>-112011.54619330645</v>
      </c>
      <c r="F46" s="86">
        <f t="shared" si="10"/>
        <v>382608.73263552028</v>
      </c>
      <c r="G46" s="86">
        <f t="shared" si="10"/>
        <v>10242440.339610681</v>
      </c>
      <c r="H46" s="86">
        <f t="shared" si="10"/>
        <v>17162140.28038251</v>
      </c>
      <c r="I46" s="86">
        <f t="shared" si="10"/>
        <v>23072756.661252178</v>
      </c>
      <c r="J46" s="86">
        <f t="shared" si="10"/>
        <v>25395828.469944738</v>
      </c>
      <c r="K46" s="86">
        <f t="shared" si="10"/>
        <v>28027389.200628698</v>
      </c>
      <c r="L46" s="86">
        <f t="shared" si="10"/>
        <v>32225753.952445626</v>
      </c>
      <c r="M46" s="86">
        <f t="shared" si="10"/>
        <v>35660257.824765183</v>
      </c>
      <c r="N46" s="86">
        <f t="shared" si="10"/>
        <v>39512845.408815108</v>
      </c>
    </row>
    <row r="47" spans="1:14">
      <c r="B47" s="41"/>
      <c r="C47" s="41"/>
      <c r="D47" s="41"/>
      <c r="E47" s="3"/>
      <c r="F47" s="3"/>
      <c r="G47" s="3"/>
      <c r="H47" s="3"/>
    </row>
    <row r="48" spans="1:14" ht="21">
      <c r="A48" s="85" t="s">
        <v>427</v>
      </c>
      <c r="B48" s="54">
        <f>B31-B24</f>
        <v>6589619.2399058333</v>
      </c>
      <c r="C48" s="54">
        <f t="shared" ref="C48:N48" si="11">C31-C24</f>
        <v>25335208.479036372</v>
      </c>
      <c r="D48" s="54">
        <f t="shared" si="11"/>
        <v>25234208.996054292</v>
      </c>
      <c r="E48" s="54">
        <f t="shared" si="11"/>
        <v>11379128.203908743</v>
      </c>
      <c r="F48" s="54">
        <f t="shared" si="11"/>
        <v>11145041.770831421</v>
      </c>
      <c r="G48" s="54">
        <f t="shared" si="11"/>
        <v>23776616.395647191</v>
      </c>
      <c r="H48" s="54">
        <f t="shared" si="11"/>
        <v>31315316.708802603</v>
      </c>
      <c r="I48" s="54">
        <f t="shared" si="11"/>
        <v>40076824.283257797</v>
      </c>
      <c r="J48" s="54">
        <f t="shared" si="11"/>
        <v>42711946.2005089</v>
      </c>
      <c r="K48" s="54">
        <f t="shared" si="11"/>
        <v>45714622.798021153</v>
      </c>
      <c r="L48" s="54">
        <f t="shared" si="11"/>
        <v>49060301.663649574</v>
      </c>
      <c r="M48" s="54">
        <f t="shared" si="11"/>
        <v>52758113.741223268</v>
      </c>
      <c r="N48" s="54">
        <f t="shared" si="11"/>
        <v>56797696.932852</v>
      </c>
    </row>
    <row r="49" spans="1:14" ht="21">
      <c r="A49" s="85" t="s">
        <v>772</v>
      </c>
      <c r="B49" s="54">
        <f>B48+B24</f>
        <v>887007.87480220944</v>
      </c>
      <c r="C49" s="54">
        <f t="shared" ref="C49:N49" si="12">C48+C23</f>
        <v>24620655.41496478</v>
      </c>
      <c r="D49" s="54">
        <f t="shared" si="12"/>
        <v>24557910.986946814</v>
      </c>
      <c r="E49" s="54">
        <f t="shared" si="12"/>
        <v>10683132.194535997</v>
      </c>
      <c r="F49" s="54">
        <f t="shared" si="12"/>
        <v>10432152.654435065</v>
      </c>
      <c r="G49" s="54">
        <f t="shared" si="12"/>
        <v>22904538.447434172</v>
      </c>
      <c r="H49" s="54">
        <f t="shared" si="12"/>
        <v>30356807.086919606</v>
      </c>
      <c r="I49" s="54">
        <f t="shared" si="12"/>
        <v>39034561.393443272</v>
      </c>
      <c r="J49" s="54">
        <f t="shared" si="12"/>
        <v>41664623.782103047</v>
      </c>
      <c r="K49" s="54">
        <f t="shared" si="12"/>
        <v>44667300.379615299</v>
      </c>
      <c r="L49" s="54">
        <f t="shared" si="12"/>
        <v>48018063.334653459</v>
      </c>
      <c r="M49" s="54">
        <f t="shared" si="12"/>
        <v>51725994.230955265</v>
      </c>
      <c r="N49" s="54">
        <f t="shared" si="12"/>
        <v>55780608.289238386</v>
      </c>
    </row>
    <row r="50" spans="1:14" ht="21">
      <c r="A50" s="85" t="s">
        <v>773</v>
      </c>
      <c r="B50" s="54">
        <f>B48+B40</f>
        <v>6589619.2399058333</v>
      </c>
      <c r="C50" s="54">
        <f t="shared" ref="C50:N50" si="13">C48+C40</f>
        <v>25335208.479036372</v>
      </c>
      <c r="D50" s="54">
        <f t="shared" si="13"/>
        <v>25234208.996054292</v>
      </c>
      <c r="E50" s="54">
        <f t="shared" si="13"/>
        <v>11379128.203908743</v>
      </c>
      <c r="F50" s="54">
        <f t="shared" si="13"/>
        <v>11145041.770831421</v>
      </c>
      <c r="G50" s="54">
        <f t="shared" si="13"/>
        <v>23776616.395647191</v>
      </c>
      <c r="H50" s="54">
        <f t="shared" si="13"/>
        <v>31315316.708802603</v>
      </c>
      <c r="I50" s="54">
        <f t="shared" si="13"/>
        <v>40076824.283257797</v>
      </c>
      <c r="J50" s="54">
        <f t="shared" si="13"/>
        <v>42711946.2005089</v>
      </c>
      <c r="K50" s="54">
        <f t="shared" si="13"/>
        <v>45714622.798021153</v>
      </c>
      <c r="L50" s="54">
        <f t="shared" si="13"/>
        <v>49060301.663649574</v>
      </c>
      <c r="M50" s="54">
        <f t="shared" si="13"/>
        <v>52758113.741223268</v>
      </c>
      <c r="N50" s="54">
        <f t="shared" si="13"/>
        <v>56797696.932852</v>
      </c>
    </row>
    <row r="51" spans="1:14">
      <c r="B51" s="41"/>
      <c r="C51" s="41"/>
      <c r="D51" s="41"/>
      <c r="E51" s="3"/>
      <c r="F51" s="3"/>
      <c r="G51" s="3"/>
      <c r="H51" s="3"/>
    </row>
    <row r="52" spans="1:14">
      <c r="B52" s="41"/>
      <c r="C52" s="41"/>
      <c r="D52" s="41"/>
    </row>
    <row r="53" spans="1:14">
      <c r="B53" s="41"/>
      <c r="C53" s="41"/>
      <c r="D53" s="41"/>
    </row>
    <row r="54" spans="1:14">
      <c r="B54" s="41"/>
      <c r="C54" s="41"/>
      <c r="D54" s="41"/>
    </row>
    <row r="55" spans="1:14">
      <c r="B55" s="41"/>
      <c r="C55" s="41"/>
      <c r="D55" s="41"/>
    </row>
    <row r="56" spans="1:14">
      <c r="B56" s="41"/>
      <c r="C56" s="41"/>
      <c r="D56" s="41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N60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B6" sqref="B6:D6"/>
    </sheetView>
  </sheetViews>
  <sheetFormatPr defaultRowHeight="18"/>
  <cols>
    <col min="1" max="1" width="77.33203125" style="49" customWidth="1"/>
    <col min="2" max="14" width="18.77734375" style="2" customWidth="1"/>
    <col min="15" max="16384" width="8.88671875" style="2"/>
  </cols>
  <sheetData>
    <row r="1" spans="1:14" ht="14.4">
      <c r="A1" s="303" t="s">
        <v>740</v>
      </c>
    </row>
    <row r="2" spans="1:14" ht="21">
      <c r="A2" s="92" t="s">
        <v>428</v>
      </c>
    </row>
    <row r="3" spans="1:14" ht="21">
      <c r="A3" s="92" t="s">
        <v>261</v>
      </c>
      <c r="B3" s="202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B7+B8</f>
        <v>104595903.75</v>
      </c>
      <c r="C6" s="54">
        <f t="shared" ref="C6:N6" si="0">C7+C8</f>
        <v>176490000</v>
      </c>
      <c r="D6" s="54">
        <f t="shared" si="0"/>
        <v>122698012.5</v>
      </c>
      <c r="E6" s="54">
        <f t="shared" si="0"/>
        <v>152748012</v>
      </c>
      <c r="F6" s="54">
        <f t="shared" si="0"/>
        <v>161199046.71999997</v>
      </c>
      <c r="G6" s="54">
        <f t="shared" si="0"/>
        <v>185561075.14063996</v>
      </c>
      <c r="H6" s="54">
        <f t="shared" si="0"/>
        <v>203618169.87409759</v>
      </c>
      <c r="I6" s="54">
        <f t="shared" si="0"/>
        <v>223203580.18224895</v>
      </c>
      <c r="J6" s="54">
        <f t="shared" si="0"/>
        <v>235594809.24179065</v>
      </c>
      <c r="K6" s="54">
        <f t="shared" si="0"/>
        <v>248579168.23427689</v>
      </c>
      <c r="L6" s="54">
        <f t="shared" si="0"/>
        <v>262183199.12441602</v>
      </c>
      <c r="M6" s="54">
        <f t="shared" si="0"/>
        <v>276434575.2302779</v>
      </c>
      <c r="N6" s="54">
        <f t="shared" si="0"/>
        <v>291362147.90412271</v>
      </c>
    </row>
    <row r="7" spans="1:14" s="44" customFormat="1">
      <c r="A7" s="49" t="s">
        <v>262</v>
      </c>
      <c r="B7" s="56">
        <f>'Tr P&amp;L 2012'!B8</f>
        <v>8607292.5</v>
      </c>
      <c r="C7" s="56">
        <f>'Tr P&amp;L 2012'!C8</f>
        <v>13986900</v>
      </c>
      <c r="D7" s="56">
        <f>'Tr P&amp;L 2012'!D8</f>
        <v>11043112.5</v>
      </c>
      <c r="E7" s="56">
        <f>'Tr Sales Costs'!E19</f>
        <v>12726106.5</v>
      </c>
      <c r="F7" s="56">
        <f>'Tr Sales Costs'!F19</f>
        <v>13443472.764999999</v>
      </c>
      <c r="G7" s="56">
        <f>'Tr Sales Costs'!G19</f>
        <v>15491581.84802375</v>
      </c>
      <c r="H7" s="56">
        <f>'Tr Sales Costs'!H19</f>
        <v>17015593.504805259</v>
      </c>
      <c r="I7" s="56">
        <f>'Tr Sales Costs'!I19</f>
        <v>18669802.203162018</v>
      </c>
      <c r="J7" s="56">
        <f>'Tr Sales Costs'!J19</f>
        <v>19723493.76296638</v>
      </c>
      <c r="K7" s="56">
        <f>'Tr Sales Costs'!K19</f>
        <v>20828157.426383171</v>
      </c>
      <c r="L7" s="56">
        <f>'Tr Sales Costs'!L19</f>
        <v>21986074.1435045</v>
      </c>
      <c r="M7" s="56">
        <f>'Tr Sales Costs'!M19</f>
        <v>23199622.090102006</v>
      </c>
      <c r="N7" s="56">
        <f>'Tr Sales Costs'!N19</f>
        <v>24471280.679260544</v>
      </c>
    </row>
    <row r="8" spans="1:14" s="44" customFormat="1">
      <c r="A8" s="49" t="s">
        <v>263</v>
      </c>
      <c r="B8" s="56">
        <f>'Tr P&amp;L 2012'!B9</f>
        <v>95988611.25</v>
      </c>
      <c r="C8" s="56">
        <f>'Tr P&amp;L 2012'!C9</f>
        <v>162503100</v>
      </c>
      <c r="D8" s="56">
        <f>'Tr P&amp;L 2012'!D9</f>
        <v>111654900</v>
      </c>
      <c r="E8" s="56">
        <f>'Tr Sales Costs'!E21</f>
        <v>140021905.5</v>
      </c>
      <c r="F8" s="56">
        <f>'Tr Sales Costs'!F21</f>
        <v>147755573.95499998</v>
      </c>
      <c r="G8" s="56">
        <f>'Tr Sales Costs'!G21</f>
        <v>170069493.29261622</v>
      </c>
      <c r="H8" s="56">
        <f>'Tr Sales Costs'!H21</f>
        <v>186602576.36929232</v>
      </c>
      <c r="I8" s="56">
        <f>'Tr Sales Costs'!I21</f>
        <v>204533777.97908694</v>
      </c>
      <c r="J8" s="56">
        <f>'Tr Sales Costs'!J21</f>
        <v>215871315.47882426</v>
      </c>
      <c r="K8" s="56">
        <f>'Tr Sales Costs'!K21</f>
        <v>227751010.80789372</v>
      </c>
      <c r="L8" s="56">
        <f>'Tr Sales Costs'!L21</f>
        <v>240197124.98091152</v>
      </c>
      <c r="M8" s="56">
        <f>'Tr Sales Costs'!M21</f>
        <v>253234953.14017588</v>
      </c>
      <c r="N8" s="56">
        <f>'Tr Sales Costs'!N21</f>
        <v>266890867.22486216</v>
      </c>
    </row>
    <row r="9" spans="1:14" s="1" customFormat="1">
      <c r="A9" s="36" t="s">
        <v>633</v>
      </c>
      <c r="B9" s="54">
        <f>B10+B13+B14+B15</f>
        <v>-83812103.5</v>
      </c>
      <c r="C9" s="54">
        <f t="shared" ref="C9:D9" si="1">C10+C13+C14+C15</f>
        <v>-136777443</v>
      </c>
      <c r="D9" s="54">
        <f t="shared" si="1"/>
        <v>-108664644</v>
      </c>
      <c r="E9" s="54">
        <f t="shared" ref="E9" si="2">E10+E13+E14+E15</f>
        <v>-124600447.42550333</v>
      </c>
      <c r="F9" s="54">
        <f t="shared" ref="F9" si="3">F10+F13+F14+F15</f>
        <v>-131720892.5000539</v>
      </c>
      <c r="G9" s="54">
        <f t="shared" ref="G9" si="4">G10+G13+G14+G15</f>
        <v>-151897889.02733147</v>
      </c>
      <c r="H9" s="54">
        <f t="shared" ref="H9" si="5">H10+H13+H14+H15</f>
        <v>-166956398.87430984</v>
      </c>
      <c r="I9" s="54">
        <f t="shared" ref="I9" si="6">I10+I13+I14+I15</f>
        <v>-183309768.21280295</v>
      </c>
      <c r="J9" s="54">
        <f t="shared" ref="J9" si="7">J10+J13+J14+J15</f>
        <v>-193779966.22148791</v>
      </c>
      <c r="K9" s="54">
        <f t="shared" ref="K9" si="8">K10+K13+K14+K15</f>
        <v>-204760391.26680577</v>
      </c>
      <c r="L9" s="54">
        <f t="shared" ref="L9" si="9">L10+L13+L14+L15</f>
        <v>-216273895.59601897</v>
      </c>
      <c r="M9" s="54">
        <f t="shared" ref="M9" si="10">M10+M13+M14+M15</f>
        <v>-228344309.41036406</v>
      </c>
      <c r="N9" s="54">
        <f t="shared" ref="N9" si="11">N10+N13+N14+N15</f>
        <v>-240996481.99975374</v>
      </c>
    </row>
    <row r="10" spans="1:14" s="47" customFormat="1">
      <c r="A10" s="49" t="s">
        <v>643</v>
      </c>
      <c r="B10" s="56">
        <f>SUM(B11:B12)</f>
        <v>-83786137.5</v>
      </c>
      <c r="C10" s="56">
        <f>SUM(C11:C12)</f>
        <v>-136739000</v>
      </c>
      <c r="D10" s="56">
        <f>SUM(D11:D12)</f>
        <v>-108484000</v>
      </c>
      <c r="E10" s="56">
        <f t="shared" ref="E10:N10" si="12">SUM(E11:E12)</f>
        <v>-124506315</v>
      </c>
      <c r="F10" s="56">
        <f t="shared" si="12"/>
        <v>-131621227.64999998</v>
      </c>
      <c r="G10" s="56">
        <f t="shared" si="12"/>
        <v>-151783243.48023748</v>
      </c>
      <c r="H10" s="56">
        <f t="shared" si="12"/>
        <v>-166830385.04805261</v>
      </c>
      <c r="I10" s="56">
        <f t="shared" si="12"/>
        <v>-183171372.0316202</v>
      </c>
      <c r="J10" s="56">
        <f t="shared" si="12"/>
        <v>-193633287.6296638</v>
      </c>
      <c r="K10" s="56">
        <f t="shared" si="12"/>
        <v>-204604924.26383173</v>
      </c>
      <c r="L10" s="56">
        <f t="shared" si="12"/>
        <v>-216109091.435045</v>
      </c>
      <c r="M10" s="56">
        <f t="shared" si="12"/>
        <v>-228169570.90102005</v>
      </c>
      <c r="N10" s="56">
        <f t="shared" si="12"/>
        <v>-240811156.79260546</v>
      </c>
    </row>
    <row r="11" spans="1:14" s="45" customFormat="1" ht="14.4">
      <c r="A11" s="45" t="s">
        <v>266</v>
      </c>
      <c r="B11" s="57">
        <f>'Tr P&amp;L 2012'!B12</f>
        <v>-33736137.5</v>
      </c>
      <c r="C11" s="57">
        <f>'Tr P&amp;L 2012'!C12</f>
        <v>-65780000</v>
      </c>
      <c r="D11" s="57">
        <f>'Tr P&amp;L 2012'!D12</f>
        <v>-57239000</v>
      </c>
      <c r="E11" s="57">
        <f>-'Tr Sales Costs'!E6</f>
        <v>-53725815</v>
      </c>
      <c r="F11" s="57">
        <f>-'Tr Sales Costs'!F6</f>
        <v>-54840292.649999991</v>
      </c>
      <c r="G11" s="57">
        <f>-'Tr Sales Costs'!G6</f>
        <v>-68666556.767737493</v>
      </c>
      <c r="H11" s="57">
        <f>-'Tr Sales Costs'!H6</f>
        <v>-77026563.398552611</v>
      </c>
      <c r="I11" s="57">
        <f>-'Tr Sales Costs'!I6</f>
        <v>-86312251.815753043</v>
      </c>
      <c r="J11" s="57">
        <f>-'Tr Sales Costs'!J6</f>
        <v>-89333180.629304409</v>
      </c>
      <c r="K11" s="57">
        <f>-'Tr Sales Costs'!K6</f>
        <v>-92459841.951330066</v>
      </c>
      <c r="L11" s="57">
        <f>-'Tr Sales Costs'!L6</f>
        <v>-95695936.419626594</v>
      </c>
      <c r="M11" s="57">
        <f>-'Tr Sales Costs'!M6</f>
        <v>-99045294.194313511</v>
      </c>
      <c r="N11" s="57">
        <f>-'Tr Sales Costs'!N6</f>
        <v>-102511879.49111448</v>
      </c>
    </row>
    <row r="12" spans="1:14" s="45" customFormat="1" ht="14.4">
      <c r="A12" s="45" t="s">
        <v>267</v>
      </c>
      <c r="B12" s="57">
        <f>'Tr P&amp;L 2012'!B13</f>
        <v>-50050000</v>
      </c>
      <c r="C12" s="57">
        <f>'Tr P&amp;L 2012'!C13</f>
        <v>-70959000</v>
      </c>
      <c r="D12" s="57">
        <f>'Tr P&amp;L 2012'!D13</f>
        <v>-51245000</v>
      </c>
      <c r="E12" s="57">
        <f>-'Tr Sales Costs'!E8</f>
        <v>-70780500</v>
      </c>
      <c r="F12" s="57">
        <f>-'Tr Sales Costs'!F8</f>
        <v>-76780934.999999985</v>
      </c>
      <c r="G12" s="57">
        <f>-'Tr Sales Costs'!G8</f>
        <v>-83116686.712499976</v>
      </c>
      <c r="H12" s="57">
        <f>-'Tr Sales Costs'!H8</f>
        <v>-89803821.649499983</v>
      </c>
      <c r="I12" s="57">
        <f>-'Tr Sales Costs'!I8</f>
        <v>-96859120.215867147</v>
      </c>
      <c r="J12" s="57">
        <f>-'Tr Sales Costs'!J8</f>
        <v>-104300107.00035939</v>
      </c>
      <c r="K12" s="57">
        <f>-'Tr Sales Costs'!K8</f>
        <v>-112145082.31250167</v>
      </c>
      <c r="L12" s="57">
        <f>-'Tr Sales Costs'!L8</f>
        <v>-120413155.01541843</v>
      </c>
      <c r="M12" s="57">
        <f>-'Tr Sales Costs'!M8</f>
        <v>-129124276.70670655</v>
      </c>
      <c r="N12" s="57">
        <f>-'Tr Sales Costs'!N8</f>
        <v>-138299277.30149099</v>
      </c>
    </row>
    <row r="13" spans="1:14">
      <c r="A13" s="49" t="s">
        <v>447</v>
      </c>
      <c r="B13" s="56">
        <f>'Tr P&amp;L 2012'!B14</f>
        <v>0</v>
      </c>
      <c r="C13" s="56">
        <f>'Tr P&amp;L 2012'!C14</f>
        <v>0</v>
      </c>
      <c r="D13" s="56">
        <f>'Tr P&amp;L 2012'!D14</f>
        <v>0</v>
      </c>
      <c r="E13" s="56">
        <f>'Tr Fin'!E14</f>
        <v>0</v>
      </c>
      <c r="F13" s="56">
        <f>'Tr Fin'!F14</f>
        <v>0</v>
      </c>
      <c r="G13" s="56">
        <f>'Tr Fin'!G14</f>
        <v>0</v>
      </c>
      <c r="H13" s="56">
        <f>'Tr Fin'!H14</f>
        <v>0</v>
      </c>
      <c r="I13" s="56">
        <f>'Tr Fin'!I14</f>
        <v>0</v>
      </c>
      <c r="J13" s="56">
        <f>'Tr Fin'!J14</f>
        <v>0</v>
      </c>
      <c r="K13" s="56">
        <f>'Tr Fin'!K14</f>
        <v>0</v>
      </c>
      <c r="L13" s="56">
        <f>'Tr Fin'!L14</f>
        <v>0</v>
      </c>
      <c r="M13" s="56">
        <f>'Tr Fin'!M14</f>
        <v>0</v>
      </c>
      <c r="N13" s="56">
        <f>'Tr Fin'!N14</f>
        <v>0</v>
      </c>
    </row>
    <row r="14" spans="1:14">
      <c r="A14" s="49" t="s">
        <v>389</v>
      </c>
      <c r="B14" s="56">
        <f>'Tr P&amp;L 2012'!B15</f>
        <v>-1210</v>
      </c>
      <c r="C14" s="56">
        <f>'Tr P&amp;L 2012'!C15</f>
        <v>-2456</v>
      </c>
      <c r="D14" s="56">
        <f>'Tr P&amp;L 2012'!D15</f>
        <v>-3750</v>
      </c>
      <c r="E14" s="56">
        <f>-Предположения!F186*Предположения!$B$185</f>
        <v>-4236.375</v>
      </c>
      <c r="F14" s="56">
        <f>-Предположения!G186*Предположения!$B$185</f>
        <v>-4795.152862500001</v>
      </c>
      <c r="G14" s="56">
        <f>-Предположения!H186*Предположения!$B$185</f>
        <v>-5438.1828613612515</v>
      </c>
      <c r="H14" s="56">
        <f>-Предположения!I186*Предположения!$B$185</f>
        <v>-6179.4071853647893</v>
      </c>
      <c r="I14" s="56">
        <f>-Предположения!J186*Предположения!$B$185</f>
        <v>-7035.2550805378123</v>
      </c>
      <c r="J14" s="56">
        <f>-Предположения!K186*Предположения!$B$185</f>
        <v>-8025.115470369482</v>
      </c>
      <c r="K14" s="56">
        <f>-Предположения!L186*Предположения!$B$185</f>
        <v>-9171.9044710852813</v>
      </c>
      <c r="L14" s="56">
        <f>-Предположения!M186*Предположения!$B$185</f>
        <v>-10502.747809839757</v>
      </c>
      <c r="M14" s="56">
        <f>-Предположения!N186*Предположения!$B$185</f>
        <v>-12049.802562229153</v>
      </c>
      <c r="N14" s="56">
        <f>-Предположения!O186*Предположения!$B$185</f>
        <v>-13851.248045282413</v>
      </c>
    </row>
    <row r="15" spans="1:14">
      <c r="A15" s="49" t="s">
        <v>390</v>
      </c>
      <c r="B15" s="56">
        <f>'Tr P&amp;L 2012'!B16</f>
        <v>-24756</v>
      </c>
      <c r="C15" s="56">
        <f>'Tr P&amp;L 2012'!C16</f>
        <v>-35987</v>
      </c>
      <c r="D15" s="56">
        <f>'Tr P&amp;L 2012'!D16</f>
        <v>-176894</v>
      </c>
      <c r="E15" s="56">
        <f>'Tr Sales Costs'!E34</f>
        <v>-89896.050503334031</v>
      </c>
      <c r="F15" s="56">
        <f>'Tr Sales Costs'!F34</f>
        <v>-94869.697191413652</v>
      </c>
      <c r="G15" s="56">
        <f>'Tr Sales Costs'!G34</f>
        <v>-109207.36423264173</v>
      </c>
      <c r="H15" s="56">
        <f>'Tr Sales Costs'!H34</f>
        <v>-119834.41907183921</v>
      </c>
      <c r="I15" s="56">
        <f>'Tr Sales Costs'!I34</f>
        <v>-131360.92610218993</v>
      </c>
      <c r="J15" s="56">
        <f>'Tr Sales Costs'!J34</f>
        <v>-138653.4763537437</v>
      </c>
      <c r="K15" s="56">
        <f>'Tr Sales Costs'!K34</f>
        <v>-146295.09850292077</v>
      </c>
      <c r="L15" s="56">
        <f>'Tr Sales Costs'!L34</f>
        <v>-154301.41316414767</v>
      </c>
      <c r="M15" s="56">
        <f>'Tr Sales Costs'!M34</f>
        <v>-162688.70678178614</v>
      </c>
      <c r="N15" s="56">
        <f>'Tr Sales Costs'!N34</f>
        <v>-171473.95910297605</v>
      </c>
    </row>
    <row r="16" spans="1:14">
      <c r="A16" s="36" t="s">
        <v>634</v>
      </c>
      <c r="B16" s="54">
        <f>B6+B9</f>
        <v>20783800.25</v>
      </c>
      <c r="C16" s="54">
        <f>C6+C9</f>
        <v>39712557</v>
      </c>
      <c r="D16" s="54">
        <f>D6+D9</f>
        <v>14033368.5</v>
      </c>
      <c r="E16" s="54">
        <f t="shared" ref="E16:N16" si="13">E6+E9</f>
        <v>28147564.574496672</v>
      </c>
      <c r="F16" s="54">
        <f t="shared" si="13"/>
        <v>29478154.219946072</v>
      </c>
      <c r="G16" s="54">
        <f t="shared" si="13"/>
        <v>33663186.113308489</v>
      </c>
      <c r="H16" s="54">
        <f t="shared" si="13"/>
        <v>36661770.999787748</v>
      </c>
      <c r="I16" s="54">
        <f t="shared" si="13"/>
        <v>39893811.969446003</v>
      </c>
      <c r="J16" s="54">
        <f t="shared" si="13"/>
        <v>41814843.020302743</v>
      </c>
      <c r="K16" s="54">
        <f t="shared" si="13"/>
        <v>43818776.967471123</v>
      </c>
      <c r="L16" s="54">
        <f t="shared" si="13"/>
        <v>45909303.528397053</v>
      </c>
      <c r="M16" s="54">
        <f t="shared" si="13"/>
        <v>48090265.819913834</v>
      </c>
      <c r="N16" s="54">
        <f t="shared" si="13"/>
        <v>50365665.904368967</v>
      </c>
    </row>
    <row r="17" spans="1:14">
      <c r="A17" s="49" t="s">
        <v>392</v>
      </c>
      <c r="B17" s="56">
        <f>'Tr P&amp;L 2012'!B18</f>
        <v>-510756</v>
      </c>
      <c r="C17" s="56">
        <f>'Tr P&amp;L 2012'!C18</f>
        <v>-965342</v>
      </c>
      <c r="D17" s="56">
        <f>'Tr P&amp;L 2012'!D18</f>
        <v>-1051276</v>
      </c>
      <c r="E17" s="56">
        <f>'Tr Sales Costs'!E31</f>
        <v>-1079660.4519999998</v>
      </c>
      <c r="F17" s="56">
        <f>'Tr Sales Costs'!F31</f>
        <v>-1110970.6051079996</v>
      </c>
      <c r="G17" s="56">
        <f>'Tr Sales Costs'!G31</f>
        <v>-1145410.6938663474</v>
      </c>
      <c r="H17" s="56">
        <f>'Tr Sales Costs'!H31</f>
        <v>-1183209.2467639367</v>
      </c>
      <c r="I17" s="56">
        <f>'Tr Sales Costs'!I31</f>
        <v>-1224621.5704006744</v>
      </c>
      <c r="J17" s="56">
        <f>'Tr Sales Costs'!J31</f>
        <v>-1269932.5685054993</v>
      </c>
      <c r="K17" s="56">
        <f>'Tr Sales Costs'!K31</f>
        <v>-1319459.9386772136</v>
      </c>
      <c r="L17" s="56">
        <f>'Tr Sales Costs'!L31</f>
        <v>-1373557.7961629792</v>
      </c>
      <c r="M17" s="56">
        <f>'Tr Sales Costs'!M31</f>
        <v>-1432620.7813979872</v>
      </c>
      <c r="N17" s="56">
        <f>'Tr Sales Costs'!N31</f>
        <v>-1497088.7165608965</v>
      </c>
    </row>
    <row r="18" spans="1:14">
      <c r="A18" s="49" t="s">
        <v>448</v>
      </c>
      <c r="B18" s="56">
        <f>'Tr P&amp;L 2012'!B19</f>
        <v>-14406761.25</v>
      </c>
      <c r="C18" s="56">
        <f>'Tr P&amp;L 2012'!C19</f>
        <v>-30987000</v>
      </c>
      <c r="D18" s="56">
        <f>'Tr P&amp;L 2012'!D19</f>
        <v>-8762062.5</v>
      </c>
      <c r="E18" s="56">
        <f>'Tr Sales Costs'!E24</f>
        <v>-20528397</v>
      </c>
      <c r="F18" s="56">
        <f>'Tr Sales Costs'!F24</f>
        <v>-21700019.069999997</v>
      </c>
      <c r="G18" s="56">
        <f>'Tr Sales Costs'!G24</f>
        <v>-25006621.660402495</v>
      </c>
      <c r="H18" s="56">
        <f>'Tr Sales Costs'!H24</f>
        <v>-27476244.826044969</v>
      </c>
      <c r="I18" s="56">
        <f>'Tr Sales Costs'!I24</f>
        <v>-30157588.150628757</v>
      </c>
      <c r="J18" s="56">
        <f>'Tr Sales Costs'!J24</f>
        <v>-31876901.612126805</v>
      </c>
      <c r="K18" s="56">
        <f>'Tr Sales Costs'!K24</f>
        <v>-33679623.970445193</v>
      </c>
      <c r="L18" s="56">
        <f>'Tr Sales Costs'!L24</f>
        <v>-35569487.689371005</v>
      </c>
      <c r="M18" s="56">
        <f>'Tr Sales Costs'!M24</f>
        <v>-37550384.329257831</v>
      </c>
      <c r="N18" s="56">
        <f>'Tr Sales Costs'!N24</f>
        <v>-39626371.111517258</v>
      </c>
    </row>
    <row r="19" spans="1:14">
      <c r="A19" s="49" t="s">
        <v>387</v>
      </c>
      <c r="B19" s="56">
        <f>'Tr P&amp;L 2012'!B20</f>
        <v>-1045959.0375</v>
      </c>
      <c r="C19" s="56">
        <f>'Tr P&amp;L 2012'!C20</f>
        <v>-1764900</v>
      </c>
      <c r="D19" s="56">
        <f>'Tr P&amp;L 2012'!D20</f>
        <v>-1226980.125</v>
      </c>
      <c r="E19" s="56">
        <f>'Tr Sales Costs'!E27</f>
        <v>-1527480.12</v>
      </c>
      <c r="F19" s="56">
        <f>'Tr Sales Costs'!F27</f>
        <v>-1611990.4671999998</v>
      </c>
      <c r="G19" s="56">
        <f>'Tr Sales Costs'!G27</f>
        <v>-1855610.7514063995</v>
      </c>
      <c r="H19" s="56">
        <f>'Tr Sales Costs'!H27</f>
        <v>-2036181.6987409759</v>
      </c>
      <c r="I19" s="56">
        <f>'Tr Sales Costs'!I27</f>
        <v>-2232035.8018224896</v>
      </c>
      <c r="J19" s="56">
        <f>'Tr Sales Costs'!J27</f>
        <v>-2355948.0924179065</v>
      </c>
      <c r="K19" s="56">
        <f>'Tr Sales Costs'!K27</f>
        <v>-2485791.6823427691</v>
      </c>
      <c r="L19" s="56">
        <f>'Tr Sales Costs'!L27</f>
        <v>-2621831.9912441601</v>
      </c>
      <c r="M19" s="56">
        <f>'Tr Sales Costs'!M27</f>
        <v>-2764345.7523027789</v>
      </c>
      <c r="N19" s="56">
        <f>'Tr Sales Costs'!N27</f>
        <v>-2913621.4790412271</v>
      </c>
    </row>
    <row r="20" spans="1:14">
      <c r="A20" s="49" t="s">
        <v>644</v>
      </c>
      <c r="B20" s="56">
        <f>'Tr P&amp;L 2012'!B21</f>
        <v>-117532.74422812495</v>
      </c>
      <c r="C20" s="56">
        <f>'Tr P&amp;L 2012'!C21</f>
        <v>-138506.77499999999</v>
      </c>
      <c r="D20" s="56">
        <f>'Tr P&amp;L 2012'!D21</f>
        <v>-73038.489093749813</v>
      </c>
      <c r="E20" s="56">
        <f>'Tr Sales Costs'!E30</f>
        <v>-121873.66982999971</v>
      </c>
      <c r="F20" s="56">
        <f>'Tr Sales Costs'!F30</f>
        <v>-120681.08212979978</v>
      </c>
      <c r="G20" s="56">
        <f>'Tr Sales Costs'!G30</f>
        <v>-129923.71895197533</v>
      </c>
      <c r="H20" s="56">
        <f>'Tr Sales Costs'!H30</f>
        <v>-133087.49922007366</v>
      </c>
      <c r="I20" s="56">
        <f>'Tr Sales Costs'!I30</f>
        <v>-135823.49675440078</v>
      </c>
      <c r="J20" s="56">
        <f>'Tr Sales Costs'!J30</f>
        <v>-133130.06634435602</v>
      </c>
      <c r="K20" s="56">
        <f>'Tr Sales Costs'!K30</f>
        <v>-130003.46573015382</v>
      </c>
      <c r="L20" s="56">
        <f>'Tr Sales Costs'!L30</f>
        <v>-126424.31098319996</v>
      </c>
      <c r="M20" s="56">
        <f>'Tr Sales Costs'!M30</f>
        <v>-122372.39193338812</v>
      </c>
      <c r="N20" s="56">
        <f>'Tr Sales Costs'!N30</f>
        <v>-117826.63807751975</v>
      </c>
    </row>
    <row r="21" spans="1:14">
      <c r="A21" s="71" t="s">
        <v>635</v>
      </c>
      <c r="B21" s="56">
        <f>'Tr P&amp;L 2012'!B22</f>
        <v>-1360840.89375</v>
      </c>
      <c r="C21" s="56">
        <f>'Tr P&amp;L 2012'!C22</f>
        <v>-2249840</v>
      </c>
      <c r="D21" s="56">
        <f>'Tr P&amp;L 2012'!D22</f>
        <v>-1698330.0625</v>
      </c>
      <c r="E21" s="56">
        <f>'Tr Sales Costs'!E28+'Tr Sales Costs'!E25</f>
        <v>-2008803.2100000002</v>
      </c>
      <c r="F21" s="56">
        <f>'Tr Sales Costs'!F28+'Tr Sales Costs'!F25</f>
        <v>-2122207.5100999996</v>
      </c>
      <c r="G21" s="56">
        <f>'Tr Sales Costs'!G28+'Tr Sales Costs'!G25</f>
        <v>-2445637.8105055746</v>
      </c>
      <c r="H21" s="56">
        <f>'Tr Sales Costs'!H28+'Tr Sales Costs'!H25</f>
        <v>-2686394.6998510142</v>
      </c>
      <c r="I21" s="56">
        <f>'Tr Sales Costs'!I28+'Tr Sales Costs'!I25</f>
        <v>-2947731.6212274469</v>
      </c>
      <c r="J21" s="56">
        <f>'Tr Sales Costs'!J28+'Tr Sales Costs'!J25</f>
        <v>-3114306.9225055911</v>
      </c>
      <c r="K21" s="56">
        <f>'Tr Sales Costs'!K28+'Tr Sales Costs'!K25</f>
        <v>-3288945.0838097017</v>
      </c>
      <c r="L21" s="56">
        <f>'Tr Sales Costs'!L28+'Tr Sales Costs'!L25</f>
        <v>-3472006.9099725299</v>
      </c>
      <c r="M21" s="56">
        <f>'Tr Sales Costs'!M28+'Tr Sales Costs'!M25</f>
        <v>-3663868.58516159</v>
      </c>
      <c r="N21" s="56">
        <f>'Tr Sales Costs'!N28+'Tr Sales Costs'!N25</f>
        <v>-3864922.3074466684</v>
      </c>
    </row>
    <row r="22" spans="1:14">
      <c r="A22" s="36" t="s">
        <v>645</v>
      </c>
      <c r="B22" s="54">
        <f>SUM(B16:B21)</f>
        <v>3341950.3245218759</v>
      </c>
      <c r="C22" s="54">
        <f t="shared" ref="C22:D22" si="14">SUM(C16:C21)</f>
        <v>3606968.2249999996</v>
      </c>
      <c r="D22" s="54">
        <f t="shared" si="14"/>
        <v>1221681.3234062502</v>
      </c>
      <c r="E22" s="54">
        <f t="shared" ref="E22" si="15">SUM(E16:E21)</f>
        <v>2881350.1226666719</v>
      </c>
      <c r="F22" s="54">
        <f t="shared" ref="F22" si="16">SUM(F16:F21)</f>
        <v>2812285.4854082754</v>
      </c>
      <c r="G22" s="54">
        <f t="shared" ref="G22" si="17">SUM(G16:G21)</f>
        <v>3079981.4781756988</v>
      </c>
      <c r="H22" s="54">
        <f t="shared" ref="H22" si="18">SUM(H16:H21)</f>
        <v>3146653.0291667781</v>
      </c>
      <c r="I22" s="54">
        <f t="shared" ref="I22" si="19">SUM(I16:I21)</f>
        <v>3196011.3286122326</v>
      </c>
      <c r="J22" s="54">
        <f t="shared" ref="J22" si="20">SUM(J16:J21)</f>
        <v>3064623.7584025878</v>
      </c>
      <c r="K22" s="54">
        <f t="shared" ref="K22" si="21">SUM(K16:K21)</f>
        <v>2914952.82646609</v>
      </c>
      <c r="L22" s="54">
        <f t="shared" ref="L22" si="22">SUM(L16:L21)</f>
        <v>2745994.8306631818</v>
      </c>
      <c r="M22" s="54">
        <f t="shared" ref="M22" si="23">SUM(M16:M21)</f>
        <v>2556673.9798602629</v>
      </c>
      <c r="N22" s="54">
        <f t="shared" ref="N22" si="24">SUM(N16:N21)</f>
        <v>2345835.6517253933</v>
      </c>
    </row>
    <row r="23" spans="1:14">
      <c r="A23" s="49" t="s">
        <v>401</v>
      </c>
      <c r="B23" s="56">
        <f>B24+B25+B27+B26</f>
        <v>-78446.927812499998</v>
      </c>
      <c r="C23" s="56">
        <f>C24+C25+C27+C26</f>
        <v>-132367.5</v>
      </c>
      <c r="D23" s="56">
        <f>D24+D25+D27+D26</f>
        <v>-92023.509375000009</v>
      </c>
      <c r="E23" s="56">
        <f t="shared" ref="E23:N23" si="25">E24+E25+E27+E26</f>
        <v>-114561.00900000001</v>
      </c>
      <c r="F23" s="56">
        <f t="shared" si="25"/>
        <v>-120899.28503999997</v>
      </c>
      <c r="G23" s="56">
        <f t="shared" si="25"/>
        <v>-139170.80635547996</v>
      </c>
      <c r="H23" s="56">
        <f t="shared" si="25"/>
        <v>-152713.62740557321</v>
      </c>
      <c r="I23" s="56">
        <f t="shared" si="25"/>
        <v>-167402.68513668672</v>
      </c>
      <c r="J23" s="56">
        <f t="shared" si="25"/>
        <v>-176696.10693134301</v>
      </c>
      <c r="K23" s="56">
        <f t="shared" si="25"/>
        <v>-186434.37617570767</v>
      </c>
      <c r="L23" s="56">
        <f t="shared" si="25"/>
        <v>-196637.39934331202</v>
      </c>
      <c r="M23" s="56">
        <f t="shared" si="25"/>
        <v>-207325.93142270844</v>
      </c>
      <c r="N23" s="56">
        <f t="shared" si="25"/>
        <v>-218521.61092809204</v>
      </c>
    </row>
    <row r="24" spans="1:14" ht="14.4">
      <c r="A24" s="45" t="s">
        <v>421</v>
      </c>
      <c r="B24" s="57">
        <f>'Tr P&amp;L 2012'!B25</f>
        <v>-78446.927812499998</v>
      </c>
      <c r="C24" s="57">
        <f>'Tr P&amp;L 2012'!C25</f>
        <v>-132367.5</v>
      </c>
      <c r="D24" s="57">
        <f>'Tr P&amp;L 2012'!D25</f>
        <v>-92023.509375000009</v>
      </c>
      <c r="E24" s="57">
        <f>'Tr Fin'!E7</f>
        <v>-114561.00900000001</v>
      </c>
      <c r="F24" s="57">
        <f>'Tr Fin'!F7</f>
        <v>-120899.28503999997</v>
      </c>
      <c r="G24" s="57">
        <f>'Tr Fin'!G7</f>
        <v>-139170.80635547996</v>
      </c>
      <c r="H24" s="57">
        <f>'Tr Fin'!H7</f>
        <v>-152713.62740557321</v>
      </c>
      <c r="I24" s="57">
        <f>'Tr Fin'!I7</f>
        <v>-167402.68513668672</v>
      </c>
      <c r="J24" s="57">
        <f>'Tr Fin'!J7</f>
        <v>-176696.10693134301</v>
      </c>
      <c r="K24" s="57">
        <f>'Tr Fin'!K7</f>
        <v>-186434.37617570767</v>
      </c>
      <c r="L24" s="57">
        <f>'Tr Fin'!L7</f>
        <v>-196637.39934331202</v>
      </c>
      <c r="M24" s="57">
        <f>'Tr Fin'!M7</f>
        <v>-207325.93142270844</v>
      </c>
      <c r="N24" s="57">
        <f>'Tr Fin'!N7</f>
        <v>-218521.61092809204</v>
      </c>
    </row>
    <row r="25" spans="1:14" ht="14.4">
      <c r="A25" s="108" t="s">
        <v>422</v>
      </c>
      <c r="B25" s="57">
        <f>'Tr P&amp;L 2012'!B26</f>
        <v>0</v>
      </c>
      <c r="C25" s="57">
        <f>'Tr P&amp;L 2012'!C26</f>
        <v>0</v>
      </c>
      <c r="D25" s="57">
        <f>'Tr P&amp;L 2012'!D26</f>
        <v>0</v>
      </c>
      <c r="E25" s="57">
        <f>'Tr Fin'!E8</f>
        <v>0</v>
      </c>
      <c r="F25" s="57">
        <f>'Tr Fin'!F8</f>
        <v>0</v>
      </c>
      <c r="G25" s="57">
        <f>'Tr Fin'!G8</f>
        <v>0</v>
      </c>
      <c r="H25" s="57">
        <f>'Tr Fin'!H8</f>
        <v>0</v>
      </c>
      <c r="I25" s="57">
        <f>'Tr Fin'!I8</f>
        <v>0</v>
      </c>
      <c r="J25" s="57">
        <f>'Tr Fin'!J8</f>
        <v>0</v>
      </c>
      <c r="K25" s="57">
        <f>'Tr Fin'!K8</f>
        <v>0</v>
      </c>
      <c r="L25" s="57">
        <f>'Tr Fin'!L8</f>
        <v>0</v>
      </c>
      <c r="M25" s="57">
        <f>'Tr Fin'!M8</f>
        <v>0</v>
      </c>
      <c r="N25" s="57">
        <f>'Tr Fin'!N8</f>
        <v>0</v>
      </c>
    </row>
    <row r="26" spans="1:14" ht="14.4">
      <c r="A26" s="45" t="s">
        <v>403</v>
      </c>
      <c r="B26" s="57">
        <f>'Tr P&amp;L 2012'!B27</f>
        <v>0</v>
      </c>
      <c r="C26" s="57">
        <f>'Tr P&amp;L 2012'!C27</f>
        <v>0</v>
      </c>
      <c r="D26" s="57">
        <f>'Tr P&amp;L 2012'!D27</f>
        <v>0</v>
      </c>
      <c r="E26" s="57">
        <f>'Tr Fin'!E9</f>
        <v>0</v>
      </c>
      <c r="F26" s="57">
        <f>'Tr Fin'!F9</f>
        <v>0</v>
      </c>
      <c r="G26" s="57">
        <f>'Tr Fin'!G9</f>
        <v>0</v>
      </c>
      <c r="H26" s="57">
        <f>'Tr Fin'!H9</f>
        <v>0</v>
      </c>
      <c r="I26" s="57">
        <f>'Tr Fin'!I9</f>
        <v>0</v>
      </c>
      <c r="J26" s="57">
        <f>'Tr Fin'!J9</f>
        <v>0</v>
      </c>
      <c r="K26" s="57">
        <f>'Tr Fin'!K9</f>
        <v>0</v>
      </c>
      <c r="L26" s="57">
        <f>'Tr Fin'!L9</f>
        <v>0</v>
      </c>
      <c r="M26" s="57">
        <f>'Tr Fin'!M9</f>
        <v>0</v>
      </c>
      <c r="N26" s="57">
        <f>'Tr Fin'!N9</f>
        <v>0</v>
      </c>
    </row>
    <row r="27" spans="1:14" ht="14.4">
      <c r="A27" s="108" t="s">
        <v>423</v>
      </c>
      <c r="B27" s="57">
        <f>'Tr P&amp;L 2012'!B28</f>
        <v>0</v>
      </c>
      <c r="C27" s="57">
        <f>'Tr P&amp;L 2012'!C28</f>
        <v>0</v>
      </c>
      <c r="D27" s="57">
        <f>'Tr P&amp;L 2012'!D28</f>
        <v>0</v>
      </c>
      <c r="E27" s="57">
        <f>'Tr Fin'!E10</f>
        <v>0</v>
      </c>
      <c r="F27" s="57">
        <f>'Tr Fin'!F10</f>
        <v>0</v>
      </c>
      <c r="G27" s="57">
        <f>'Tr Fin'!G10</f>
        <v>0</v>
      </c>
      <c r="H27" s="57">
        <f>'Tr Fin'!H10</f>
        <v>0</v>
      </c>
      <c r="I27" s="57">
        <f>'Tr Fin'!I10</f>
        <v>0</v>
      </c>
      <c r="J27" s="57">
        <f>'Tr Fin'!J10</f>
        <v>0</v>
      </c>
      <c r="K27" s="57">
        <f>'Tr Fin'!K10</f>
        <v>0</v>
      </c>
      <c r="L27" s="57">
        <f>'Tr Fin'!L10</f>
        <v>0</v>
      </c>
      <c r="M27" s="57">
        <f>'Tr Fin'!M10</f>
        <v>0</v>
      </c>
      <c r="N27" s="57">
        <f>'Tr Fin'!N10</f>
        <v>0</v>
      </c>
    </row>
    <row r="28" spans="1:14">
      <c r="A28" s="71" t="s">
        <v>404</v>
      </c>
      <c r="B28" s="56">
        <f>'Tr P&amp;L 2012'!B29</f>
        <v>0</v>
      </c>
      <c r="C28" s="56">
        <f>'Tr P&amp;L 2012'!C29</f>
        <v>0</v>
      </c>
      <c r="D28" s="56">
        <f>'Tr P&amp;L 2012'!D29</f>
        <v>0</v>
      </c>
      <c r="E28" s="56">
        <f>'Tr Fin'!E11</f>
        <v>0</v>
      </c>
      <c r="F28" s="56">
        <f>'Tr Fin'!F11</f>
        <v>0</v>
      </c>
      <c r="G28" s="56">
        <f>'Tr Fin'!G11</f>
        <v>0</v>
      </c>
      <c r="H28" s="56">
        <f>'Tr Fin'!H11</f>
        <v>0</v>
      </c>
      <c r="I28" s="56">
        <f>'Tr Fin'!I11</f>
        <v>0</v>
      </c>
      <c r="J28" s="56">
        <f>'Tr Fin'!J11</f>
        <v>0</v>
      </c>
      <c r="K28" s="56">
        <f>'Tr Fin'!K11</f>
        <v>0</v>
      </c>
      <c r="L28" s="56">
        <f>'Tr Fin'!L11</f>
        <v>0</v>
      </c>
      <c r="M28" s="56">
        <f>'Tr Fin'!M11</f>
        <v>0</v>
      </c>
      <c r="N28" s="56">
        <f>'Tr Fin'!N11</f>
        <v>0</v>
      </c>
    </row>
    <row r="29" spans="1:14">
      <c r="A29" s="71" t="s">
        <v>302</v>
      </c>
      <c r="B29" s="56">
        <f>'Tr P&amp;L 2012'!B30</f>
        <v>-86072.925000000003</v>
      </c>
      <c r="C29" s="56">
        <f>'Tr P&amp;L 2012'!C30</f>
        <v>-139869</v>
      </c>
      <c r="D29" s="56">
        <f>'Tr P&amp;L 2012'!D30</f>
        <v>-110431.125</v>
      </c>
      <c r="E29" s="56">
        <f>'Tr Fin'!E12</f>
        <v>-127247.05618552878</v>
      </c>
      <c r="F29" s="56">
        <f>'Tr Fin'!F12</f>
        <v>-134287.20862850585</v>
      </c>
      <c r="G29" s="56">
        <f>'Tr Fin'!G12</f>
        <v>-154582.04820543353</v>
      </c>
      <c r="H29" s="56">
        <f>'Tr Fin'!H12</f>
        <v>-169624.54936803918</v>
      </c>
      <c r="I29" s="56">
        <f>'Tr Fin'!I12</f>
        <v>-185940.21706980912</v>
      </c>
      <c r="J29" s="56">
        <f>'Tr Fin'!J12</f>
        <v>-196262.75678539809</v>
      </c>
      <c r="K29" s="56">
        <f>'Tr Fin'!K12</f>
        <v>-207079.40465280192</v>
      </c>
      <c r="L29" s="56">
        <f>'Tr Fin'!L12</f>
        <v>-218412.2715121572</v>
      </c>
      <c r="M29" s="56">
        <f>'Tr Fin'!M12</f>
        <v>-230284.41067992395</v>
      </c>
      <c r="N29" s="56">
        <f>'Tr Fin'!N12</f>
        <v>-242719.85683644935</v>
      </c>
    </row>
    <row r="30" spans="1:14">
      <c r="A30" s="36" t="s">
        <v>637</v>
      </c>
      <c r="B30" s="54">
        <f>B22+B23+B28+B29</f>
        <v>3177430.4717093762</v>
      </c>
      <c r="C30" s="54">
        <f>C22+C23+C28+C29</f>
        <v>3334731.7249999996</v>
      </c>
      <c r="D30" s="54">
        <f>D22+D23+D28+D29</f>
        <v>1019226.6890312503</v>
      </c>
      <c r="E30" s="54">
        <f t="shared" ref="E30:N30" si="26">E22+E23+E28+E29</f>
        <v>2639542.0574811432</v>
      </c>
      <c r="F30" s="54">
        <f t="shared" si="26"/>
        <v>2557098.9917397695</v>
      </c>
      <c r="G30" s="54">
        <f t="shared" si="26"/>
        <v>2786228.6236147853</v>
      </c>
      <c r="H30" s="54">
        <f t="shared" si="26"/>
        <v>2824314.8523931657</v>
      </c>
      <c r="I30" s="54">
        <f t="shared" si="26"/>
        <v>2842668.4264057367</v>
      </c>
      <c r="J30" s="54">
        <f t="shared" si="26"/>
        <v>2691664.8946858468</v>
      </c>
      <c r="K30" s="54">
        <f t="shared" si="26"/>
        <v>2521439.0456375806</v>
      </c>
      <c r="L30" s="54">
        <f t="shared" si="26"/>
        <v>2330945.1598077128</v>
      </c>
      <c r="M30" s="54">
        <f t="shared" si="26"/>
        <v>2119063.6377576306</v>
      </c>
      <c r="N30" s="54">
        <f t="shared" si="26"/>
        <v>1884594.1839608517</v>
      </c>
    </row>
    <row r="31" spans="1:14">
      <c r="A31" s="49" t="s">
        <v>638</v>
      </c>
      <c r="B31" s="56">
        <f>'Tr P&amp;L 2012'!B32</f>
        <v>-321370.72276468761</v>
      </c>
      <c r="C31" s="56">
        <f>'Tr P&amp;L 2012'!C32</f>
        <v>-338487.42249999999</v>
      </c>
      <c r="D31" s="56">
        <f>'Tr P&amp;L 2012'!D32</f>
        <v>-103970.14484062503</v>
      </c>
      <c r="E31" s="56">
        <f>'Tr Fin'!E16</f>
        <v>-263954.20574811433</v>
      </c>
      <c r="F31" s="56">
        <f>'Tr Fin'!F16</f>
        <v>-255709.89917397697</v>
      </c>
      <c r="G31" s="56">
        <f>'Tr Fin'!G16</f>
        <v>-278622.86236147856</v>
      </c>
      <c r="H31" s="56">
        <f>'Tr Fin'!H16</f>
        <v>-282431.48523931659</v>
      </c>
      <c r="I31" s="56">
        <f>'Tr Fin'!I16</f>
        <v>-284266.84264057368</v>
      </c>
      <c r="J31" s="56">
        <f>'Tr Fin'!J16</f>
        <v>-269166.48946858471</v>
      </c>
      <c r="K31" s="56">
        <f>'Tr Fin'!K16</f>
        <v>-252143.90456375806</v>
      </c>
      <c r="L31" s="56">
        <f>'Tr Fin'!L16</f>
        <v>-233094.51598077128</v>
      </c>
      <c r="M31" s="56">
        <f>'Tr Fin'!M16</f>
        <v>-211906.36377576308</v>
      </c>
      <c r="N31" s="56">
        <f>'Tr Fin'!N16</f>
        <v>-188459.41839608518</v>
      </c>
    </row>
    <row r="32" spans="1:14">
      <c r="A32" s="36" t="s">
        <v>426</v>
      </c>
      <c r="B32" s="54">
        <f>B30+B31</f>
        <v>2856059.7489446886</v>
      </c>
      <c r="C32" s="54">
        <f t="shared" ref="C32:N32" si="27">C30+C31</f>
        <v>2996244.3024999998</v>
      </c>
      <c r="D32" s="54">
        <f t="shared" si="27"/>
        <v>915256.54419062531</v>
      </c>
      <c r="E32" s="54">
        <f t="shared" si="27"/>
        <v>2375587.8517330289</v>
      </c>
      <c r="F32" s="54">
        <f t="shared" si="27"/>
        <v>2301389.0925657926</v>
      </c>
      <c r="G32" s="54">
        <f t="shared" si="27"/>
        <v>2507605.7612533066</v>
      </c>
      <c r="H32" s="54">
        <f t="shared" si="27"/>
        <v>2541883.367153849</v>
      </c>
      <c r="I32" s="54">
        <f t="shared" si="27"/>
        <v>2558401.5837651631</v>
      </c>
      <c r="J32" s="54">
        <f t="shared" si="27"/>
        <v>2422498.405217262</v>
      </c>
      <c r="K32" s="54">
        <f t="shared" si="27"/>
        <v>2269295.1410738225</v>
      </c>
      <c r="L32" s="54">
        <f t="shared" si="27"/>
        <v>2097850.6438269415</v>
      </c>
      <c r="M32" s="54">
        <f t="shared" si="27"/>
        <v>1907157.2739818674</v>
      </c>
      <c r="N32" s="54">
        <f t="shared" si="27"/>
        <v>1696134.7655647665</v>
      </c>
    </row>
    <row r="33" spans="1:14">
      <c r="A33" s="36" t="s">
        <v>639</v>
      </c>
      <c r="B33" s="54"/>
      <c r="C33" s="54"/>
      <c r="D33" s="54"/>
      <c r="E33" s="3"/>
      <c r="F33" s="3"/>
      <c r="G33" s="3"/>
      <c r="H33" s="3"/>
    </row>
    <row r="34" spans="1:14" s="45" customFormat="1" ht="14.4">
      <c r="A34" s="45" t="s">
        <v>640</v>
      </c>
      <c r="B34" s="57">
        <f>'Tr P&amp;L 2012'!B35</f>
        <v>2856059.7489446886</v>
      </c>
      <c r="C34" s="57">
        <f>'Tr P&amp;L 2012'!C35</f>
        <v>2996244.3024999998</v>
      </c>
      <c r="D34" s="57">
        <f>'Tr P&amp;L 2012'!D35</f>
        <v>915256.54419062531</v>
      </c>
      <c r="E34" s="57">
        <f>E32*(1-Предположения!$B$208)</f>
        <v>2375587.8517330289</v>
      </c>
      <c r="F34" s="57">
        <f>F32*(1-Предположения!$B$208)</f>
        <v>2301389.0925657926</v>
      </c>
      <c r="G34" s="57">
        <f>G32*(1-Предположения!$B$208)</f>
        <v>2507605.7612533066</v>
      </c>
      <c r="H34" s="57">
        <f>H32*(1-Предположения!$B$208)</f>
        <v>2541883.367153849</v>
      </c>
      <c r="I34" s="57">
        <f>I32*(1-Предположения!$B$208)</f>
        <v>2558401.5837651631</v>
      </c>
      <c r="J34" s="57">
        <f>J32*(1-Предположения!$B$208)</f>
        <v>2422498.405217262</v>
      </c>
      <c r="K34" s="57">
        <f>K32*(1-Предположения!$B$208)</f>
        <v>2269295.1410738225</v>
      </c>
      <c r="L34" s="57">
        <f>L32*(1-Предположения!$B$208)</f>
        <v>2097850.6438269415</v>
      </c>
      <c r="M34" s="57">
        <f>M32*(1-Предположения!$B$208)</f>
        <v>1907157.2739818674</v>
      </c>
      <c r="N34" s="57">
        <f>N32*(1-Предположения!$B$208)</f>
        <v>1696134.7655647665</v>
      </c>
    </row>
    <row r="35" spans="1:14" s="45" customFormat="1" ht="14.4">
      <c r="A35" s="45" t="s">
        <v>641</v>
      </c>
      <c r="B35" s="57">
        <f>'Tr P&amp;L 2012'!B36</f>
        <v>0</v>
      </c>
      <c r="C35" s="57">
        <f>'Tr P&amp;L 2012'!C36</f>
        <v>0</v>
      </c>
      <c r="D35" s="57">
        <f>'Tr P&amp;L 2012'!D36</f>
        <v>0</v>
      </c>
      <c r="E35" s="57">
        <f>E32*Предположения!$B$208</f>
        <v>0</v>
      </c>
      <c r="F35" s="57">
        <f>F32*Предположения!$B$208</f>
        <v>0</v>
      </c>
      <c r="G35" s="57">
        <f>G32*Предположения!$B$208</f>
        <v>0</v>
      </c>
      <c r="H35" s="57">
        <f>H32*Предположения!$B$208</f>
        <v>0</v>
      </c>
      <c r="I35" s="57">
        <f>I32*Предположения!$B$208</f>
        <v>0</v>
      </c>
      <c r="J35" s="57">
        <f>J32*Предположения!$B$208</f>
        <v>0</v>
      </c>
      <c r="K35" s="57">
        <f>K32*Предположения!$B$208</f>
        <v>0</v>
      </c>
      <c r="L35" s="57">
        <f>L32*Предположения!$B$208</f>
        <v>0</v>
      </c>
      <c r="M35" s="57">
        <f>M32*Предположения!$B$208</f>
        <v>0</v>
      </c>
      <c r="N35" s="57">
        <f>N32*Предположения!$B$208</f>
        <v>0</v>
      </c>
    </row>
    <row r="36" spans="1:14">
      <c r="A36" s="36" t="s">
        <v>424</v>
      </c>
      <c r="B36" s="125">
        <f>'Tr P&amp;L 2012'!B37</f>
        <v>-723084.12622054713</v>
      </c>
      <c r="C36" s="125">
        <f>'Tr P&amp;L 2012'!C37</f>
        <v>-761596.70062499994</v>
      </c>
      <c r="D36" s="125">
        <f>'Tr P&amp;L 2012'!D37</f>
        <v>-233932.8258914063</v>
      </c>
      <c r="E36" s="41">
        <f>'Tr Fin'!E18</f>
        <v>-593896.96293325722</v>
      </c>
      <c r="F36" s="41">
        <f>'Tr Fin'!F18</f>
        <v>-575347.27314144815</v>
      </c>
      <c r="G36" s="41">
        <f>'Tr Fin'!G18</f>
        <v>-626901.44031332666</v>
      </c>
      <c r="H36" s="41">
        <f>'Tr Fin'!H18</f>
        <v>-635470.84178846225</v>
      </c>
      <c r="I36" s="41">
        <f>'Tr Fin'!I18</f>
        <v>-639600.39594129077</v>
      </c>
      <c r="J36" s="41">
        <f>'Tr Fin'!J18</f>
        <v>-605624.6013043155</v>
      </c>
      <c r="K36" s="41">
        <f>'Tr Fin'!K18</f>
        <v>-567323.78526845563</v>
      </c>
      <c r="L36" s="41">
        <f>'Tr Fin'!L18</f>
        <v>-524462.66095673537</v>
      </c>
      <c r="M36" s="41">
        <f>'Tr Fin'!M18</f>
        <v>-476789.31849546684</v>
      </c>
      <c r="N36" s="41">
        <f>'Tr Fin'!N18</f>
        <v>-424033.69139119162</v>
      </c>
    </row>
    <row r="37" spans="1:14" ht="21">
      <c r="A37" s="85" t="s">
        <v>642</v>
      </c>
      <c r="B37" s="86">
        <f>B32+B36</f>
        <v>2132975.6227241415</v>
      </c>
      <c r="C37" s="86">
        <f t="shared" ref="C37:D37" si="28">C32+C36</f>
        <v>2234647.6018749997</v>
      </c>
      <c r="D37" s="86">
        <f t="shared" si="28"/>
        <v>681323.71829921904</v>
      </c>
      <c r="E37" s="86">
        <f t="shared" ref="E37:N37" si="29">E32+E36</f>
        <v>1781690.8887997717</v>
      </c>
      <c r="F37" s="86">
        <f t="shared" si="29"/>
        <v>1726041.8194243445</v>
      </c>
      <c r="G37" s="86">
        <f t="shared" si="29"/>
        <v>1880704.32093998</v>
      </c>
      <c r="H37" s="86">
        <f t="shared" si="29"/>
        <v>1906412.5253653866</v>
      </c>
      <c r="I37" s="86">
        <f t="shared" si="29"/>
        <v>1918801.1878238723</v>
      </c>
      <c r="J37" s="86">
        <f t="shared" si="29"/>
        <v>1816873.8039129465</v>
      </c>
      <c r="K37" s="86">
        <f t="shared" si="29"/>
        <v>1701971.3558053668</v>
      </c>
      <c r="L37" s="86">
        <f t="shared" si="29"/>
        <v>1573387.9828702062</v>
      </c>
      <c r="M37" s="86">
        <f t="shared" si="29"/>
        <v>1430367.9554864005</v>
      </c>
      <c r="N37" s="86">
        <f t="shared" si="29"/>
        <v>1272101.0741735748</v>
      </c>
    </row>
    <row r="38" spans="1:14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21">
      <c r="A39" s="85" t="s">
        <v>427</v>
      </c>
      <c r="B39" s="54">
        <f>B22-B14</f>
        <v>3343160.3245218759</v>
      </c>
      <c r="C39" s="54">
        <f t="shared" ref="C39:D39" si="30">C22-C14</f>
        <v>3609424.2249999996</v>
      </c>
      <c r="D39" s="54">
        <f t="shared" si="30"/>
        <v>1225431.3234062502</v>
      </c>
      <c r="E39" s="54">
        <f t="shared" ref="E39:N39" si="31">E22-E14</f>
        <v>2885586.4976666719</v>
      </c>
      <c r="F39" s="54">
        <f t="shared" si="31"/>
        <v>2817080.6382707753</v>
      </c>
      <c r="G39" s="54">
        <f t="shared" si="31"/>
        <v>3085419.66103706</v>
      </c>
      <c r="H39" s="54">
        <f t="shared" si="31"/>
        <v>3152832.4363521431</v>
      </c>
      <c r="I39" s="54">
        <f t="shared" si="31"/>
        <v>3203046.5836927705</v>
      </c>
      <c r="J39" s="54">
        <f t="shared" si="31"/>
        <v>3072648.8738729572</v>
      </c>
      <c r="K39" s="54">
        <f t="shared" si="31"/>
        <v>2924124.7309371755</v>
      </c>
      <c r="L39" s="54">
        <f t="shared" si="31"/>
        <v>2756497.5784730217</v>
      </c>
      <c r="M39" s="54">
        <f t="shared" si="31"/>
        <v>2568723.7824224923</v>
      </c>
      <c r="N39" s="54">
        <f t="shared" si="31"/>
        <v>2359686.8997706757</v>
      </c>
    </row>
    <row r="40" spans="1:14" ht="21">
      <c r="A40" s="85" t="s">
        <v>772</v>
      </c>
      <c r="B40" s="54">
        <f>B39+B14</f>
        <v>3341950.3245218759</v>
      </c>
      <c r="C40" s="54">
        <f t="shared" ref="C40:N40" si="32">C39+C14</f>
        <v>3606968.2249999996</v>
      </c>
      <c r="D40" s="54">
        <f t="shared" si="32"/>
        <v>1221681.3234062502</v>
      </c>
      <c r="E40" s="54">
        <f t="shared" si="32"/>
        <v>2881350.1226666719</v>
      </c>
      <c r="F40" s="54">
        <f t="shared" si="32"/>
        <v>2812285.4854082754</v>
      </c>
      <c r="G40" s="54">
        <f t="shared" si="32"/>
        <v>3079981.4781756988</v>
      </c>
      <c r="H40" s="54">
        <f t="shared" si="32"/>
        <v>3146653.0291667781</v>
      </c>
      <c r="I40" s="54">
        <f t="shared" si="32"/>
        <v>3196011.3286122326</v>
      </c>
      <c r="J40" s="54">
        <f t="shared" si="32"/>
        <v>3064623.7584025878</v>
      </c>
      <c r="K40" s="54">
        <f t="shared" si="32"/>
        <v>2914952.82646609</v>
      </c>
      <c r="L40" s="54">
        <f t="shared" si="32"/>
        <v>2745994.8306631818</v>
      </c>
      <c r="M40" s="54">
        <f t="shared" si="32"/>
        <v>2556673.9798602629</v>
      </c>
      <c r="N40" s="54">
        <f t="shared" si="32"/>
        <v>2345835.6517253933</v>
      </c>
    </row>
    <row r="41" spans="1:14" ht="21">
      <c r="A41" s="85" t="s">
        <v>773</v>
      </c>
      <c r="B41" s="54">
        <f>B40+B31</f>
        <v>3020579.6017571883</v>
      </c>
      <c r="C41" s="54">
        <f t="shared" ref="C41:N41" si="33">C40+C31</f>
        <v>3268480.8024999998</v>
      </c>
      <c r="D41" s="54">
        <f t="shared" si="33"/>
        <v>1117711.1785656251</v>
      </c>
      <c r="E41" s="54">
        <f t="shared" si="33"/>
        <v>2617395.9169185576</v>
      </c>
      <c r="F41" s="54">
        <f t="shared" si="33"/>
        <v>2556575.5862342985</v>
      </c>
      <c r="G41" s="54">
        <f t="shared" si="33"/>
        <v>2801358.6158142202</v>
      </c>
      <c r="H41" s="54">
        <f t="shared" si="33"/>
        <v>2864221.5439274614</v>
      </c>
      <c r="I41" s="54">
        <f t="shared" si="33"/>
        <v>2911744.485971659</v>
      </c>
      <c r="J41" s="54">
        <f t="shared" si="33"/>
        <v>2795457.2689340031</v>
      </c>
      <c r="K41" s="54">
        <f t="shared" si="33"/>
        <v>2662808.921902332</v>
      </c>
      <c r="L41" s="54">
        <f t="shared" si="33"/>
        <v>2512900.3146824106</v>
      </c>
      <c r="M41" s="54">
        <f t="shared" si="33"/>
        <v>2344767.6160844998</v>
      </c>
      <c r="N41" s="54">
        <f t="shared" si="33"/>
        <v>2157376.2333293082</v>
      </c>
    </row>
    <row r="42" spans="1:14">
      <c r="B42" s="41"/>
      <c r="C42" s="41"/>
      <c r="D42" s="41"/>
      <c r="E42" s="3"/>
      <c r="F42" s="3"/>
      <c r="G42" s="3"/>
      <c r="H42" s="3"/>
    </row>
    <row r="43" spans="1:14">
      <c r="B43" s="41"/>
      <c r="C43" s="41"/>
      <c r="D43" s="41"/>
    </row>
    <row r="44" spans="1:14">
      <c r="B44" s="41"/>
      <c r="C44" s="41"/>
      <c r="D44" s="41"/>
    </row>
    <row r="45" spans="1:14">
      <c r="B45" s="41"/>
      <c r="C45" s="41"/>
      <c r="D45" s="41"/>
    </row>
    <row r="46" spans="1:14">
      <c r="B46" s="41"/>
      <c r="C46" s="41"/>
      <c r="D46" s="41"/>
    </row>
    <row r="47" spans="1:14">
      <c r="B47" s="41"/>
      <c r="C47" s="41"/>
      <c r="D47" s="41"/>
    </row>
    <row r="48" spans="1:14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  <row r="54" spans="2:4">
      <c r="B54" s="41"/>
      <c r="C54" s="41"/>
      <c r="D54" s="41"/>
    </row>
    <row r="55" spans="2:4">
      <c r="B55" s="41"/>
      <c r="C55" s="41"/>
      <c r="D55" s="41"/>
    </row>
    <row r="56" spans="2:4">
      <c r="B56" s="41"/>
      <c r="C56" s="41"/>
      <c r="D56" s="41"/>
    </row>
    <row r="57" spans="2:4">
      <c r="B57" s="41"/>
      <c r="C57" s="41"/>
      <c r="D57" s="41"/>
    </row>
    <row r="58" spans="2:4">
      <c r="B58" s="41"/>
      <c r="C58" s="41"/>
      <c r="D58" s="41"/>
    </row>
    <row r="59" spans="2:4">
      <c r="B59" s="41"/>
      <c r="C59" s="41"/>
      <c r="D59" s="41"/>
    </row>
    <row r="60" spans="2:4">
      <c r="B60" s="41"/>
      <c r="C60" s="41"/>
      <c r="D60" s="41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N4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B30" sqref="B30"/>
    </sheetView>
  </sheetViews>
  <sheetFormatPr defaultRowHeight="18"/>
  <cols>
    <col min="1" max="1" width="77.33203125" style="49" customWidth="1"/>
    <col min="2" max="14" width="18.77734375" style="2" customWidth="1"/>
    <col min="15" max="16384" width="8.88671875" style="2"/>
  </cols>
  <sheetData>
    <row r="1" spans="1:14" ht="14.4">
      <c r="A1" s="303" t="s">
        <v>740</v>
      </c>
    </row>
    <row r="2" spans="1:14" ht="21">
      <c r="A2" s="92" t="s">
        <v>431</v>
      </c>
    </row>
    <row r="3" spans="1:14" ht="21">
      <c r="A3" s="92" t="s">
        <v>432</v>
      </c>
      <c r="B3" s="203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'Pr P&amp;L 2012'!B9+'Tr P&amp;L 2012'!B7</f>
        <v>125858403.75</v>
      </c>
      <c r="C6" s="54">
        <f>'Pr P&amp;L 2012'!C9+'Tr P&amp;L 2012'!C7</f>
        <v>207675000</v>
      </c>
      <c r="D6" s="54">
        <f>'Pr P&amp;L 2012'!D9+'Tr P&amp;L 2012'!D7</f>
        <v>160183012.5</v>
      </c>
      <c r="E6" s="54">
        <f>'Pr P&amp;L proj'!E8+'Tr P&amp;L proj'!E6</f>
        <v>183378612</v>
      </c>
      <c r="F6" s="54">
        <f>'Pr P&amp;L proj'!F8+'Tr P&amp;L proj'!F6</f>
        <v>193054870.71999997</v>
      </c>
      <c r="G6" s="54">
        <f>'Pr P&amp;L proj'!G8+'Tr P&amp;L proj'!G6</f>
        <v>225317143.49263996</v>
      </c>
      <c r="H6" s="54">
        <f>'Pr P&amp;L proj'!H8+'Tr P&amp;L proj'!H6</f>
        <v>248410006.88401759</v>
      </c>
      <c r="I6" s="54">
        <f>'Pr P&amp;L proj'!I8+'Tr P&amp;L proj'!I6</f>
        <v>273370437.63335937</v>
      </c>
      <c r="J6" s="54">
        <f>'Pr P&amp;L proj'!J8+'Tr P&amp;L proj'!J6</f>
        <v>287768340.99094546</v>
      </c>
      <c r="K6" s="54">
        <f>'Pr P&amp;L proj'!K8+'Tr P&amp;L proj'!K6</f>
        <v>302839641.25339794</v>
      </c>
      <c r="L6" s="54">
        <f>'Pr P&amp;L proj'!L8+'Tr P&amp;L proj'!L6</f>
        <v>318614091.06430191</v>
      </c>
      <c r="M6" s="54">
        <f>'Pr P&amp;L proj'!M8+'Tr P&amp;L proj'!M6</f>
        <v>335122702.84775919</v>
      </c>
      <c r="N6" s="54">
        <f>'Pr P&amp;L proj'!N8+'Tr P&amp;L proj'!N6</f>
        <v>352397800.62630326</v>
      </c>
    </row>
    <row r="7" spans="1:14" s="49" customFormat="1">
      <c r="A7" s="49" t="s">
        <v>633</v>
      </c>
      <c r="B7" s="56">
        <f>'Pr P&amp;L 2012'!B10+'Tr P&amp;L 2012'!B13+'Tr P&amp;L 2012'!B14+'Tr P&amp;L 2012'!B15+'Tr P&amp;L 2012'!B16</f>
        <v>-93224316.625197798</v>
      </c>
      <c r="C7" s="56">
        <f>'Pr P&amp;L 2012'!C10+'Tr P&amp;L 2012'!C13+'Tr P&amp;L 2012'!C14+'Tr P&amp;L 2012'!C15+'Tr P&amp;L 2012'!C16</f>
        <v>-132920285.58531877</v>
      </c>
      <c r="D7" s="56">
        <f>'Pr P&amp;L 2012'!D10+'Tr P&amp;L 2012'!D13+'Tr P&amp;L 2012'!D14+'Tr P&amp;L 2012'!D15+'Tr P&amp;L 2012'!D16</f>
        <v>-114578076.50415075</v>
      </c>
      <c r="E7" s="56">
        <f>'Pr P&amp;L proj'!E9+'Tr P&amp;L proj'!E12+'Tr P&amp;L proj'!E13+'Tr P&amp;L proj'!E14+'Tr P&amp;L proj'!E15</f>
        <v>-134748693.10834843</v>
      </c>
      <c r="F7" s="56">
        <f>'Pr P&amp;L proj'!F9+'Tr P&amp;L proj'!F12+'Tr P&amp;L proj'!F13+'Tr P&amp;L proj'!F14+'Tr P&amp;L proj'!F15</f>
        <v>-142641900.89554334</v>
      </c>
      <c r="G7" s="56">
        <f>'Pr P&amp;L proj'!G9+'Tr P&amp;L proj'!G12+'Tr P&amp;L proj'!G13+'Tr P&amp;L proj'!G14+'Tr P&amp;L proj'!G15</f>
        <v>-154408674.57909197</v>
      </c>
      <c r="H7" s="56">
        <f>'Pr P&amp;L proj'!H9+'Tr P&amp;L proj'!H12+'Tr P&amp;L proj'!H13+'Tr P&amp;L proj'!H14+'Tr P&amp;L proj'!H15</f>
        <v>-163899461.03979754</v>
      </c>
      <c r="I7" s="56">
        <f>'Pr P&amp;L proj'!I9+'Tr P&amp;L proj'!I12+'Tr P&amp;L proj'!I13+'Tr P&amp;L proj'!I14+'Tr P&amp;L proj'!I15</f>
        <v>-176209684.77063814</v>
      </c>
      <c r="J7" s="56">
        <f>'Pr P&amp;L proj'!J9+'Tr P&amp;L proj'!J12+'Tr P&amp;L proj'!J13+'Tr P&amp;L proj'!J14+'Tr P&amp;L proj'!J15</f>
        <v>-185964429.42635453</v>
      </c>
      <c r="K7" s="56">
        <f>'Pr P&amp;L proj'!K9+'Tr P&amp;L proj'!K12+'Tr P&amp;L proj'!K13+'Tr P&amp;L proj'!K14+'Tr P&amp;L proj'!K15</f>
        <v>-196076976.1661402</v>
      </c>
      <c r="L7" s="56">
        <f>'Pr P&amp;L proj'!L9+'Tr P&amp;L proj'!L12+'Tr P&amp;L proj'!L13+'Tr P&amp;L proj'!L14+'Tr P&amp;L proj'!L15</f>
        <v>-204997595.48509592</v>
      </c>
      <c r="M7" s="56">
        <f>'Pr P&amp;L proj'!M9+'Tr P&amp;L proj'!M12+'Tr P&amp;L proj'!M13+'Tr P&amp;L proj'!M14+'Tr P&amp;L proj'!M15</f>
        <v>-215542063.09821951</v>
      </c>
      <c r="N7" s="56">
        <f>'Pr P&amp;L proj'!N9+'Tr P&amp;L proj'!N12+'Tr P&amp;L proj'!N13+'Tr P&amp;L proj'!N14+'Tr P&amp;L proj'!N15</f>
        <v>-226344910.60717961</v>
      </c>
    </row>
    <row r="8" spans="1:14" s="49" customFormat="1">
      <c r="A8" s="44" t="s">
        <v>304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14" s="49" customFormat="1">
      <c r="A9" s="49" t="s">
        <v>389</v>
      </c>
      <c r="B9" s="56">
        <f>'Pr P&amp;L 2012'!B25+'Tr P&amp;L 2012'!B15</f>
        <v>-5703821.3651036238</v>
      </c>
      <c r="C9" s="56">
        <f>'Pr P&amp;L 2012'!C25+'Tr P&amp;L 2012'!C15</f>
        <v>-10073716.789184164</v>
      </c>
      <c r="D9" s="56">
        <f>'Pr P&amp;L 2012'!D25+'Tr P&amp;L 2012'!D15</f>
        <v>-9537832.4138900898</v>
      </c>
      <c r="E9" s="56">
        <f>'Pr P&amp;L proj'!E24+'Tr P&amp;L proj'!E14</f>
        <v>-9473944.0361063927</v>
      </c>
      <c r="F9" s="56">
        <f>'Pr P&amp;L proj'!F24+'Tr P&amp;L proj'!F14</f>
        <v>-9049369.78585089</v>
      </c>
      <c r="G9" s="56">
        <f>'Pr P&amp;L proj'!G24+'Tr P&amp;L proj'!G14</f>
        <v>-9594974.5898528434</v>
      </c>
      <c r="H9" s="56">
        <f>'Pr P&amp;L proj'!H24+'Tr P&amp;L proj'!H14</f>
        <v>-8762035.432713246</v>
      </c>
      <c r="I9" s="56">
        <f>'Pr P&amp;L proj'!I24+'Tr P&amp;L proj'!I14</f>
        <v>-10416677.103937959</v>
      </c>
      <c r="J9" s="56">
        <f>'Pr P&amp;L proj'!J24+'Tr P&amp;L proj'!J14</f>
        <v>-10477777.775141083</v>
      </c>
      <c r="K9" s="56">
        <f>'Pr P&amp;L proj'!K24+'Tr P&amp;L proj'!K14</f>
        <v>-10542472.420976605</v>
      </c>
      <c r="L9" s="56">
        <f>'Pr P&amp;L proj'!L24+'Tr P&amp;L proj'!L14</f>
        <v>-9009823.417979056</v>
      </c>
      <c r="M9" s="56">
        <f>'Pr P&amp;L proj'!M24+'Tr P&amp;L proj'!M14</f>
        <v>-8678909.4843757302</v>
      </c>
      <c r="N9" s="56">
        <f>'Pr P&amp;L proj'!N24+'Tr P&amp;L proj'!N14</f>
        <v>-8148839.0556632923</v>
      </c>
    </row>
    <row r="10" spans="1:14">
      <c r="A10" s="36" t="s">
        <v>634</v>
      </c>
      <c r="B10" s="54">
        <f>B6+B7</f>
        <v>32634087.124802202</v>
      </c>
      <c r="C10" s="54">
        <f>C6+C7</f>
        <v>74754714.414681226</v>
      </c>
      <c r="D10" s="54">
        <f>D6+D7</f>
        <v>45604935.995849252</v>
      </c>
      <c r="E10" s="54">
        <f>E6+E7</f>
        <v>48629918.891651571</v>
      </c>
      <c r="F10" s="54">
        <f t="shared" ref="F10:N10" si="0">F6+F7</f>
        <v>50412969.824456632</v>
      </c>
      <c r="G10" s="54">
        <f t="shared" si="0"/>
        <v>70908468.913547993</v>
      </c>
      <c r="H10" s="54">
        <f t="shared" si="0"/>
        <v>84510545.844220042</v>
      </c>
      <c r="I10" s="54">
        <f t="shared" si="0"/>
        <v>97160752.862721235</v>
      </c>
      <c r="J10" s="54">
        <f t="shared" si="0"/>
        <v>101803911.56459093</v>
      </c>
      <c r="K10" s="54">
        <f t="shared" si="0"/>
        <v>106762665.08725774</v>
      </c>
      <c r="L10" s="54">
        <f t="shared" si="0"/>
        <v>113616495.57920599</v>
      </c>
      <c r="M10" s="54">
        <f t="shared" si="0"/>
        <v>119580639.74953967</v>
      </c>
      <c r="N10" s="54">
        <f t="shared" si="0"/>
        <v>126052890.01912364</v>
      </c>
    </row>
    <row r="11" spans="1:14">
      <c r="A11" s="49" t="s">
        <v>392</v>
      </c>
      <c r="B11" s="56">
        <f>'Pr P&amp;L 2012'!B28+'Tr P&amp;L 2012'!B21+'Tr P&amp;L 2012'!B18</f>
        <v>-1139044.7442281251</v>
      </c>
      <c r="C11" s="56">
        <f>'Pr P&amp;L 2012'!C28+'Tr P&amp;L 2012'!C21+'Tr P&amp;L 2012'!C18</f>
        <v>-2069190.7749999999</v>
      </c>
      <c r="D11" s="56">
        <f>'Pr P&amp;L 2012'!D28+'Tr P&amp;L 2012'!D21+'Tr P&amp;L 2012'!D18</f>
        <v>-2175590.4890937498</v>
      </c>
      <c r="E11" s="56">
        <f>'Pr P&amp;L proj'!E27+'Tr P&amp;L proj'!E17+'Tr P&amp;L proj'!E20</f>
        <v>-2283429.8111503879</v>
      </c>
      <c r="F11" s="56">
        <f>'Pr P&amp;L proj'!F27+'Tr P&amp;L proj'!F17+'Tr P&amp;L proj'!F20</f>
        <v>-2339806.9806679059</v>
      </c>
      <c r="G11" s="56">
        <f>'Pr P&amp;L proj'!G27+'Tr P&amp;L proj'!G17+'Tr P&amp;L proj'!G20</f>
        <v>-2405007.2847616351</v>
      </c>
      <c r="H11" s="56">
        <f>'Pr P&amp;L proj'!H27+'Tr P&amp;L proj'!H17+'Tr P&amp;L proj'!H20</f>
        <v>-2462421.1646061088</v>
      </c>
      <c r="I11" s="56">
        <f>'Pr P&amp;L proj'!I27+'Tr P&amp;L proj'!I17+'Tr P&amp;L proj'!I20</f>
        <v>-2517696.9073171942</v>
      </c>
      <c r="J11" s="56">
        <f>'Pr P&amp;L proj'!J27+'Tr P&amp;L proj'!J17+'Tr P&amp;L proj'!J20</f>
        <v>-2565932.2023914019</v>
      </c>
      <c r="K11" s="56">
        <f>'Pr P&amp;L proj'!K27+'Tr P&amp;L proj'!K17+'Tr P&amp;L proj'!K20</f>
        <v>-2612332.9719489142</v>
      </c>
      <c r="L11" s="56">
        <f>'Pr P&amp;L proj'!L27+'Tr P&amp;L proj'!L17+'Tr P&amp;L proj'!L20</f>
        <v>-2657206.6767870388</v>
      </c>
      <c r="M11" s="56">
        <f>'Pr P&amp;L proj'!M27+'Tr P&amp;L proj'!M17+'Tr P&amp;L proj'!M20</f>
        <v>-2700982.5529757212</v>
      </c>
      <c r="N11" s="56">
        <f>'Pr P&amp;L proj'!N27+'Tr P&amp;L proj'!N17+'Tr P&amp;L proj'!N20</f>
        <v>-2744215.5685597863</v>
      </c>
    </row>
    <row r="12" spans="1:14">
      <c r="A12" s="49" t="s">
        <v>448</v>
      </c>
      <c r="B12" s="56">
        <f>'Pr P&amp;L 2012'!B29+'Tr P&amp;L 2012'!B19+'Tr P&amp;L 2012'!B20</f>
        <v>-25659570.287500001</v>
      </c>
      <c r="C12" s="56">
        <f>'Pr P&amp;L 2012'!C29+'Tr P&amp;L 2012'!C19+'Tr P&amp;L 2012'!C20</f>
        <v>-51705700</v>
      </c>
      <c r="D12" s="56">
        <f>'Pr P&amp;L 2012'!D29+'Tr P&amp;L 2012'!D19+'Tr P&amp;L 2012'!D20</f>
        <v>-24673642.625</v>
      </c>
      <c r="E12" s="56">
        <f>'Pr P&amp;L proj'!E28+'Tr P&amp;L proj'!E18+'Tr P&amp;L proj'!E19</f>
        <v>-39439208.187961161</v>
      </c>
      <c r="F12" s="56">
        <f>'Pr P&amp;L proj'!F28+'Tr P&amp;L proj'!F18+'Tr P&amp;L proj'!F19</f>
        <v>-40877457.227840021</v>
      </c>
      <c r="G12" s="56">
        <f>'Pr P&amp;L proj'!G28+'Tr P&amp;L proj'!G18+'Tr P&amp;L proj'!G19</f>
        <v>-48521187.385969877</v>
      </c>
      <c r="H12" s="56">
        <f>'Pr P&amp;L proj'!H28+'Tr P&amp;L proj'!H18+'Tr P&amp;L proj'!H19</f>
        <v>-53328335.625176176</v>
      </c>
      <c r="I12" s="56">
        <f>'Pr P&amp;L proj'!I28+'Tr P&amp;L proj'!I18+'Tr P&amp;L proj'!I19</f>
        <v>-58421383.660131603</v>
      </c>
      <c r="J12" s="56">
        <f>'Pr P&amp;L proj'!J28+'Tr P&amp;L proj'!J18+'Tr P&amp;L proj'!J19</f>
        <v>-60390977.177796327</v>
      </c>
      <c r="K12" s="56">
        <f>'Pr P&amp;L proj'!K28+'Tr P&amp;L proj'!K18+'Tr P&amp;L proj'!K19</f>
        <v>-62323543.12603958</v>
      </c>
      <c r="L12" s="56">
        <f>'Pr P&amp;L proj'!L28+'Tr P&amp;L proj'!L18+'Tr P&amp;L proj'!L19</f>
        <v>-64222465.952540308</v>
      </c>
      <c r="M12" s="56">
        <f>'Pr P&amp;L proj'!M28+'Tr P&amp;L proj'!M18+'Tr P&amp;L proj'!M19</f>
        <v>-66093146.778030172</v>
      </c>
      <c r="N12" s="56">
        <f>'Pr P&amp;L proj'!N28+'Tr P&amp;L proj'!N18+'Tr P&amp;L proj'!N19</f>
        <v>-67942995.451642573</v>
      </c>
    </row>
    <row r="13" spans="1:14">
      <c r="A13" s="49" t="s">
        <v>393</v>
      </c>
      <c r="B13" s="56">
        <f>'Pr P&amp;L 2012'!B30</f>
        <v>0</v>
      </c>
      <c r="C13" s="56">
        <f>'Pr P&amp;L 2012'!C30</f>
        <v>280717.27517098235</v>
      </c>
      <c r="D13" s="56">
        <f>'Pr P&amp;L 2012'!D30</f>
        <v>221407.08631494874</v>
      </c>
      <c r="E13" s="56">
        <f>'Pr P&amp;L proj'!E29</f>
        <v>146171.6686351118</v>
      </c>
      <c r="F13" s="56">
        <f>'Pr P&amp;L proj'!F29</f>
        <v>100174.75863057347</v>
      </c>
      <c r="G13" s="56">
        <f>'Pr P&amp;L proj'!G29</f>
        <v>56733.277541586918</v>
      </c>
      <c r="H13" s="56">
        <f>'Pr P&amp;L proj'!H29</f>
        <v>39343.465701516587</v>
      </c>
      <c r="I13" s="56">
        <f>'Pr P&amp;L proj'!I29</f>
        <v>0</v>
      </c>
      <c r="J13" s="56">
        <f>'Pr P&amp;L proj'!J29</f>
        <v>0</v>
      </c>
      <c r="K13" s="56">
        <f>'Pr P&amp;L proj'!K29</f>
        <v>0</v>
      </c>
      <c r="L13" s="56">
        <f>'Pr P&amp;L proj'!L29</f>
        <v>0</v>
      </c>
      <c r="M13" s="56">
        <f>'Pr P&amp;L proj'!M29</f>
        <v>0</v>
      </c>
      <c r="N13" s="56">
        <f>'Pr P&amp;L proj'!N29</f>
        <v>0</v>
      </c>
    </row>
    <row r="14" spans="1:14">
      <c r="A14" s="71" t="s">
        <v>635</v>
      </c>
      <c r="B14" s="56">
        <f>'Pr P&amp;L 2012'!B31+'Tr P&amp;L 2012'!B22</f>
        <v>-1606513.89375</v>
      </c>
      <c r="C14" s="56">
        <f>'Pr P&amp;L 2012'!C31+'Tr P&amp;L 2012'!C22</f>
        <v>-2389625</v>
      </c>
      <c r="D14" s="56">
        <f>'Pr P&amp;L 2012'!D31+'Tr P&amp;L 2012'!D22</f>
        <v>-2055302.0625</v>
      </c>
      <c r="E14" s="56">
        <f>'Pr P&amp;L proj'!E30+'Tr P&amp;L proj'!E21</f>
        <v>-2262681.8957061293</v>
      </c>
      <c r="F14" s="56">
        <f>'Pr P&amp;L proj'!F30+'Tr P&amp;L proj'!F21</f>
        <v>-2383127.7513279757</v>
      </c>
      <c r="G14" s="56">
        <f>'Pr P&amp;L proj'!G30+'Tr P&amp;L proj'!G21</f>
        <v>-2771946.0535266572</v>
      </c>
      <c r="H14" s="56">
        <f>'Pr P&amp;L proj'!H30+'Tr P&amp;L proj'!H21</f>
        <v>-3053018.8076977739</v>
      </c>
      <c r="I14" s="56">
        <f>'Pr P&amp;L proj'!I30+'Tr P&amp;L proj'!I21</f>
        <v>-3358478.5322598144</v>
      </c>
      <c r="J14" s="56">
        <f>'Pr P&amp;L proj'!J30+'Tr P&amp;L proj'!J21</f>
        <v>-3540184.8851624732</v>
      </c>
      <c r="K14" s="56">
        <f>'Pr P&amp;L proj'!K30+'Tr P&amp;L proj'!K21</f>
        <v>-3730513.8812874919</v>
      </c>
      <c r="L14" s="56">
        <f>'Pr P&amp;L proj'!L30+'Tr P&amp;L proj'!L21</f>
        <v>-3929847.1257350761</v>
      </c>
      <c r="M14" s="56">
        <f>'Pr P&amp;L proj'!M30+'Tr P&amp;L proj'!M21</f>
        <v>-4138582.3792637805</v>
      </c>
      <c r="N14" s="56">
        <f>'Pr P&amp;L proj'!N30+'Tr P&amp;L proj'!N21</f>
        <v>-4357134.221961909</v>
      </c>
    </row>
    <row r="15" spans="1:14">
      <c r="A15" s="36" t="s">
        <v>636</v>
      </c>
      <c r="B15" s="54">
        <f t="shared" ref="B15:C15" si="1">SUM(B10:B14)</f>
        <v>4228958.1993240761</v>
      </c>
      <c r="C15" s="54">
        <f t="shared" si="1"/>
        <v>18870915.914852202</v>
      </c>
      <c r="D15" s="54">
        <f>SUM(D10:D14)</f>
        <v>16921807.905570451</v>
      </c>
      <c r="E15" s="54">
        <f t="shared" ref="E15:N15" si="2">SUM(E10:E14)</f>
        <v>4790770.6654690057</v>
      </c>
      <c r="F15" s="54">
        <f t="shared" si="2"/>
        <v>4912752.623251305</v>
      </c>
      <c r="G15" s="54">
        <f t="shared" si="2"/>
        <v>17267061.466831405</v>
      </c>
      <c r="H15" s="54">
        <f t="shared" si="2"/>
        <v>25706113.7124415</v>
      </c>
      <c r="I15" s="54">
        <f t="shared" si="2"/>
        <v>32863193.763012625</v>
      </c>
      <c r="J15" s="54">
        <f t="shared" si="2"/>
        <v>35306817.299240731</v>
      </c>
      <c r="K15" s="54">
        <f t="shared" si="2"/>
        <v>38096275.107981749</v>
      </c>
      <c r="L15" s="54">
        <f t="shared" si="2"/>
        <v>42806975.824143574</v>
      </c>
      <c r="M15" s="54">
        <f t="shared" si="2"/>
        <v>46647928.039270006</v>
      </c>
      <c r="N15" s="54">
        <f t="shared" si="2"/>
        <v>51008544.776959382</v>
      </c>
    </row>
    <row r="16" spans="1:14">
      <c r="A16" s="49" t="s">
        <v>401</v>
      </c>
      <c r="B16" s="56">
        <f>'Pr P&amp;L 2012'!B33+'Tr P&amp;L 2012'!B24</f>
        <v>-1449992.0996874999</v>
      </c>
      <c r="C16" s="56">
        <f>'Pr P&amp;L 2012'!C33+'Tr P&amp;L 2012'!C24</f>
        <v>-2557487.5457654223</v>
      </c>
      <c r="D16" s="56">
        <f>'Pr P&amp;L 2012'!D33+'Tr P&amp;L 2012'!D24</f>
        <v>-2098630.5981294522</v>
      </c>
      <c r="E16" s="56">
        <f>'Pr P&amp;L proj'!E32+'Tr P&amp;L proj'!E23</f>
        <v>-1598734.9479956578</v>
      </c>
      <c r="F16" s="56">
        <f>'Pr P&amp;L proj'!F32+'Tr P&amp;L proj'!F23</f>
        <v>-1222835.575635361</v>
      </c>
      <c r="G16" s="56">
        <f>'Pr P&amp;L proj'!G32+'Tr P&amp;L proj'!G23</f>
        <v>-1589655.416027128</v>
      </c>
      <c r="H16" s="56">
        <f>'Pr P&amp;L proj'!H32+'Tr P&amp;L proj'!H23</f>
        <v>-1751155.4056565214</v>
      </c>
      <c r="I16" s="56">
        <f>'Pr P&amp;L proj'!I32+'Tr P&amp;L proj'!I23</f>
        <v>-1827042.9999063781</v>
      </c>
      <c r="J16" s="56">
        <f>'Pr P&amp;L proj'!J32+'Tr P&amp;L proj'!J23</f>
        <v>-1648112.5827179735</v>
      </c>
      <c r="K16" s="56">
        <f>'Pr P&amp;L proj'!K32+'Tr P&amp;L proj'!K23</f>
        <v>-1469759.1786148704</v>
      </c>
      <c r="L16" s="56">
        <f>'Pr P&amp;L proj'!L32+'Tr P&amp;L proj'!L23</f>
        <v>-1388007.3198678454</v>
      </c>
      <c r="M16" s="56">
        <f>'Pr P&amp;L proj'!M32+'Tr P&amp;L proj'!M23</f>
        <v>-1354882.5491656004</v>
      </c>
      <c r="N16" s="56">
        <f>'Pr P&amp;L proj'!N32+'Tr P&amp;L proj'!N23</f>
        <v>-1370411.4602919854</v>
      </c>
    </row>
    <row r="17" spans="1:14">
      <c r="A17" s="71" t="s">
        <v>404</v>
      </c>
      <c r="B17" s="56">
        <f>'Pr P&amp;L 2012'!B38+'Tr P&amp;L 2012'!B29</f>
        <v>1779374.9999999958</v>
      </c>
      <c r="C17" s="56">
        <f>'Pr P&amp;L 2012'!C38+'Tr P&amp;L 2012'!C29</f>
        <v>0</v>
      </c>
      <c r="D17" s="56">
        <f>'Pr P&amp;L 2012'!D38+'Tr P&amp;L 2012'!D29</f>
        <v>0</v>
      </c>
      <c r="E17" s="56">
        <f>'Pr P&amp;L proj'!E37+'Tr P&amp;L proj'!E28</f>
        <v>0</v>
      </c>
      <c r="F17" s="56">
        <f>'Pr P&amp;L proj'!F37+'Tr P&amp;L proj'!F28</f>
        <v>0</v>
      </c>
      <c r="G17" s="56">
        <f>'Pr P&amp;L proj'!G37+'Tr P&amp;L proj'!G28</f>
        <v>0</v>
      </c>
      <c r="H17" s="56">
        <f>'Pr P&amp;L proj'!H37+'Tr P&amp;L proj'!H28</f>
        <v>0</v>
      </c>
      <c r="I17" s="56">
        <f>'Pr P&amp;L proj'!I37+'Tr P&amp;L proj'!I28</f>
        <v>0</v>
      </c>
      <c r="J17" s="56">
        <f>'Pr P&amp;L proj'!J37+'Tr P&amp;L proj'!J28</f>
        <v>0</v>
      </c>
      <c r="K17" s="56">
        <f>'Pr P&amp;L proj'!K37+'Tr P&amp;L proj'!K28</f>
        <v>0</v>
      </c>
      <c r="L17" s="56">
        <f>'Pr P&amp;L proj'!L37+'Tr P&amp;L proj'!L28</f>
        <v>0</v>
      </c>
      <c r="M17" s="56">
        <f>'Pr P&amp;L proj'!M37+'Tr P&amp;L proj'!M28</f>
        <v>0</v>
      </c>
      <c r="N17" s="56">
        <f>'Pr P&amp;L proj'!N37+'Tr P&amp;L proj'!N28</f>
        <v>0</v>
      </c>
    </row>
    <row r="18" spans="1:14">
      <c r="A18" s="71" t="s">
        <v>302</v>
      </c>
      <c r="B18" s="56">
        <f>'Pr P&amp;L 2012'!B39+'Tr P&amp;L 2012'!B30</f>
        <v>-423434.3</v>
      </c>
      <c r="C18" s="56">
        <f>'Pr P&amp;L 2012'!C39+'Tr P&amp;L 2012'!C30</f>
        <v>-797669</v>
      </c>
      <c r="D18" s="56">
        <f>'Pr P&amp;L 2012'!D39+'Tr P&amp;L 2012'!D30</f>
        <v>-682821.125</v>
      </c>
      <c r="E18" s="56">
        <f>'Pr P&amp;L proj'!E38+'Tr P&amp;L proj'!E29</f>
        <v>-664505.20618552878</v>
      </c>
      <c r="F18" s="56">
        <f>'Pr P&amp;L proj'!F38+'Tr P&amp;L proj'!F29</f>
        <v>-682690.13512850576</v>
      </c>
      <c r="G18" s="56">
        <f>'Pr P&amp;L proj'!G38+'Tr P&amp;L proj'!G29</f>
        <v>-841247.61588280846</v>
      </c>
      <c r="H18" s="56">
        <f>'Pr P&amp;L proj'!H38+'Tr P&amp;L proj'!H29</f>
        <v>-939890.1833535654</v>
      </c>
      <c r="I18" s="56">
        <f>'Pr P&amp;L proj'!I38+'Tr P&amp;L proj'!I29</f>
        <v>-1049062.7352273397</v>
      </c>
      <c r="J18" s="56">
        <f>'Pr P&amp;L proj'!J38+'Tr P&amp;L proj'!J29</f>
        <v>-1089594.5630784421</v>
      </c>
      <c r="K18" s="56">
        <f>'Pr P&amp;L proj'!K38+'Tr P&amp;L proj'!K29</f>
        <v>-1131677.8241661026</v>
      </c>
      <c r="L18" s="56">
        <f>'Pr P&amp;L proj'!L38+'Tr P&amp;L proj'!L29</f>
        <v>-1175371.6357084231</v>
      </c>
      <c r="M18" s="56">
        <f>'Pr P&amp;L proj'!M38+'Tr P&amp;L proj'!M29</f>
        <v>-1220737.3526230589</v>
      </c>
      <c r="N18" s="56">
        <f>'Pr P&amp;L proj'!N38+'Tr P&amp;L proj'!N29</f>
        <v>-1267838.6517475941</v>
      </c>
    </row>
    <row r="19" spans="1:14">
      <c r="A19" s="36" t="s">
        <v>637</v>
      </c>
      <c r="B19" s="54">
        <f>B15+B16+B17+B18</f>
        <v>4134906.7996365717</v>
      </c>
      <c r="C19" s="54">
        <f>C15+C16+C17+C18</f>
        <v>15515759.36908678</v>
      </c>
      <c r="D19" s="54">
        <f>D15+D16+D17+D18</f>
        <v>14140356.182441</v>
      </c>
      <c r="E19" s="54">
        <f t="shared" ref="E19:N19" si="3">E15+E16+E17+E18</f>
        <v>2527530.5112878187</v>
      </c>
      <c r="F19" s="54">
        <f t="shared" si="3"/>
        <v>3007226.9124874379</v>
      </c>
      <c r="G19" s="54">
        <f t="shared" si="3"/>
        <v>14836158.434921468</v>
      </c>
      <c r="H19" s="54">
        <f t="shared" si="3"/>
        <v>23015068.123431414</v>
      </c>
      <c r="I19" s="54">
        <f t="shared" si="3"/>
        <v>29987088.027878907</v>
      </c>
      <c r="J19" s="54">
        <f t="shared" si="3"/>
        <v>32569110.15344432</v>
      </c>
      <c r="K19" s="54">
        <f t="shared" si="3"/>
        <v>35494838.105200775</v>
      </c>
      <c r="L19" s="54">
        <f t="shared" si="3"/>
        <v>40243596.86856731</v>
      </c>
      <c r="M19" s="54">
        <f t="shared" si="3"/>
        <v>44072308.137481347</v>
      </c>
      <c r="N19" s="54">
        <f t="shared" si="3"/>
        <v>48370294.664919801</v>
      </c>
    </row>
    <row r="20" spans="1:14">
      <c r="A20" s="49" t="s">
        <v>638</v>
      </c>
      <c r="B20" s="56">
        <f>'Pr P&amp;L 2012'!B41+'Tr P&amp;L 2012'!B32</f>
        <v>-321370.72276468761</v>
      </c>
      <c r="C20" s="56">
        <f>'Pr P&amp;L 2012'!C41+'Tr P&amp;L 2012'!C32</f>
        <v>-338487.42249999999</v>
      </c>
      <c r="D20" s="56">
        <f>'Pr P&amp;L 2012'!D41+'Tr P&amp;L 2012'!D32</f>
        <v>-103970.14484062503</v>
      </c>
      <c r="E20" s="56">
        <f>'Pr P&amp;L proj'!E40+'Tr P&amp;L proj'!E31</f>
        <v>-263954.20574811433</v>
      </c>
      <c r="F20" s="56">
        <f>'Pr P&amp;L proj'!F40+'Tr P&amp;L proj'!F31</f>
        <v>-255709.89917397697</v>
      </c>
      <c r="G20" s="56">
        <f>'Pr P&amp;L proj'!G40+'Tr P&amp;L proj'!G31</f>
        <v>-278622.86236147856</v>
      </c>
      <c r="H20" s="56">
        <f>'Pr P&amp;L proj'!H40+'Tr P&amp;L proj'!H31</f>
        <v>-282431.48523931659</v>
      </c>
      <c r="I20" s="56">
        <f>'Pr P&amp;L proj'!I40+'Tr P&amp;L proj'!I31</f>
        <v>-284266.84264057368</v>
      </c>
      <c r="J20" s="56">
        <f>'Pr P&amp;L proj'!J40+'Tr P&amp;L proj'!J31</f>
        <v>-269166.48946858471</v>
      </c>
      <c r="K20" s="56">
        <f>'Pr P&amp;L proj'!K40+'Tr P&amp;L proj'!K31</f>
        <v>-252143.90456375806</v>
      </c>
      <c r="L20" s="56">
        <f>'Pr P&amp;L proj'!L40+'Tr P&amp;L proj'!L31</f>
        <v>-233094.51598077128</v>
      </c>
      <c r="M20" s="56">
        <f>'Pr P&amp;L proj'!M40+'Tr P&amp;L proj'!M31</f>
        <v>-211906.36377576308</v>
      </c>
      <c r="N20" s="56">
        <f>'Pr P&amp;L proj'!N40+'Tr P&amp;L proj'!N31</f>
        <v>-188459.41839608518</v>
      </c>
    </row>
    <row r="21" spans="1:14">
      <c r="A21" s="36" t="s">
        <v>426</v>
      </c>
      <c r="B21" s="54">
        <f>B19+B20</f>
        <v>3813536.0768718841</v>
      </c>
      <c r="C21" s="54">
        <f t="shared" ref="C21:N21" si="4">C19+C20</f>
        <v>15177271.94658678</v>
      </c>
      <c r="D21" s="54">
        <f t="shared" si="4"/>
        <v>14036386.037600376</v>
      </c>
      <c r="E21" s="54">
        <f t="shared" si="4"/>
        <v>2263576.3055397044</v>
      </c>
      <c r="F21" s="54">
        <f t="shared" si="4"/>
        <v>2751517.0133134611</v>
      </c>
      <c r="G21" s="54">
        <f t="shared" si="4"/>
        <v>14557535.57255999</v>
      </c>
      <c r="H21" s="54">
        <f t="shared" si="4"/>
        <v>22732636.638192099</v>
      </c>
      <c r="I21" s="54">
        <f t="shared" si="4"/>
        <v>29702821.185238332</v>
      </c>
      <c r="J21" s="54">
        <f t="shared" si="4"/>
        <v>32299943.663975734</v>
      </c>
      <c r="K21" s="54">
        <f t="shared" si="4"/>
        <v>35242694.20063702</v>
      </c>
      <c r="L21" s="54">
        <f t="shared" si="4"/>
        <v>40010502.352586538</v>
      </c>
      <c r="M21" s="54">
        <f t="shared" si="4"/>
        <v>43860401.773705587</v>
      </c>
      <c r="N21" s="54">
        <f t="shared" si="4"/>
        <v>48181835.246523716</v>
      </c>
    </row>
    <row r="22" spans="1:14">
      <c r="A22" s="36" t="s">
        <v>639</v>
      </c>
      <c r="B22" s="54"/>
      <c r="C22" s="54"/>
      <c r="D22" s="54"/>
      <c r="E22" s="3"/>
      <c r="F22" s="3"/>
      <c r="G22" s="3"/>
      <c r="H22" s="3"/>
    </row>
    <row r="23" spans="1:14" s="45" customFormat="1" ht="14.4">
      <c r="A23" s="45" t="s">
        <v>640</v>
      </c>
      <c r="B23" s="57">
        <f>'Pr P&amp;L 2012'!B44+'Tr P&amp;L 2012'!B35</f>
        <v>3765662.2604755335</v>
      </c>
      <c r="C23" s="57">
        <f>'Pr P&amp;L 2012'!C44+'Tr P&amp;L 2012'!C35</f>
        <v>14568220.564382447</v>
      </c>
      <c r="D23" s="57">
        <f>'Pr P&amp;L 2012'!D44+'Tr P&amp;L 2012'!D35</f>
        <v>13380329.562929884</v>
      </c>
      <c r="E23" s="57">
        <f>'Pr P&amp;L proj'!E43+'Tr P&amp;L proj'!E34</f>
        <v>2269176.8828493878</v>
      </c>
      <c r="F23" s="57">
        <f>'Pr P&amp;L proj'!F43+'Tr P&amp;L proj'!F34</f>
        <v>2729010.61727608</v>
      </c>
      <c r="G23" s="57">
        <f>'Pr P&amp;L proj'!G43+'Tr P&amp;L proj'!G34</f>
        <v>13955039.081994655</v>
      </c>
      <c r="H23" s="57">
        <f>'Pr P&amp;L proj'!H43+'Tr P&amp;L proj'!H34</f>
        <v>21723098.974640187</v>
      </c>
      <c r="I23" s="57">
        <f>'Pr P&amp;L proj'!I43+'Tr P&amp;L proj'!I34</f>
        <v>28345600.205164656</v>
      </c>
      <c r="J23" s="57">
        <f>'Pr P&amp;L proj'!J43+'Tr P&amp;L proj'!J34</f>
        <v>30806071.401037849</v>
      </c>
      <c r="K23" s="57">
        <f>'Pr P&amp;L proj'!K43+'Tr P&amp;L proj'!K34</f>
        <v>33594024.247658834</v>
      </c>
      <c r="L23" s="57">
        <f>'Pr P&amp;L proj'!L43+'Tr P&amp;L proj'!L34</f>
        <v>38114869.767148517</v>
      </c>
      <c r="M23" s="57">
        <f>'Pr P&amp;L proj'!M43+'Tr P&amp;L proj'!M34</f>
        <v>41762739.548719428</v>
      </c>
      <c r="N23" s="57">
        <f>'Pr P&amp;L proj'!N43+'Tr P&amp;L proj'!N34</f>
        <v>45857550.222475775</v>
      </c>
    </row>
    <row r="24" spans="1:14" s="45" customFormat="1" ht="14.4">
      <c r="A24" s="45" t="s">
        <v>641</v>
      </c>
      <c r="B24" s="57">
        <f>'Pr P&amp;L 2012'!B45+'Tr P&amp;L 2012'!B36</f>
        <v>47873.816396360264</v>
      </c>
      <c r="C24" s="57">
        <f>'Pr P&amp;L 2012'!C45+'Tr P&amp;L 2012'!C36</f>
        <v>609051.38220433926</v>
      </c>
      <c r="D24" s="57">
        <f>'Pr P&amp;L 2012'!D45+'Tr P&amp;L 2012'!D36</f>
        <v>656056.47467048746</v>
      </c>
      <c r="E24" s="57">
        <f>'Pr P&amp;L proj'!E44+'Tr P&amp;L proj'!E35</f>
        <v>-5600.5773096653229</v>
      </c>
      <c r="F24" s="57">
        <f>'Pr P&amp;L proj'!F44+'Tr P&amp;L proj'!F35</f>
        <v>22506.396037383547</v>
      </c>
      <c r="G24" s="57">
        <f>'Pr P&amp;L proj'!G44+'Tr P&amp;L proj'!G35</f>
        <v>602496.49056533421</v>
      </c>
      <c r="H24" s="57">
        <f>'Pr P&amp;L proj'!H44+'Tr P&amp;L proj'!H35</f>
        <v>1009537.6635519125</v>
      </c>
      <c r="I24" s="57">
        <f>'Pr P&amp;L proj'!I44+'Tr P&amp;L proj'!I35</f>
        <v>1357220.9800736576</v>
      </c>
      <c r="J24" s="57">
        <f>'Pr P&amp;L proj'!J44+'Tr P&amp;L proj'!J35</f>
        <v>1493872.2629379258</v>
      </c>
      <c r="K24" s="57">
        <f>'Pr P&amp;L proj'!K44+'Tr P&amp;L proj'!K35</f>
        <v>1648669.9529781588</v>
      </c>
      <c r="L24" s="57">
        <f>'Pr P&amp;L proj'!L44+'Tr P&amp;L proj'!L35</f>
        <v>1895632.5854379782</v>
      </c>
      <c r="M24" s="57">
        <f>'Pr P&amp;L proj'!M44+'Tr P&amp;L proj'!M35</f>
        <v>2097662.2249861876</v>
      </c>
      <c r="N24" s="57">
        <f>'Pr P&amp;L proj'!N44+'Tr P&amp;L proj'!N35</f>
        <v>2324285.024047948</v>
      </c>
    </row>
    <row r="25" spans="1:14">
      <c r="A25" s="36" t="s">
        <v>424</v>
      </c>
      <c r="B25" s="41">
        <f>'Pr P&amp;L 2012'!B46+'Tr P&amp;L 2012'!B37</f>
        <v>-866705.57540962787</v>
      </c>
      <c r="C25" s="41">
        <f>'Pr P&amp;L 2012'!C46+'Tr P&amp;L 2012'!C37</f>
        <v>-2588750.8472380177</v>
      </c>
      <c r="D25" s="41">
        <f>'Pr P&amp;L 2012'!D46+'Tr P&amp;L 2012'!D37</f>
        <v>-2202102.2499028682</v>
      </c>
      <c r="E25" s="41">
        <f>'Pr P&amp;L proj'!E45+'Tr P&amp;L proj'!E36</f>
        <v>-593896.96293325722</v>
      </c>
      <c r="F25" s="41">
        <f>'Pr P&amp;L proj'!F45+'Tr P&amp;L proj'!F36</f>
        <v>-642866.4612535988</v>
      </c>
      <c r="G25" s="41">
        <f>'Pr P&amp;L proj'!G45+'Tr P&amp;L proj'!G36</f>
        <v>-2434390.9120093291</v>
      </c>
      <c r="H25" s="41">
        <f>'Pr P&amp;L proj'!H45+'Tr P&amp;L proj'!H36</f>
        <v>-3664083.8324441998</v>
      </c>
      <c r="I25" s="41">
        <f>'Pr P&amp;L proj'!I45+'Tr P&amp;L proj'!I36</f>
        <v>-4711263.3361622626</v>
      </c>
      <c r="J25" s="41">
        <f>'Pr P&amp;L proj'!J45+'Tr P&amp;L proj'!J36</f>
        <v>-5087241.3901180923</v>
      </c>
      <c r="K25" s="41">
        <f>'Pr P&amp;L proj'!K45+'Tr P&amp;L proj'!K36</f>
        <v>-5513333.6442029318</v>
      </c>
      <c r="L25" s="41">
        <f>'Pr P&amp;L proj'!L45+'Tr P&amp;L proj'!L36</f>
        <v>-6211360.4172706697</v>
      </c>
      <c r="M25" s="41">
        <f>'Pr P&amp;L proj'!M45+'Tr P&amp;L proj'!M36</f>
        <v>-6769775.9934540279</v>
      </c>
      <c r="N25" s="41">
        <f>'Pr P&amp;L proj'!N45+'Tr P&amp;L proj'!N36</f>
        <v>-7396888.7635350339</v>
      </c>
    </row>
    <row r="26" spans="1:14" ht="21">
      <c r="A26" s="85" t="s">
        <v>642</v>
      </c>
      <c r="B26" s="86">
        <f>B21+B25</f>
        <v>2946830.5014622561</v>
      </c>
      <c r="C26" s="86">
        <f t="shared" ref="C26:N26" si="5">C21+C25</f>
        <v>12588521.099348763</v>
      </c>
      <c r="D26" s="86">
        <f t="shared" si="5"/>
        <v>11834283.787697507</v>
      </c>
      <c r="E26" s="86">
        <f t="shared" si="5"/>
        <v>1669679.3426064472</v>
      </c>
      <c r="F26" s="86">
        <f t="shared" si="5"/>
        <v>2108650.5520598623</v>
      </c>
      <c r="G26" s="86">
        <f t="shared" si="5"/>
        <v>12123144.660550661</v>
      </c>
      <c r="H26" s="86">
        <f t="shared" si="5"/>
        <v>19068552.8057479</v>
      </c>
      <c r="I26" s="86">
        <f t="shared" si="5"/>
        <v>24991557.84907607</v>
      </c>
      <c r="J26" s="86">
        <f t="shared" si="5"/>
        <v>27212702.273857642</v>
      </c>
      <c r="K26" s="86">
        <f t="shared" si="5"/>
        <v>29729360.556434087</v>
      </c>
      <c r="L26" s="86">
        <f t="shared" si="5"/>
        <v>33799141.93531587</v>
      </c>
      <c r="M26" s="86">
        <f t="shared" si="5"/>
        <v>37090625.780251563</v>
      </c>
      <c r="N26" s="86">
        <f t="shared" si="5"/>
        <v>40784946.482988685</v>
      </c>
    </row>
    <row r="27" spans="1:14">
      <c r="B27" s="41"/>
      <c r="C27" s="41"/>
      <c r="D27" s="41"/>
      <c r="E27" s="3"/>
      <c r="F27" s="3"/>
      <c r="G27" s="3"/>
      <c r="H27" s="3"/>
    </row>
    <row r="28" spans="1:14" ht="21">
      <c r="A28" s="85" t="s">
        <v>427</v>
      </c>
      <c r="B28" s="54">
        <f>B15-B9</f>
        <v>9932779.5644276999</v>
      </c>
      <c r="C28" s="54">
        <f t="shared" ref="C28:N28" si="6">C15-C9</f>
        <v>28944632.704036366</v>
      </c>
      <c r="D28" s="54">
        <f t="shared" si="6"/>
        <v>26459640.319460541</v>
      </c>
      <c r="E28" s="54">
        <f t="shared" si="6"/>
        <v>14264714.701575398</v>
      </c>
      <c r="F28" s="54">
        <f t="shared" si="6"/>
        <v>13962122.409102194</v>
      </c>
      <c r="G28" s="54">
        <f t="shared" si="6"/>
        <v>26862036.056684248</v>
      </c>
      <c r="H28" s="54">
        <f t="shared" si="6"/>
        <v>34468149.145154744</v>
      </c>
      <c r="I28" s="54">
        <f t="shared" si="6"/>
        <v>43279870.866950586</v>
      </c>
      <c r="J28" s="54">
        <f t="shared" si="6"/>
        <v>45784595.074381813</v>
      </c>
      <c r="K28" s="54">
        <f t="shared" si="6"/>
        <v>48638747.52895835</v>
      </c>
      <c r="L28" s="54">
        <f t="shared" si="6"/>
        <v>51816799.242122628</v>
      </c>
      <c r="M28" s="54">
        <f t="shared" si="6"/>
        <v>55326837.523645736</v>
      </c>
      <c r="N28" s="54">
        <f t="shared" si="6"/>
        <v>59157383.832622677</v>
      </c>
    </row>
    <row r="29" spans="1:14" ht="21">
      <c r="A29" s="85" t="s">
        <v>772</v>
      </c>
      <c r="B29" s="54">
        <f>B28+B9</f>
        <v>4228958.1993240761</v>
      </c>
      <c r="C29" s="54">
        <f t="shared" ref="C29:N29" si="7">C28+C9</f>
        <v>18870915.914852202</v>
      </c>
      <c r="D29" s="54">
        <f t="shared" si="7"/>
        <v>16921807.905570451</v>
      </c>
      <c r="E29" s="54">
        <f t="shared" si="7"/>
        <v>4790770.6654690057</v>
      </c>
      <c r="F29" s="54">
        <f t="shared" si="7"/>
        <v>4912752.623251304</v>
      </c>
      <c r="G29" s="54">
        <f t="shared" si="7"/>
        <v>17267061.466831405</v>
      </c>
      <c r="H29" s="54">
        <f t="shared" si="7"/>
        <v>25706113.712441497</v>
      </c>
      <c r="I29" s="54">
        <f t="shared" si="7"/>
        <v>32863193.763012625</v>
      </c>
      <c r="J29" s="54">
        <f t="shared" si="7"/>
        <v>35306817.299240731</v>
      </c>
      <c r="K29" s="54">
        <f t="shared" si="7"/>
        <v>38096275.107981741</v>
      </c>
      <c r="L29" s="54">
        <f t="shared" si="7"/>
        <v>42806975.824143574</v>
      </c>
      <c r="M29" s="54">
        <f t="shared" si="7"/>
        <v>46647928.039270006</v>
      </c>
      <c r="N29" s="54">
        <f t="shared" si="7"/>
        <v>51008544.776959382</v>
      </c>
    </row>
    <row r="30" spans="1:14" ht="21">
      <c r="A30" s="85" t="s">
        <v>773</v>
      </c>
      <c r="B30" s="54">
        <f>B28+B20</f>
        <v>9611408.8416630123</v>
      </c>
      <c r="C30" s="54">
        <f t="shared" ref="C30:N30" si="8">C28+C20</f>
        <v>28606145.281536367</v>
      </c>
      <c r="D30" s="54">
        <f t="shared" si="8"/>
        <v>26355670.174619917</v>
      </c>
      <c r="E30" s="54">
        <f t="shared" si="8"/>
        <v>14000760.495827284</v>
      </c>
      <c r="F30" s="54">
        <f t="shared" si="8"/>
        <v>13706412.509928217</v>
      </c>
      <c r="G30" s="54">
        <f t="shared" si="8"/>
        <v>26583413.194322769</v>
      </c>
      <c r="H30" s="54">
        <f t="shared" si="8"/>
        <v>34185717.659915425</v>
      </c>
      <c r="I30" s="54">
        <f t="shared" si="8"/>
        <v>42995604.024310015</v>
      </c>
      <c r="J30" s="54">
        <f t="shared" si="8"/>
        <v>45515428.584913231</v>
      </c>
      <c r="K30" s="54">
        <f t="shared" si="8"/>
        <v>48386603.624394596</v>
      </c>
      <c r="L30" s="54">
        <f t="shared" si="8"/>
        <v>51583704.726141855</v>
      </c>
      <c r="M30" s="54">
        <f t="shared" si="8"/>
        <v>55114931.159869976</v>
      </c>
      <c r="N30" s="54">
        <f t="shared" si="8"/>
        <v>58968924.414226592</v>
      </c>
    </row>
    <row r="31" spans="1:14">
      <c r="B31" s="41"/>
      <c r="C31" s="41"/>
      <c r="D31" s="41"/>
      <c r="E31" s="3"/>
      <c r="F31" s="3"/>
      <c r="G31" s="3"/>
      <c r="H31" s="3"/>
    </row>
    <row r="32" spans="1:14">
      <c r="B32" s="41"/>
      <c r="C32" s="41"/>
      <c r="D32" s="41"/>
    </row>
    <row r="33" spans="2:4">
      <c r="B33" s="41"/>
      <c r="C33" s="41"/>
      <c r="D33" s="41"/>
    </row>
    <row r="34" spans="2:4">
      <c r="B34" s="41"/>
      <c r="C34" s="41"/>
      <c r="D34" s="41"/>
    </row>
    <row r="35" spans="2:4">
      <c r="B35" s="41"/>
      <c r="C35" s="41"/>
      <c r="D35" s="41"/>
    </row>
    <row r="36" spans="2:4">
      <c r="B36" s="41"/>
      <c r="C36" s="41"/>
      <c r="D36" s="41"/>
    </row>
    <row r="37" spans="2:4">
      <c r="B37" s="41"/>
      <c r="C37" s="41"/>
      <c r="D37" s="41"/>
    </row>
    <row r="38" spans="2:4">
      <c r="B38" s="41"/>
      <c r="C38" s="41"/>
      <c r="D38" s="41"/>
    </row>
    <row r="39" spans="2:4">
      <c r="B39" s="41"/>
      <c r="C39" s="41"/>
      <c r="D39" s="41"/>
    </row>
    <row r="40" spans="2:4">
      <c r="B40" s="41"/>
      <c r="C40" s="41"/>
      <c r="D40" s="41"/>
    </row>
    <row r="41" spans="2:4">
      <c r="B41" s="41"/>
      <c r="C41" s="41"/>
      <c r="D41" s="41"/>
    </row>
    <row r="42" spans="2:4">
      <c r="B42" s="41"/>
      <c r="C42" s="41"/>
      <c r="D42" s="41"/>
    </row>
    <row r="43" spans="2:4">
      <c r="B43" s="41"/>
      <c r="C43" s="41"/>
      <c r="D43" s="41"/>
    </row>
    <row r="44" spans="2:4">
      <c r="B44" s="41"/>
      <c r="C44" s="41"/>
      <c r="D44" s="41"/>
    </row>
    <row r="45" spans="2:4">
      <c r="B45" s="41"/>
      <c r="C45" s="41"/>
      <c r="D45" s="41"/>
    </row>
    <row r="46" spans="2:4">
      <c r="B46" s="41"/>
      <c r="C46" s="41"/>
      <c r="D46" s="41"/>
    </row>
    <row r="47" spans="2:4">
      <c r="B47" s="41"/>
      <c r="C47" s="41"/>
      <c r="D47" s="41"/>
    </row>
    <row r="48" spans="2:4">
      <c r="B48" s="41"/>
      <c r="C48" s="41"/>
      <c r="D48" s="41"/>
    </row>
    <row r="49" spans="2:4">
      <c r="B49" s="41"/>
      <c r="C49" s="41"/>
      <c r="D49" s="4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0"/>
  <sheetViews>
    <sheetView workbookViewId="0">
      <pane xSplit="1" ySplit="3" topLeftCell="B47" activePane="bottomRight" state="frozen"/>
      <selection pane="topRight" activeCell="B1" sqref="B1"/>
      <selection pane="bottomLeft" activeCell="A4" sqref="A4"/>
      <selection pane="bottomRight" activeCell="D52" sqref="D52"/>
    </sheetView>
  </sheetViews>
  <sheetFormatPr defaultRowHeight="14.4"/>
  <cols>
    <col min="1" max="1" width="47.77734375" style="2" customWidth="1"/>
    <col min="2" max="2" width="16.21875" style="2" bestFit="1" customWidth="1"/>
    <col min="3" max="17" width="14.77734375" style="2" customWidth="1"/>
    <col min="18" max="16384" width="8.88671875" style="2"/>
  </cols>
  <sheetData>
    <row r="1" spans="1:15">
      <c r="A1" s="303" t="s">
        <v>740</v>
      </c>
    </row>
    <row r="2" spans="1:15" ht="21">
      <c r="A2" s="92" t="s">
        <v>741</v>
      </c>
    </row>
    <row r="3" spans="1:15" s="37" customFormat="1" ht="21">
      <c r="A3" s="92"/>
      <c r="B3" s="21">
        <v>2010</v>
      </c>
      <c r="C3" s="21">
        <v>2011</v>
      </c>
      <c r="D3" s="308">
        <v>41274</v>
      </c>
      <c r="E3" s="308">
        <v>41639</v>
      </c>
      <c r="F3" s="308">
        <v>42004</v>
      </c>
      <c r="G3" s="308">
        <v>42369</v>
      </c>
      <c r="H3" s="308">
        <v>42735</v>
      </c>
      <c r="I3" s="308">
        <v>43100</v>
      </c>
      <c r="J3" s="308">
        <v>43465</v>
      </c>
      <c r="K3" s="308">
        <v>43830</v>
      </c>
      <c r="L3" s="308">
        <v>44196</v>
      </c>
      <c r="M3" s="308">
        <v>44561</v>
      </c>
      <c r="N3" s="308">
        <v>44926</v>
      </c>
      <c r="O3" s="308">
        <v>45291</v>
      </c>
    </row>
    <row r="4" spans="1:15" ht="18">
      <c r="A4" s="306" t="s">
        <v>766</v>
      </c>
      <c r="E4" s="307">
        <f ca="1">TODAY()</f>
        <v>41962</v>
      </c>
    </row>
    <row r="5" spans="1:15" ht="18">
      <c r="A5" s="36" t="s">
        <v>636</v>
      </c>
      <c r="B5" s="42">
        <f>'Cons P&amp;L proj'!B15</f>
        <v>4228958.1993240761</v>
      </c>
      <c r="C5" s="42">
        <f>'Cons P&amp;L proj'!C15</f>
        <v>18870915.914852202</v>
      </c>
      <c r="D5" s="42">
        <f>'Cons P&amp;L proj'!D15</f>
        <v>16921807.905570451</v>
      </c>
      <c r="E5" s="42">
        <f>'Cons P&amp;L proj'!E15</f>
        <v>4790770.6654690057</v>
      </c>
      <c r="F5" s="42">
        <f>'Cons P&amp;L proj'!F15</f>
        <v>4912752.623251305</v>
      </c>
      <c r="G5" s="42">
        <f>'Cons P&amp;L proj'!G15</f>
        <v>17267061.466831405</v>
      </c>
      <c r="H5" s="42">
        <f>'Cons P&amp;L proj'!H15</f>
        <v>25706113.7124415</v>
      </c>
      <c r="I5" s="42">
        <f>'Cons P&amp;L proj'!I15</f>
        <v>32863193.763012625</v>
      </c>
      <c r="J5" s="42">
        <f>'Cons P&amp;L proj'!J15</f>
        <v>35306817.299240731</v>
      </c>
      <c r="K5" s="42">
        <f>'Cons P&amp;L proj'!K15</f>
        <v>38096275.107981749</v>
      </c>
      <c r="L5" s="42">
        <f>'Cons P&amp;L proj'!L15</f>
        <v>42806975.824143574</v>
      </c>
      <c r="M5" s="42">
        <f>'Cons P&amp;L proj'!M15</f>
        <v>46647928.039270006</v>
      </c>
      <c r="N5" s="42">
        <f>'Cons P&amp;L proj'!N15</f>
        <v>51008544.776959382</v>
      </c>
      <c r="O5" s="41"/>
    </row>
    <row r="6" spans="1:15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</row>
    <row r="7" spans="1:15">
      <c r="A7" s="2" t="s">
        <v>742</v>
      </c>
      <c r="B7" s="41">
        <f>'Cons P&amp;L proj'!B20</f>
        <v>-321370.72276468761</v>
      </c>
      <c r="C7" s="41">
        <f>'Cons P&amp;L proj'!C20</f>
        <v>-338487.42249999999</v>
      </c>
      <c r="D7" s="41">
        <f>'Cons P&amp;L proj'!D20</f>
        <v>-103970.14484062503</v>
      </c>
      <c r="E7" s="41">
        <f>'Cons P&amp;L proj'!E20</f>
        <v>-263954.20574811433</v>
      </c>
      <c r="F7" s="41">
        <f>'Cons P&amp;L proj'!F20</f>
        <v>-255709.89917397697</v>
      </c>
      <c r="G7" s="41">
        <f>'Cons P&amp;L proj'!G20</f>
        <v>-278622.86236147856</v>
      </c>
      <c r="H7" s="41">
        <f>'Cons P&amp;L proj'!H20</f>
        <v>-282431.48523931659</v>
      </c>
      <c r="I7" s="41">
        <f>'Cons P&amp;L proj'!I20</f>
        <v>-284266.84264057368</v>
      </c>
      <c r="J7" s="41">
        <f>'Cons P&amp;L proj'!J20</f>
        <v>-269166.48946858471</v>
      </c>
      <c r="K7" s="41">
        <f>'Cons P&amp;L proj'!K20</f>
        <v>-252143.90456375806</v>
      </c>
      <c r="L7" s="41">
        <f>'Cons P&amp;L proj'!L20</f>
        <v>-233094.51598077128</v>
      </c>
      <c r="M7" s="41">
        <f>'Cons P&amp;L proj'!M20</f>
        <v>-211906.36377576308</v>
      </c>
      <c r="N7" s="41">
        <f>'Cons P&amp;L proj'!N20</f>
        <v>-188459.41839608518</v>
      </c>
      <c r="O7" s="41"/>
    </row>
    <row r="8" spans="1:15" s="45" customFormat="1">
      <c r="A8" s="38" t="s">
        <v>743</v>
      </c>
      <c r="B8" s="123">
        <f>B5+B7</f>
        <v>3907587.4765593885</v>
      </c>
      <c r="C8" s="123">
        <f t="shared" ref="C8:N8" si="0">C5+C7</f>
        <v>18532428.492352203</v>
      </c>
      <c r="D8" s="123">
        <f t="shared" si="0"/>
        <v>16817837.760729827</v>
      </c>
      <c r="E8" s="123">
        <f t="shared" si="0"/>
        <v>4526816.459720891</v>
      </c>
      <c r="F8" s="123">
        <f t="shared" si="0"/>
        <v>4657042.7240773281</v>
      </c>
      <c r="G8" s="123">
        <f t="shared" si="0"/>
        <v>16988438.604469925</v>
      </c>
      <c r="H8" s="123">
        <f t="shared" si="0"/>
        <v>25423682.227202184</v>
      </c>
      <c r="I8" s="123">
        <f t="shared" si="0"/>
        <v>32578926.92037205</v>
      </c>
      <c r="J8" s="123">
        <f t="shared" si="0"/>
        <v>35037650.809772149</v>
      </c>
      <c r="K8" s="123">
        <f t="shared" si="0"/>
        <v>37844131.203417994</v>
      </c>
      <c r="L8" s="123">
        <f t="shared" si="0"/>
        <v>42573881.308162801</v>
      </c>
      <c r="M8" s="123">
        <f t="shared" si="0"/>
        <v>46436021.675494246</v>
      </c>
      <c r="N8" s="123">
        <f t="shared" si="0"/>
        <v>50820085.358563296</v>
      </c>
      <c r="O8" s="123">
        <f>N8*(1+B43)</f>
        <v>52598788.346113011</v>
      </c>
    </row>
    <row r="9" spans="1:15">
      <c r="A9" s="2" t="s">
        <v>744</v>
      </c>
      <c r="B9" s="41">
        <f>-'Cons P&amp;L proj'!B9</f>
        <v>5703821.3651036238</v>
      </c>
      <c r="C9" s="41">
        <f>-'Cons P&amp;L proj'!C9</f>
        <v>10073716.789184164</v>
      </c>
      <c r="D9" s="41">
        <f>-'Cons P&amp;L proj'!D9</f>
        <v>9537832.4138900898</v>
      </c>
      <c r="E9" s="41">
        <f>-'Cons P&amp;L proj'!E9</f>
        <v>9473944.0361063927</v>
      </c>
      <c r="F9" s="41">
        <f>-'Cons P&amp;L proj'!F9</f>
        <v>9049369.78585089</v>
      </c>
      <c r="G9" s="41">
        <f>-'Cons P&amp;L proj'!G9</f>
        <v>9594974.5898528434</v>
      </c>
      <c r="H9" s="41">
        <f>-'Cons P&amp;L proj'!H9</f>
        <v>8762035.432713246</v>
      </c>
      <c r="I9" s="41">
        <f>-'Cons P&amp;L proj'!I9</f>
        <v>10416677.103937959</v>
      </c>
      <c r="J9" s="41">
        <f>-'Cons P&amp;L proj'!J9</f>
        <v>10477777.775141083</v>
      </c>
      <c r="K9" s="41">
        <f>-'Cons P&amp;L proj'!K9</f>
        <v>10542472.420976605</v>
      </c>
      <c r="L9" s="41">
        <f>-'Cons P&amp;L proj'!L9</f>
        <v>9009823.417979056</v>
      </c>
      <c r="M9" s="41">
        <f>-'Cons P&amp;L proj'!M9</f>
        <v>8678909.4843757302</v>
      </c>
      <c r="N9" s="41">
        <f>-'Cons P&amp;L proj'!N9</f>
        <v>8148839.0556632923</v>
      </c>
      <c r="O9" s="41"/>
    </row>
    <row r="10" spans="1:15">
      <c r="A10" s="2" t="s">
        <v>746</v>
      </c>
      <c r="B10" s="41">
        <f>'Cons CF proj'!B14+'Cons CF proj'!B15-'Cons CF proj'!B16+'Cons CF proj'!B17-'Cons CF proj'!B18</f>
        <v>-2178193.2238896429</v>
      </c>
      <c r="C10" s="41">
        <f>'Cons CF proj'!C14+'Cons CF proj'!C15-'Cons CF proj'!C16+'Cons CF proj'!C17-'Cons CF proj'!C18</f>
        <v>-33859352.138555244</v>
      </c>
      <c r="D10" s="41">
        <f>'Cons CF proj'!D14+'Cons CF proj'!D15-'Cons CF proj'!D16+'Cons CF proj'!D17-'Cons CF proj'!D18</f>
        <v>-2415350.0325267138</v>
      </c>
      <c r="E10" s="41">
        <f>'Cons CF proj'!E14+'Cons CF proj'!E15-'Cons CF proj'!E16+'Cons CF proj'!E17-'Cons CF proj'!E18</f>
        <v>-2485700.0334740938</v>
      </c>
      <c r="F10" s="41">
        <f>'Cons CF proj'!F14+'Cons CF proj'!F15-'Cons CF proj'!F16+'Cons CF proj'!F17-'Cons CF proj'!F18</f>
        <v>-2546032.5585584166</v>
      </c>
      <c r="G10" s="41">
        <f>'Cons CF proj'!G14+'Cons CF proj'!G15-'Cons CF proj'!G16+'Cons CF proj'!G17-'Cons CF proj'!G18</f>
        <v>-29359230.75570586</v>
      </c>
      <c r="H10" s="41">
        <f>'Cons CF proj'!H14+'Cons CF proj'!H15-'Cons CF proj'!H16+'Cons CF proj'!H17-'Cons CF proj'!H18</f>
        <v>-16166340.959931295</v>
      </c>
      <c r="I10" s="41">
        <f>'Cons CF proj'!I14+'Cons CF proj'!I15-'Cons CF proj'!I16+'Cons CF proj'!I17-'Cons CF proj'!I18</f>
        <v>-16294169.512940338</v>
      </c>
      <c r="J10" s="41">
        <f>'Cons CF proj'!J14+'Cons CF proj'!J15-'Cons CF proj'!J16+'Cons CF proj'!J17-'Cons CF proj'!J18</f>
        <v>-2671740.8632802414</v>
      </c>
      <c r="K10" s="41">
        <f>'Cons CF proj'!K14+'Cons CF proj'!K15-'Cons CF proj'!K16+'Cons CF proj'!K17-'Cons CF proj'!K18</f>
        <v>-2671740.8632802414</v>
      </c>
      <c r="L10" s="41">
        <f>'Cons CF proj'!L14+'Cons CF proj'!L15-'Cons CF proj'!L16+'Cons CF proj'!L17-'Cons CF proj'!L18</f>
        <v>-2658771.2474390748</v>
      </c>
      <c r="M10" s="41">
        <f>'Cons CF proj'!M14+'Cons CF proj'!M15-'Cons CF proj'!M16+'Cons CF proj'!M17-'Cons CF proj'!M18</f>
        <v>-2632957.9343571425</v>
      </c>
      <c r="N10" s="41">
        <f>'Cons CF proj'!N14+'Cons CF proj'!N15-'Cons CF proj'!N16+'Cons CF proj'!N17-'Cons CF proj'!N18</f>
        <v>-2594613.8867694172</v>
      </c>
      <c r="O10" s="41"/>
    </row>
    <row r="11" spans="1:15">
      <c r="A11" s="2" t="s">
        <v>745</v>
      </c>
      <c r="B11" s="41">
        <f>-'Cons CF proj'!B9</f>
        <v>0</v>
      </c>
      <c r="C11" s="41">
        <f>-'Cons CF proj'!C9</f>
        <v>0</v>
      </c>
      <c r="D11" s="41">
        <f>-'Cons CF proj'!D9</f>
        <v>0</v>
      </c>
      <c r="E11" s="41">
        <f>-'Cons CF proj'!E9</f>
        <v>-2223812.902423963</v>
      </c>
      <c r="F11" s="41">
        <f>-'Cons CF proj'!F9</f>
        <v>-1469836.1840970069</v>
      </c>
      <c r="G11" s="41">
        <f>-'Cons CF proj'!G9</f>
        <v>-7058173.1763506196</v>
      </c>
      <c r="H11" s="41">
        <f>-'Cons CF proj'!H9</f>
        <v>-4483496.7062091008</v>
      </c>
      <c r="I11" s="41">
        <f>-'Cons CF proj'!I9</f>
        <v>-5313610.6973575093</v>
      </c>
      <c r="J11" s="41">
        <f>-'Cons CF proj'!J9</f>
        <v>-2364586.0344635248</v>
      </c>
      <c r="K11" s="41">
        <f>-'Cons CF proj'!K9</f>
        <v>-2436863.9711911939</v>
      </c>
      <c r="L11" s="41">
        <f>-'Cons CF proj'!L9</f>
        <v>-2210020.2054872029</v>
      </c>
      <c r="M11" s="41">
        <f>-'Cons CF proj'!M9</f>
        <v>-2525733.0162996463</v>
      </c>
      <c r="N11" s="41">
        <f>-'Cons CF proj'!N9</f>
        <v>-2577795.7192789279</v>
      </c>
      <c r="O11" s="41"/>
    </row>
    <row r="12" spans="1:15"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5" ht="36">
      <c r="A13" s="9" t="s">
        <v>747</v>
      </c>
      <c r="B13" s="42">
        <f>SUM(B8:B11)</f>
        <v>7433215.617773369</v>
      </c>
      <c r="C13" s="42">
        <f t="shared" ref="C13:N13" si="1">SUM(C8:C11)</f>
        <v>-5253206.8570188768</v>
      </c>
      <c r="D13" s="42">
        <f t="shared" si="1"/>
        <v>23940320.142093204</v>
      </c>
      <c r="E13" s="42">
        <f t="shared" si="1"/>
        <v>9291247.5599292275</v>
      </c>
      <c r="F13" s="42">
        <f t="shared" si="1"/>
        <v>9690543.7672727965</v>
      </c>
      <c r="G13" s="42">
        <f t="shared" si="1"/>
        <v>-9833990.7377337106</v>
      </c>
      <c r="H13" s="42">
        <f t="shared" si="1"/>
        <v>13535879.993775036</v>
      </c>
      <c r="I13" s="42">
        <f t="shared" si="1"/>
        <v>21387823.814012159</v>
      </c>
      <c r="J13" s="42">
        <f t="shared" si="1"/>
        <v>40479101.687169462</v>
      </c>
      <c r="K13" s="42">
        <f t="shared" si="1"/>
        <v>43277998.789923161</v>
      </c>
      <c r="L13" s="42">
        <f t="shared" si="1"/>
        <v>46714913.273215577</v>
      </c>
      <c r="M13" s="42">
        <f t="shared" si="1"/>
        <v>49956240.209213182</v>
      </c>
      <c r="N13" s="42">
        <f t="shared" si="1"/>
        <v>53796514.808178246</v>
      </c>
      <c r="O13" s="42">
        <f>N13*(1+B43)</f>
        <v>55679392.826464482</v>
      </c>
    </row>
    <row r="14" spans="1:15">
      <c r="A14" s="2" t="s">
        <v>767</v>
      </c>
      <c r="B14" s="129"/>
      <c r="C14" s="129"/>
      <c r="D14" s="310"/>
      <c r="E14" s="310">
        <f ca="1">(E3-$E$4)/365</f>
        <v>-0.8849315068493151</v>
      </c>
      <c r="F14" s="310">
        <f t="shared" ref="F14:N14" ca="1" si="2">(F3-$E$4)/365</f>
        <v>0.11506849315068493</v>
      </c>
      <c r="G14" s="310">
        <f t="shared" ca="1" si="2"/>
        <v>1.1150684931506849</v>
      </c>
      <c r="H14" s="310">
        <f t="shared" ca="1" si="2"/>
        <v>2.117808219178082</v>
      </c>
      <c r="I14" s="310">
        <f t="shared" ca="1" si="2"/>
        <v>3.117808219178082</v>
      </c>
      <c r="J14" s="310">
        <f t="shared" ca="1" si="2"/>
        <v>4.117808219178082</v>
      </c>
      <c r="K14" s="310">
        <f t="shared" ca="1" si="2"/>
        <v>5.117808219178082</v>
      </c>
      <c r="L14" s="310">
        <f t="shared" ca="1" si="2"/>
        <v>6.1205479452054794</v>
      </c>
      <c r="M14" s="310">
        <f t="shared" ca="1" si="2"/>
        <v>7.1205479452054794</v>
      </c>
      <c r="N14" s="310">
        <f t="shared" ca="1" si="2"/>
        <v>8.1205479452054803</v>
      </c>
      <c r="O14" s="310"/>
    </row>
    <row r="15" spans="1:15" ht="15.6">
      <c r="A15" s="2" t="s">
        <v>768</v>
      </c>
      <c r="B15" s="42"/>
      <c r="C15" s="42"/>
      <c r="D15" s="309"/>
      <c r="E15" s="309">
        <f ca="1">1/(1+$D$42)^E14</f>
        <v>1.0440907537871384</v>
      </c>
      <c r="F15" s="309">
        <f t="shared" ref="F15:N15" ca="1" si="3">1/(1+$D$42)^F14</f>
        <v>0.99440533903313921</v>
      </c>
      <c r="G15" s="309">
        <f t="shared" ca="1" si="3"/>
        <v>0.94708431686697048</v>
      </c>
      <c r="H15" s="309">
        <f t="shared" ca="1" si="3"/>
        <v>0.90189468898377023</v>
      </c>
      <c r="I15" s="309">
        <f t="shared" ca="1" si="3"/>
        <v>0.85897599487212439</v>
      </c>
      <c r="J15" s="309">
        <f t="shared" ca="1" si="3"/>
        <v>0.81809968367585495</v>
      </c>
      <c r="K15" s="309">
        <f t="shared" ca="1" si="3"/>
        <v>0.77916856399481849</v>
      </c>
      <c r="L15" s="309">
        <f t="shared" ca="1" si="3"/>
        <v>0.74199094755862627</v>
      </c>
      <c r="M15" s="309">
        <f t="shared" ca="1" si="3"/>
        <v>0.70668163384289606</v>
      </c>
      <c r="N15" s="309">
        <f t="shared" ca="1" si="3"/>
        <v>0.67305259350405544</v>
      </c>
      <c r="O15" s="309"/>
    </row>
    <row r="16" spans="1:15">
      <c r="A16" s="2" t="s">
        <v>765</v>
      </c>
      <c r="B16" s="41"/>
      <c r="C16" s="41"/>
      <c r="D16" s="41"/>
      <c r="E16" s="41">
        <f ca="1">E13*E15</f>
        <v>9700905.6684694178</v>
      </c>
      <c r="F16" s="41">
        <f t="shared" ref="F16:N16" ca="1" si="4">F13*F15</f>
        <v>9636328.460310379</v>
      </c>
      <c r="G16" s="41">
        <f t="shared" ca="1" si="4"/>
        <v>-9313618.3999226466</v>
      </c>
      <c r="H16" s="41">
        <f t="shared" ca="1" si="4"/>
        <v>12207938.277107375</v>
      </c>
      <c r="I16" s="41">
        <f t="shared" ca="1" si="4"/>
        <v>18371627.238790806</v>
      </c>
      <c r="J16" s="41">
        <f t="shared" ca="1" si="4"/>
        <v>33115940.285756104</v>
      </c>
      <c r="K16" s="41">
        <f t="shared" ca="1" si="4"/>
        <v>33720856.169713922</v>
      </c>
      <c r="L16" s="41">
        <f t="shared" ca="1" si="4"/>
        <v>34662042.764712274</v>
      </c>
      <c r="M16" s="41">
        <f t="shared" ca="1" si="4"/>
        <v>35303157.45169495</v>
      </c>
      <c r="N16" s="41">
        <f t="shared" ca="1" si="4"/>
        <v>36207883.813123696</v>
      </c>
      <c r="O16" s="41">
        <f ca="1">O13*N15</f>
        <v>37475159.746583022</v>
      </c>
    </row>
    <row r="17" spans="1:15"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</row>
    <row r="18" spans="1:15" ht="36">
      <c r="A18" s="9" t="s">
        <v>748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 s="38" customFormat="1">
      <c r="A19" s="38" t="s">
        <v>755</v>
      </c>
      <c r="B19" s="123">
        <f>B20+B21</f>
        <v>11250000</v>
      </c>
      <c r="C19" s="123">
        <f t="shared" ref="C19:N19" si="5">C20+C21</f>
        <v>25207900.915308449</v>
      </c>
      <c r="D19" s="123">
        <f t="shared" si="5"/>
        <v>19301166.775089048</v>
      </c>
      <c r="E19" s="123">
        <f t="shared" si="5"/>
        <v>12815333.404913157</v>
      </c>
      <c r="F19" s="123">
        <f t="shared" si="5"/>
        <v>7392718.4956572168</v>
      </c>
      <c r="G19" s="123">
        <f t="shared" si="5"/>
        <v>9113028.2742395252</v>
      </c>
      <c r="H19" s="123">
        <f t="shared" si="5"/>
        <v>9680671.4800551496</v>
      </c>
      <c r="I19" s="123">
        <f t="shared" si="5"/>
        <v>8850000</v>
      </c>
      <c r="J19" s="123">
        <f t="shared" si="5"/>
        <v>6450000</v>
      </c>
      <c r="K19" s="123">
        <f t="shared" si="5"/>
        <v>4050000</v>
      </c>
      <c r="L19" s="123">
        <f t="shared" si="5"/>
        <v>2850000</v>
      </c>
      <c r="M19" s="123">
        <f t="shared" si="5"/>
        <v>2250000</v>
      </c>
      <c r="N19" s="123">
        <f t="shared" si="5"/>
        <v>2250000</v>
      </c>
      <c r="O19" s="123"/>
    </row>
    <row r="20" spans="1:15">
      <c r="A20" s="2" t="s">
        <v>753</v>
      </c>
      <c r="B20" s="41">
        <f>'Cons BS proj'!B34+'Cons BS proj'!B30</f>
        <v>0</v>
      </c>
      <c r="C20" s="41">
        <f>'Cons BS proj'!C34+'Cons BS proj'!C30</f>
        <v>10207900.915308449</v>
      </c>
      <c r="D20" s="41">
        <f>'Cons BS proj'!D34+'Cons BS proj'!D30</f>
        <v>8051166.775089046</v>
      </c>
      <c r="E20" s="41">
        <f>'Cons BS proj'!E34+'Cons BS proj'!E30</f>
        <v>5315333.4049131563</v>
      </c>
      <c r="F20" s="41">
        <f>'Cons BS proj'!F34+'Cons BS proj'!F30</f>
        <v>3642718.4956572172</v>
      </c>
      <c r="G20" s="41">
        <f>'Cons BS proj'!G34+'Cons BS proj'!G30</f>
        <v>2063028.2742395243</v>
      </c>
      <c r="H20" s="41">
        <f>'Cons BS proj'!H34+'Cons BS proj'!H30</f>
        <v>1430671.4800551487</v>
      </c>
      <c r="I20" s="41">
        <f>'Cons BS proj'!I34+'Cons BS proj'!I30</f>
        <v>0</v>
      </c>
      <c r="J20" s="41">
        <f>'Cons BS proj'!J34+'Cons BS proj'!J30</f>
        <v>0</v>
      </c>
      <c r="K20" s="41">
        <f>'Cons BS proj'!K34+'Cons BS proj'!K30</f>
        <v>0</v>
      </c>
      <c r="L20" s="41">
        <f>'Cons BS proj'!L34+'Cons BS proj'!L30</f>
        <v>0</v>
      </c>
      <c r="M20" s="41">
        <f>'Cons BS proj'!M34+'Cons BS proj'!M30</f>
        <v>0</v>
      </c>
      <c r="N20" s="41">
        <f>'Cons BS proj'!N34+'Cons BS proj'!N30</f>
        <v>0</v>
      </c>
      <c r="O20" s="41"/>
    </row>
    <row r="21" spans="1:15">
      <c r="A21" s="2" t="s">
        <v>754</v>
      </c>
      <c r="B21" s="41">
        <f>'Cons BS proj'!B35+'Cons BS proj'!B31</f>
        <v>11250000</v>
      </c>
      <c r="C21" s="41">
        <f>'Cons BS proj'!C35+'Cons BS proj'!C31</f>
        <v>15000000</v>
      </c>
      <c r="D21" s="41">
        <f>'Cons BS proj'!D35+'Cons BS proj'!D31</f>
        <v>11250000</v>
      </c>
      <c r="E21" s="41">
        <f>'Cons BS proj'!E35+'Cons BS proj'!E31</f>
        <v>7500000</v>
      </c>
      <c r="F21" s="41">
        <f>'Cons BS proj'!F35+'Cons BS proj'!F31</f>
        <v>3750000</v>
      </c>
      <c r="G21" s="41">
        <f>'Cons BS proj'!G35+'Cons BS proj'!G31</f>
        <v>7050000</v>
      </c>
      <c r="H21" s="41">
        <f>'Cons BS proj'!H35+'Cons BS proj'!H31</f>
        <v>8250000</v>
      </c>
      <c r="I21" s="41">
        <f>'Cons BS proj'!I35+'Cons BS proj'!I31</f>
        <v>8850000</v>
      </c>
      <c r="J21" s="41">
        <f>'Cons BS proj'!J35+'Cons BS proj'!J31</f>
        <v>6450000</v>
      </c>
      <c r="K21" s="41">
        <f>'Cons BS proj'!K35+'Cons BS proj'!K31</f>
        <v>4050000</v>
      </c>
      <c r="L21" s="41">
        <f>'Cons BS proj'!L35+'Cons BS proj'!L31</f>
        <v>2850000</v>
      </c>
      <c r="M21" s="41">
        <f>'Cons BS proj'!M35+'Cons BS proj'!M31</f>
        <v>2250000</v>
      </c>
      <c r="N21" s="41">
        <f>'Cons BS proj'!N35+'Cons BS proj'!N31</f>
        <v>2250000</v>
      </c>
      <c r="O21" s="41"/>
    </row>
    <row r="22" spans="1:15" s="38" customFormat="1">
      <c r="A22" s="38" t="s">
        <v>749</v>
      </c>
      <c r="B22" s="123">
        <f>B23+B24</f>
        <v>46075758.349970311</v>
      </c>
      <c r="C22" s="123">
        <f t="shared" ref="C22:N22" si="6">C23+C24</f>
        <v>58664279.44931908</v>
      </c>
      <c r="D22" s="123">
        <f t="shared" si="6"/>
        <v>70498563.237016574</v>
      </c>
      <c r="E22" s="123">
        <f t="shared" si="6"/>
        <v>72168242.579623044</v>
      </c>
      <c r="F22" s="123">
        <f t="shared" si="6"/>
        <v>74276893.131682903</v>
      </c>
      <c r="G22" s="123">
        <f t="shared" si="6"/>
        <v>86400037.792233571</v>
      </c>
      <c r="H22" s="123">
        <f t="shared" si="6"/>
        <v>105468590.59798148</v>
      </c>
      <c r="I22" s="123">
        <f t="shared" si="6"/>
        <v>130460148.44705752</v>
      </c>
      <c r="J22" s="123">
        <f t="shared" si="6"/>
        <v>157672850.7209152</v>
      </c>
      <c r="K22" s="123">
        <f t="shared" si="6"/>
        <v>187402211.27734929</v>
      </c>
      <c r="L22" s="123">
        <f t="shared" si="6"/>
        <v>221201353.21266511</v>
      </c>
      <c r="M22" s="123">
        <f t="shared" si="6"/>
        <v>258291978.99291667</v>
      </c>
      <c r="N22" s="123">
        <f t="shared" si="6"/>
        <v>299076925.47590536</v>
      </c>
      <c r="O22" s="123"/>
    </row>
    <row r="23" spans="1:15">
      <c r="A23" s="128" t="s">
        <v>750</v>
      </c>
      <c r="B23" s="41">
        <f>'Pr BS proj'!B24+'Pr BS proj'!B27+'Pr BS proj'!B28</f>
        <v>33942782.727246165</v>
      </c>
      <c r="C23" s="41">
        <f>'Pr BS proj'!C24+'Pr BS proj'!C27+'Pr BS proj'!C28</f>
        <v>44296656.224719934</v>
      </c>
      <c r="D23" s="41">
        <f>'Pr BS proj'!D24+'Pr BS proj'!D27+'Pr BS proj'!D28</f>
        <v>55449616.294118218</v>
      </c>
      <c r="E23" s="41">
        <f>'Pr BS proj'!E24+'Pr BS proj'!E27+'Pr BS proj'!E28</f>
        <v>55337604.747924909</v>
      </c>
      <c r="F23" s="41">
        <f>'Pr BS proj'!F24+'Pr BS proj'!F27+'Pr BS proj'!F28</f>
        <v>55720213.480560429</v>
      </c>
      <c r="G23" s="41">
        <f>'Pr BS proj'!G24+'Pr BS proj'!G27+'Pr BS proj'!G28</f>
        <v>65962653.820171118</v>
      </c>
      <c r="H23" s="41">
        <f>'Pr BS proj'!H24+'Pr BS proj'!H27+'Pr BS proj'!H28</f>
        <v>83124794.100553632</v>
      </c>
      <c r="I23" s="41">
        <f>'Pr BS proj'!I24+'Pr BS proj'!I27+'Pr BS proj'!I28</f>
        <v>106197550.7618058</v>
      </c>
      <c r="J23" s="41">
        <f>'Pr BS proj'!J24+'Pr BS proj'!J27+'Pr BS proj'!J28</f>
        <v>131593379.23175055</v>
      </c>
      <c r="K23" s="41">
        <f>'Pr BS proj'!K24+'Pr BS proj'!K27+'Pr BS proj'!K28</f>
        <v>159620768.43237925</v>
      </c>
      <c r="L23" s="41">
        <f>'Pr BS proj'!L24+'Pr BS proj'!L27+'Pr BS proj'!L28</f>
        <v>191846522.38482487</v>
      </c>
      <c r="M23" s="41">
        <f>'Pr BS proj'!M24+'Pr BS proj'!M27+'Pr BS proj'!M28</f>
        <v>227506780.20959005</v>
      </c>
      <c r="N23" s="41">
        <f>'Pr BS proj'!N24+'Pr BS proj'!N27+'Pr BS proj'!N28</f>
        <v>267019625.61840516</v>
      </c>
      <c r="O23" s="41"/>
    </row>
    <row r="24" spans="1:15">
      <c r="A24" s="128" t="s">
        <v>751</v>
      </c>
      <c r="B24" s="41">
        <f>'Tr BS proj'!B24+'Tr BS proj'!B27+'Tr BS proj'!B28</f>
        <v>12132975.622724142</v>
      </c>
      <c r="C24" s="41">
        <f>'Tr BS proj'!C24+'Tr BS proj'!C27+'Tr BS proj'!C28</f>
        <v>14367623.224599142</v>
      </c>
      <c r="D24" s="41">
        <f>'Tr BS proj'!D24+'Tr BS proj'!D27+'Tr BS proj'!D28</f>
        <v>15048946.942898361</v>
      </c>
      <c r="E24" s="41">
        <f>'Tr BS proj'!E24+'Tr BS proj'!E27+'Tr BS proj'!E28</f>
        <v>16830637.831698135</v>
      </c>
      <c r="F24" s="41">
        <f>'Tr BS proj'!F24+'Tr BS proj'!F27+'Tr BS proj'!F28</f>
        <v>18556679.651122481</v>
      </c>
      <c r="G24" s="41">
        <f>'Tr BS proj'!G24+'Tr BS proj'!G27+'Tr BS proj'!G28</f>
        <v>20437383.972062457</v>
      </c>
      <c r="H24" s="41">
        <f>'Tr BS proj'!H24+'Tr BS proj'!H27+'Tr BS proj'!H28</f>
        <v>22343796.497427844</v>
      </c>
      <c r="I24" s="41">
        <f>'Tr BS proj'!I24+'Tr BS proj'!I27+'Tr BS proj'!I28</f>
        <v>24262597.685251717</v>
      </c>
      <c r="J24" s="41">
        <f>'Tr BS proj'!J24+'Tr BS proj'!J27+'Tr BS proj'!J28</f>
        <v>26079471.489164662</v>
      </c>
      <c r="K24" s="41">
        <f>'Tr BS proj'!K24+'Tr BS proj'!K27+'Tr BS proj'!K28</f>
        <v>27781442.844970033</v>
      </c>
      <c r="L24" s="41">
        <f>'Tr BS proj'!L24+'Tr BS proj'!L27+'Tr BS proj'!L28</f>
        <v>29354830.827840235</v>
      </c>
      <c r="M24" s="41">
        <f>'Tr BS proj'!M24+'Tr BS proj'!M27+'Tr BS proj'!M28</f>
        <v>30785198.783326637</v>
      </c>
      <c r="N24" s="41">
        <f>'Tr BS proj'!N24+'Tr BS proj'!N27+'Tr BS proj'!N28</f>
        <v>32057299.85750021</v>
      </c>
      <c r="O24" s="41"/>
    </row>
    <row r="25" spans="1:15" s="1" customFormat="1" ht="15.6">
      <c r="A25" s="1" t="s">
        <v>752</v>
      </c>
      <c r="B25" s="42">
        <f>B22+B19</f>
        <v>57325758.349970311</v>
      </c>
      <c r="C25" s="42">
        <f t="shared" ref="C25:N25" si="7">C22+C19</f>
        <v>83872180.364627525</v>
      </c>
      <c r="D25" s="42">
        <f t="shared" si="7"/>
        <v>89799730.012105614</v>
      </c>
      <c r="E25" s="42">
        <f t="shared" si="7"/>
        <v>84983575.984536201</v>
      </c>
      <c r="F25" s="42">
        <f t="shared" si="7"/>
        <v>81669611.627340123</v>
      </c>
      <c r="G25" s="42">
        <f t="shared" si="7"/>
        <v>95513066.066473097</v>
      </c>
      <c r="H25" s="42">
        <f t="shared" si="7"/>
        <v>115149262.07803664</v>
      </c>
      <c r="I25" s="42">
        <f t="shared" si="7"/>
        <v>139310148.44705752</v>
      </c>
      <c r="J25" s="42">
        <f t="shared" si="7"/>
        <v>164122850.7209152</v>
      </c>
      <c r="K25" s="42">
        <f t="shared" si="7"/>
        <v>191452211.27734929</v>
      </c>
      <c r="L25" s="42">
        <f t="shared" si="7"/>
        <v>224051353.21266511</v>
      </c>
      <c r="M25" s="42">
        <f t="shared" si="7"/>
        <v>260541978.99291667</v>
      </c>
      <c r="N25" s="42">
        <f t="shared" si="7"/>
        <v>301326925.47590536</v>
      </c>
      <c r="O25" s="42"/>
    </row>
    <row r="26" spans="1:15" ht="15.6">
      <c r="A26" s="20" t="s">
        <v>760</v>
      </c>
      <c r="B26" s="42">
        <f>SUM(B27:B30)</f>
        <v>1586705.575409628</v>
      </c>
      <c r="C26" s="42">
        <f t="shared" ref="C26:N26" si="8">SUM(C27:C30)</f>
        <v>4119145.8930034405</v>
      </c>
      <c r="D26" s="42">
        <f t="shared" si="8"/>
        <v>3324660.5886573205</v>
      </c>
      <c r="E26" s="42">
        <f t="shared" si="8"/>
        <v>1279663.6331789149</v>
      </c>
      <c r="F26" s="42">
        <f t="shared" si="8"/>
        <v>945002.38603645959</v>
      </c>
      <c r="G26" s="42">
        <f t="shared" si="8"/>
        <v>2921542.3257213053</v>
      </c>
      <c r="H26" s="42">
        <f t="shared" si="8"/>
        <v>4215617.406446957</v>
      </c>
      <c r="I26" s="42">
        <f t="shared" si="8"/>
        <v>5239263.3361622635</v>
      </c>
      <c r="J26" s="42">
        <f t="shared" si="8"/>
        <v>5423241.3901180923</v>
      </c>
      <c r="K26" s="42">
        <f t="shared" si="8"/>
        <v>5657333.6442029318</v>
      </c>
      <c r="L26" s="42">
        <f t="shared" si="8"/>
        <v>6259360.4172706697</v>
      </c>
      <c r="M26" s="42">
        <f t="shared" si="8"/>
        <v>6769775.9934540279</v>
      </c>
      <c r="N26" s="42">
        <f t="shared" si="8"/>
        <v>7396888.7635350339</v>
      </c>
      <c r="O26" s="41"/>
    </row>
    <row r="27" spans="1:15">
      <c r="A27" s="2" t="s">
        <v>753</v>
      </c>
      <c r="B27" s="41">
        <f>-('Pr P&amp;L proj'!B36+'Tr P&amp;L proj'!B27)</f>
        <v>0</v>
      </c>
      <c r="C27" s="41">
        <f>-('Pr P&amp;L proj'!C36+'Tr P&amp;L proj'!C27)</f>
        <v>510395.04576542246</v>
      </c>
      <c r="D27" s="41">
        <f>-('Pr P&amp;L proj'!D36+'Tr P&amp;L proj'!D27)</f>
        <v>402558.3387544523</v>
      </c>
      <c r="E27" s="41">
        <f>-('Pr P&amp;L proj'!E36+'Tr P&amp;L proj'!E27)</f>
        <v>265766.67024565779</v>
      </c>
      <c r="F27" s="41">
        <f>-('Pr P&amp;L proj'!F36+'Tr P&amp;L proj'!F27)</f>
        <v>182135.92478286088</v>
      </c>
      <c r="G27" s="41">
        <f>-('Pr P&amp;L proj'!G36+'Tr P&amp;L proj'!G27)</f>
        <v>103151.41371197622</v>
      </c>
      <c r="H27" s="41">
        <f>-('Pr P&amp;L proj'!H36+'Tr P&amp;L proj'!H27)</f>
        <v>71533.574002757436</v>
      </c>
      <c r="I27" s="41">
        <f>-('Pr P&amp;L proj'!I36+'Tr P&amp;L proj'!I27)</f>
        <v>0</v>
      </c>
      <c r="J27" s="41">
        <f>-('Pr P&amp;L proj'!J36+'Tr P&amp;L proj'!J27)</f>
        <v>0</v>
      </c>
      <c r="K27" s="41">
        <f>-('Pr P&amp;L proj'!K36+'Tr P&amp;L proj'!K27)</f>
        <v>0</v>
      </c>
      <c r="L27" s="41">
        <f>-('Pr P&amp;L proj'!L36+'Tr P&amp;L proj'!L27)</f>
        <v>0</v>
      </c>
      <c r="M27" s="41">
        <f>-('Pr P&amp;L proj'!M36+'Tr P&amp;L proj'!M27)</f>
        <v>0</v>
      </c>
      <c r="N27" s="41">
        <f>-('Pr P&amp;L proj'!N36+'Tr P&amp;L proj'!N27)</f>
        <v>0</v>
      </c>
      <c r="O27" s="41"/>
    </row>
    <row r="28" spans="1:15">
      <c r="A28" s="2" t="s">
        <v>754</v>
      </c>
      <c r="B28" s="41">
        <f>-'Pr P&amp;L proj'!B34</f>
        <v>720000</v>
      </c>
      <c r="C28" s="41">
        <f>-'Pr P&amp;L proj'!C34</f>
        <v>1020000</v>
      </c>
      <c r="D28" s="41">
        <f>-'Pr P&amp;L proj'!D34</f>
        <v>720000</v>
      </c>
      <c r="E28" s="41">
        <f>-'Pr P&amp;L proj'!E34</f>
        <v>420000</v>
      </c>
      <c r="F28" s="41">
        <f>-'Pr P&amp;L proj'!F34</f>
        <v>119999.99999999999</v>
      </c>
      <c r="G28" s="41">
        <f>-'Pr P&amp;L proj'!G34</f>
        <v>384000</v>
      </c>
      <c r="H28" s="41">
        <f>-'Pr P&amp;L proj'!H34</f>
        <v>480000</v>
      </c>
      <c r="I28" s="41">
        <f>-'Pr P&amp;L proj'!I34</f>
        <v>528000</v>
      </c>
      <c r="J28" s="41">
        <f>-'Pr P&amp;L proj'!J34</f>
        <v>336000</v>
      </c>
      <c r="K28" s="41">
        <f>-'Pr P&amp;L proj'!K34</f>
        <v>144000</v>
      </c>
      <c r="L28" s="41">
        <f>-'Pr P&amp;L proj'!L34</f>
        <v>47999.999999999993</v>
      </c>
      <c r="M28" s="41">
        <f>-'Pr P&amp;L proj'!M34</f>
        <v>0</v>
      </c>
      <c r="N28" s="41">
        <f>-'Pr P&amp;L proj'!N34</f>
        <v>0</v>
      </c>
      <c r="O28" s="41"/>
    </row>
    <row r="29" spans="1:15">
      <c r="A29" s="128" t="s">
        <v>756</v>
      </c>
      <c r="B29" s="41">
        <f>-'Pr P&amp;L proj'!B45</f>
        <v>143621.44918908077</v>
      </c>
      <c r="C29" s="41">
        <f>-'Pr P&amp;L proj'!C45</f>
        <v>1827154.1466130179</v>
      </c>
      <c r="D29" s="41">
        <f>-'Pr P&amp;L proj'!D45</f>
        <v>1968169.4240114619</v>
      </c>
      <c r="E29" s="41">
        <f>-'Pr P&amp;L proj'!E45</f>
        <v>0</v>
      </c>
      <c r="F29" s="41">
        <f>-'Pr P&amp;L proj'!F45</f>
        <v>67519.18811215063</v>
      </c>
      <c r="G29" s="41">
        <f>-'Pr P&amp;L proj'!G45</f>
        <v>1807489.4716960024</v>
      </c>
      <c r="H29" s="41">
        <f>-'Pr P&amp;L proj'!H45</f>
        <v>3028612.9906557375</v>
      </c>
      <c r="I29" s="41">
        <f>-'Pr P&amp;L proj'!I45</f>
        <v>4071662.9402209721</v>
      </c>
      <c r="J29" s="41">
        <f>-'Pr P&amp;L proj'!J45</f>
        <v>4481616.7888137773</v>
      </c>
      <c r="K29" s="41">
        <f>-'Pr P&amp;L proj'!K45</f>
        <v>4946009.858934476</v>
      </c>
      <c r="L29" s="41">
        <f>-'Pr P&amp;L proj'!L45</f>
        <v>5686897.756313934</v>
      </c>
      <c r="M29" s="41">
        <f>-'Pr P&amp;L proj'!M45</f>
        <v>6292986.6749585615</v>
      </c>
      <c r="N29" s="41">
        <f>-'Pr P&amp;L proj'!N45</f>
        <v>6972855.0721438425</v>
      </c>
      <c r="O29" s="41"/>
    </row>
    <row r="30" spans="1:15">
      <c r="A30" s="128" t="s">
        <v>757</v>
      </c>
      <c r="B30" s="41">
        <f>-'Tr P&amp;L proj'!B36</f>
        <v>723084.12622054713</v>
      </c>
      <c r="C30" s="41">
        <f>-'Tr P&amp;L proj'!C36</f>
        <v>761596.70062499994</v>
      </c>
      <c r="D30" s="41">
        <f>-'Tr P&amp;L proj'!D36</f>
        <v>233932.8258914063</v>
      </c>
      <c r="E30" s="41">
        <f>-'Tr P&amp;L proj'!E36</f>
        <v>593896.96293325722</v>
      </c>
      <c r="F30" s="41">
        <f>-'Tr P&amp;L proj'!F36</f>
        <v>575347.27314144815</v>
      </c>
      <c r="G30" s="41">
        <f>-'Tr P&amp;L proj'!G36</f>
        <v>626901.44031332666</v>
      </c>
      <c r="H30" s="41">
        <f>-'Tr P&amp;L proj'!H36</f>
        <v>635470.84178846225</v>
      </c>
      <c r="I30" s="41">
        <f>-'Tr P&amp;L proj'!I36</f>
        <v>639600.39594129077</v>
      </c>
      <c r="J30" s="41">
        <f>-'Tr P&amp;L proj'!J36</f>
        <v>605624.6013043155</v>
      </c>
      <c r="K30" s="41">
        <f>-'Tr P&amp;L proj'!K36</f>
        <v>567323.78526845563</v>
      </c>
      <c r="L30" s="41">
        <f>-'Tr P&amp;L proj'!L36</f>
        <v>524462.66095673537</v>
      </c>
      <c r="M30" s="41">
        <f>-'Tr P&amp;L proj'!M36</f>
        <v>476789.31849546684</v>
      </c>
      <c r="N30" s="41">
        <f>-'Tr P&amp;L proj'!N36</f>
        <v>424033.69139119162</v>
      </c>
      <c r="O30" s="41"/>
    </row>
    <row r="31" spans="1:15">
      <c r="A31" s="20" t="s">
        <v>758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>
      <c r="A32" s="2" t="s">
        <v>753</v>
      </c>
      <c r="B32" s="50">
        <f>(1-Предположения!$B$18)*B27/(B20+0.0001)</f>
        <v>0</v>
      </c>
      <c r="C32" s="50">
        <f>(1-Предположения!$B$18)*C27/(C20+0.0001)</f>
        <v>4.9999999999510186E-2</v>
      </c>
      <c r="D32" s="50">
        <f>(1-Предположения!$B$18)*D27/(D20+0.0001)</f>
        <v>4.9999999999378972E-2</v>
      </c>
      <c r="E32" s="50">
        <f>(1-Предположения!$B$18)*E27/(E20+0.0001)</f>
        <v>4.9999999999059325E-2</v>
      </c>
      <c r="F32" s="50">
        <f>(1-Предположения!$B$18)*F27/(F20+0.0001)</f>
        <v>4.9999999998627406E-2</v>
      </c>
      <c r="G32" s="50">
        <f>(1-Предположения!$B$18)*G27/(G20+0.0001)</f>
        <v>4.9999999997576379E-2</v>
      </c>
      <c r="H32" s="50">
        <f>(1-Предположения!$B$18)*H27/(H20+0.0001)</f>
        <v>4.9999999996505139E-2</v>
      </c>
      <c r="I32" s="50">
        <f>(1-Предположения!$B$18)*I27/(I20+0.0001)</f>
        <v>0</v>
      </c>
      <c r="J32" s="50">
        <f>(1-Предположения!$B$18)*J27/(J20+0.0001)</f>
        <v>0</v>
      </c>
      <c r="K32" s="50">
        <f>(1-Предположения!$B$18)*K27/(K20+0.0001)</f>
        <v>0</v>
      </c>
      <c r="L32" s="50">
        <f>(1-Предположения!$B$18)*L27/(L20+0.0001)</f>
        <v>0</v>
      </c>
      <c r="M32" s="50">
        <f>(1-Предположения!$B$18)*M27/(M20+0.0001)</f>
        <v>0</v>
      </c>
      <c r="N32" s="50">
        <f>(1-Предположения!$B$18)*N27/(N20+0.0001)</f>
        <v>0</v>
      </c>
      <c r="O32" s="41"/>
    </row>
    <row r="33" spans="1:15">
      <c r="A33" s="2" t="s">
        <v>754</v>
      </c>
      <c r="B33" s="50">
        <f>(1-Предположения!$B$18)*B28/(B21+0.0001)</f>
        <v>6.3999999999431109E-2</v>
      </c>
      <c r="C33" s="50">
        <f>(1-Предположения!$B$18)*C28/(C21+0.0001)</f>
        <v>6.7999999999546673E-2</v>
      </c>
      <c r="D33" s="50">
        <f>(1-Предположения!$B$18)*D28/(D21+0.0001)</f>
        <v>6.3999999999431109E-2</v>
      </c>
      <c r="E33" s="50">
        <f>(1-Предположения!$B$18)*E28/(E21+0.0001)</f>
        <v>5.5999999999253335E-2</v>
      </c>
      <c r="F33" s="50">
        <f>(1-Предположения!$B$18)*F28/(F21+0.0001)</f>
        <v>3.1999999999146662E-2</v>
      </c>
      <c r="G33" s="50">
        <f>(1-Предположения!$B$18)*G28/(G21+0.0001)</f>
        <v>5.4468085105610381E-2</v>
      </c>
      <c r="H33" s="50">
        <f>(1-Предположения!$B$18)*H28/(H21+0.0001)</f>
        <v>5.8181818181112947E-2</v>
      </c>
      <c r="I33" s="50">
        <f>(1-Предположения!$B$18)*I28/(I21+0.0001)</f>
        <v>5.9661016948478411E-2</v>
      </c>
      <c r="J33" s="50">
        <f>(1-Предположения!$B$18)*J28/(J21+0.0001)</f>
        <v>5.209302325500631E-2</v>
      </c>
      <c r="K33" s="50">
        <f>(1-Предположения!$B$18)*K28/(K21+0.0001)</f>
        <v>3.555555555467764E-2</v>
      </c>
      <c r="L33" s="50">
        <f>(1-Предположения!$B$18)*L28/(L21+0.0001)</f>
        <v>1.6842105262566943E-2</v>
      </c>
      <c r="M33" s="50">
        <f>(1-Предположения!$B$18)*M28/(M21+0.0001)</f>
        <v>0</v>
      </c>
      <c r="N33" s="50">
        <f>(1-Предположения!$B$18)*N28/(N21+0.0001)</f>
        <v>0</v>
      </c>
      <c r="O33" s="41"/>
    </row>
    <row r="34" spans="1:15">
      <c r="A34" s="128" t="s">
        <v>756</v>
      </c>
      <c r="B34" s="50">
        <f>B29/B23</f>
        <v>4.2312809277653771E-3</v>
      </c>
      <c r="C34" s="50">
        <f t="shared" ref="C34:N34" si="9">C29/C23</f>
        <v>4.1248128015436231E-2</v>
      </c>
      <c r="D34" s="50">
        <f t="shared" si="9"/>
        <v>3.5494734779981413E-2</v>
      </c>
      <c r="E34" s="50">
        <f t="shared" si="9"/>
        <v>0</v>
      </c>
      <c r="F34" s="50">
        <f t="shared" si="9"/>
        <v>1.2117539380158083E-3</v>
      </c>
      <c r="G34" s="50">
        <f t="shared" si="9"/>
        <v>2.7401709407017208E-2</v>
      </c>
      <c r="H34" s="50">
        <f t="shared" si="9"/>
        <v>3.6434532240670732E-2</v>
      </c>
      <c r="I34" s="50">
        <f t="shared" si="9"/>
        <v>3.8340459935403283E-2</v>
      </c>
      <c r="J34" s="50">
        <f t="shared" si="9"/>
        <v>3.4056552198732985E-2</v>
      </c>
      <c r="K34" s="50">
        <f t="shared" si="9"/>
        <v>3.0986004562619136E-2</v>
      </c>
      <c r="L34" s="50">
        <f t="shared" si="9"/>
        <v>2.9642954616120629E-2</v>
      </c>
      <c r="M34" s="50">
        <f t="shared" si="9"/>
        <v>2.7660655516117644E-2</v>
      </c>
      <c r="N34" s="50">
        <f t="shared" si="9"/>
        <v>2.6113642605838545E-2</v>
      </c>
      <c r="O34" s="41"/>
    </row>
    <row r="35" spans="1:15">
      <c r="A35" s="128" t="s">
        <v>757</v>
      </c>
      <c r="B35" s="50">
        <f>B30/B24</f>
        <v>5.9596602573425222E-2</v>
      </c>
      <c r="C35" s="50">
        <f t="shared" ref="C35:N35" si="10">C30/C24</f>
        <v>5.30078419178652E-2</v>
      </c>
      <c r="D35" s="50">
        <f t="shared" si="10"/>
        <v>1.5544797039888552E-2</v>
      </c>
      <c r="E35" s="50">
        <f t="shared" si="10"/>
        <v>3.5286658109577762E-2</v>
      </c>
      <c r="F35" s="50">
        <f t="shared" si="10"/>
        <v>3.1004860996597838E-2</v>
      </c>
      <c r="G35" s="50">
        <f t="shared" si="10"/>
        <v>3.067425073435474E-2</v>
      </c>
      <c r="H35" s="50">
        <f t="shared" si="10"/>
        <v>2.8440593874081151E-2</v>
      </c>
      <c r="I35" s="50">
        <f t="shared" si="10"/>
        <v>2.636157942519398E-2</v>
      </c>
      <c r="J35" s="50">
        <f t="shared" si="10"/>
        <v>2.3222272796284874E-2</v>
      </c>
      <c r="K35" s="50">
        <f t="shared" si="10"/>
        <v>2.042096187855745E-2</v>
      </c>
      <c r="L35" s="50">
        <f t="shared" si="10"/>
        <v>1.7866315225340455E-2</v>
      </c>
      <c r="M35" s="50">
        <f t="shared" si="10"/>
        <v>1.5487615391124174E-2</v>
      </c>
      <c r="N35" s="50">
        <f t="shared" si="10"/>
        <v>1.322736765966219E-2</v>
      </c>
      <c r="O35" s="41"/>
    </row>
    <row r="36" spans="1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>
      <c r="A37" s="20" t="s">
        <v>759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>
      <c r="A38" s="2" t="s">
        <v>753</v>
      </c>
      <c r="B38" s="50">
        <f>B20/B25</f>
        <v>0</v>
      </c>
      <c r="C38" s="50">
        <f t="shared" ref="C38:D38" si="11">C20/C25</f>
        <v>0.12170782816102342</v>
      </c>
      <c r="D38" s="50">
        <f t="shared" si="11"/>
        <v>8.9656915160031034E-2</v>
      </c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>
      <c r="A39" s="2" t="s">
        <v>754</v>
      </c>
      <c r="B39" s="50">
        <f>B21/B25</f>
        <v>0.19624685872133477</v>
      </c>
      <c r="C39" s="50">
        <f t="shared" ref="C39:D39" si="12">C21/C25</f>
        <v>0.17884356809121585</v>
      </c>
      <c r="D39" s="50">
        <f t="shared" si="12"/>
        <v>0.12527877309300844</v>
      </c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>
      <c r="A40" s="128" t="s">
        <v>756</v>
      </c>
      <c r="B40" s="50">
        <f>B22/B25</f>
        <v>0.80375314127866526</v>
      </c>
      <c r="C40" s="50">
        <f t="shared" ref="C40:D40" si="13">C22/C25</f>
        <v>0.69944860374776074</v>
      </c>
      <c r="D40" s="50">
        <f t="shared" si="13"/>
        <v>0.78506431174696056</v>
      </c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 ht="15" thickBot="1">
      <c r="A41" s="128" t="s">
        <v>757</v>
      </c>
      <c r="B41" s="50">
        <f>B23/B25</f>
        <v>0.59210350990958582</v>
      </c>
      <c r="C41" s="50">
        <f t="shared" ref="C41:D41" si="14">C23/C25</f>
        <v>0.52814480358259197</v>
      </c>
      <c r="D41" s="50">
        <f t="shared" si="14"/>
        <v>0.61748087980490851</v>
      </c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 s="36" customFormat="1" ht="47.4" thickBot="1">
      <c r="A42" s="9" t="s">
        <v>764</v>
      </c>
      <c r="B42" s="304">
        <f>SUMPRODUCT(B32:B35,B38:B41)</f>
        <v>5.1248061857789434E-2</v>
      </c>
      <c r="C42" s="304">
        <f t="shared" ref="C42:D42" si="15">SUMPRODUCT(C32:C35,C38:C41)</f>
        <v>7.5093515843766931E-2</v>
      </c>
      <c r="D42" s="311">
        <f t="shared" si="15"/>
        <v>4.9964951719093272E-2</v>
      </c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</row>
    <row r="43" spans="1:15" s="149" customFormat="1" ht="38.4" thickBot="1">
      <c r="A43" s="9" t="s">
        <v>761</v>
      </c>
      <c r="B43" s="311">
        <f>Предположения!B256</f>
        <v>3.5000000000000003E-2</v>
      </c>
      <c r="C43" s="152"/>
      <c r="D43" s="152"/>
      <c r="E43" s="152"/>
      <c r="F43" s="305"/>
      <c r="G43" s="152"/>
      <c r="H43" s="152"/>
      <c r="I43" s="152"/>
      <c r="J43" s="152"/>
      <c r="K43" s="152"/>
      <c r="L43" s="152"/>
      <c r="M43" s="152"/>
      <c r="N43" s="152"/>
      <c r="O43" s="152"/>
    </row>
    <row r="44" spans="1:15" ht="18">
      <c r="A44" s="36" t="s">
        <v>781</v>
      </c>
      <c r="B44" s="41">
        <f>O8</f>
        <v>52598788.346113011</v>
      </c>
      <c r="C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 ht="18">
      <c r="A45" s="36" t="s">
        <v>780</v>
      </c>
      <c r="B45" s="41">
        <f>O13</f>
        <v>55679392.826464482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5" ht="18">
      <c r="A46" s="36" t="s">
        <v>782</v>
      </c>
      <c r="B46" s="50">
        <f>D8/D25</f>
        <v>0.18728160717702233</v>
      </c>
      <c r="C46" s="41"/>
      <c r="D46" s="313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5" ht="18">
      <c r="A47" s="312" t="s">
        <v>779</v>
      </c>
      <c r="B47" s="41">
        <f ca="1">SUM(E16:P16)</f>
        <v>251088221.47633931</v>
      </c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5" ht="18">
      <c r="A48" s="36" t="s">
        <v>783</v>
      </c>
      <c r="B48" s="315">
        <f>1/(D42-B43)</f>
        <v>66.822801621480295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1:15" ht="18">
      <c r="A49" s="36" t="s">
        <v>784</v>
      </c>
      <c r="B49" s="41">
        <f ca="1">O13*N15</f>
        <v>37475159.746583022</v>
      </c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1:15" ht="18">
      <c r="A50" s="36" t="s">
        <v>770</v>
      </c>
      <c r="B50" s="41">
        <f ca="1">B49*B48</f>
        <v>2504195165.4792008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1:15" ht="18">
      <c r="A51" s="36" t="s">
        <v>771</v>
      </c>
      <c r="B51" s="41">
        <f ca="1">(B44*(1-B43/B46)/(D42-B43))*N15</f>
        <v>1923542321.6271322</v>
      </c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1:15" ht="18.600000000000001" thickBot="1">
      <c r="A52" s="36" t="s">
        <v>775</v>
      </c>
      <c r="B52" s="41">
        <f ca="1">B47+B49</f>
        <v>288563381.22292233</v>
      </c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1:15" ht="18.600000000000001" thickBot="1">
      <c r="A53" s="36" t="s">
        <v>774</v>
      </c>
      <c r="B53" s="314">
        <f ca="1">B52-$D$19</f>
        <v>269262214.4478333</v>
      </c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1:15" ht="18">
      <c r="A54" s="36" t="s">
        <v>769</v>
      </c>
      <c r="B54" s="125">
        <f>'Cons P&amp;L proj'!D28</f>
        <v>26459640.319460541</v>
      </c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1:15" ht="18">
      <c r="A55" s="36" t="s">
        <v>776</v>
      </c>
      <c r="B55" s="315">
        <f ca="1">B53/B54</f>
        <v>10.176336911495969</v>
      </c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1:15" ht="18">
      <c r="A56" s="36" t="s">
        <v>777</v>
      </c>
      <c r="B56" s="315">
        <f ca="1">B53/'Cons P&amp;L proj'!D6</f>
        <v>1.6809661039920403</v>
      </c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5" ht="18">
      <c r="A57" s="36" t="s">
        <v>778</v>
      </c>
      <c r="B57" s="315">
        <f ca="1">B53/'Cons P&amp;L proj'!D29</f>
        <v>15.912142245699142</v>
      </c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1:15" ht="18">
      <c r="A58" s="36" t="s">
        <v>788</v>
      </c>
      <c r="B58" s="315">
        <f ca="1">B53/'Cons P&amp;L proj'!D21</f>
        <v>19.183158237921024</v>
      </c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1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1:15" ht="18">
      <c r="A60" s="312" t="s">
        <v>785</v>
      </c>
      <c r="B60" s="41">
        <f ca="1">SUM(E16:I16)</f>
        <v>40603181.244755328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1:15" ht="18.600000000000001" thickBot="1">
      <c r="A61" s="36" t="s">
        <v>787</v>
      </c>
      <c r="B61" s="41">
        <f ca="1">B60+K16</f>
        <v>74324037.414469242</v>
      </c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1:15" ht="18.600000000000001" thickBot="1">
      <c r="A62" s="36" t="s">
        <v>786</v>
      </c>
      <c r="B62" s="314">
        <f ca="1">B61-$D$19</f>
        <v>55022870.639380194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1:15" ht="18">
      <c r="A63" s="36" t="s">
        <v>769</v>
      </c>
      <c r="B63" s="41">
        <f>B54</f>
        <v>26459640.319460541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1:15" ht="18">
      <c r="A64" s="36" t="s">
        <v>776</v>
      </c>
      <c r="B64" s="315">
        <f ca="1">B62/B63</f>
        <v>2.0795018365730376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1:15" ht="18">
      <c r="A65" s="36" t="s">
        <v>777</v>
      </c>
      <c r="B65" s="315">
        <f ca="1">B62/'Cons P&amp;L proj'!D6</f>
        <v>0.34350003649344646</v>
      </c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1:15" ht="18">
      <c r="A66" s="36" t="s">
        <v>778</v>
      </c>
      <c r="B66" s="315">
        <f ca="1">B62/'Cons P&amp;L proj'!D29</f>
        <v>3.2515952755418849</v>
      </c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1:15" ht="18">
      <c r="A67" s="36" t="s">
        <v>788</v>
      </c>
      <c r="B67" s="315">
        <f ca="1">B62/'Cons P&amp;L proj'!D21</f>
        <v>3.9200169111896814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1:15" ht="18">
      <c r="A68" s="36"/>
      <c r="B68" s="315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1:15">
      <c r="A69" s="2" t="s">
        <v>791</v>
      </c>
      <c r="B69" s="316">
        <f ca="1">B70/B53</f>
        <v>2.4794610461426829E-2</v>
      </c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1:15">
      <c r="A70" s="2" t="s">
        <v>789</v>
      </c>
      <c r="B70" s="41">
        <f ca="1">('Pr P&amp;L proj'!D44/B63)*B53</f>
        <v>6676251.7192152021</v>
      </c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1:15">
      <c r="A71" s="2" t="s">
        <v>790</v>
      </c>
      <c r="B71" s="41">
        <f ca="1">('Pr P&amp;L proj'!D44/B63)*B62</f>
        <v>1364270.6439729112</v>
      </c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1:15">
      <c r="B72" s="50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1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1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1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1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1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1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1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1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N68"/>
  <sheetViews>
    <sheetView workbookViewId="0">
      <pane xSplit="1" ySplit="5" topLeftCell="B21" activePane="bottomRight" state="frozen"/>
      <selection pane="topRight" activeCell="B1" sqref="B1"/>
      <selection pane="bottomLeft" activeCell="A5" sqref="A5"/>
      <selection pane="bottomRight" activeCell="E30" sqref="E30"/>
    </sheetView>
  </sheetViews>
  <sheetFormatPr defaultRowHeight="18"/>
  <cols>
    <col min="1" max="1" width="79.44140625" style="49" customWidth="1"/>
    <col min="2" max="15" width="18.77734375" style="2" customWidth="1"/>
    <col min="16" max="16384" width="8.88671875" style="2"/>
  </cols>
  <sheetData>
    <row r="1" spans="1:14" ht="14.4">
      <c r="A1" s="303" t="s">
        <v>740</v>
      </c>
    </row>
    <row r="2" spans="1:14" ht="21">
      <c r="A2" s="92" t="s">
        <v>631</v>
      </c>
    </row>
    <row r="3" spans="1:14" ht="21">
      <c r="A3" s="92" t="s">
        <v>550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6">
      <c r="A7" s="1" t="s">
        <v>446</v>
      </c>
      <c r="B7" s="42">
        <f>'Pr P&amp;L proj'!B6</f>
        <v>54998637.5</v>
      </c>
      <c r="C7" s="42">
        <f>'Pr P&amp;L proj'!C6</f>
        <v>96965000</v>
      </c>
      <c r="D7" s="42">
        <f>'Pr P&amp;L proj'!D6</f>
        <v>94724000</v>
      </c>
      <c r="E7" s="42">
        <f>E8+E9</f>
        <v>84356415</v>
      </c>
      <c r="F7" s="42">
        <f t="shared" ref="F7:N7" si="0">F8+F9</f>
        <v>86696116.650000006</v>
      </c>
      <c r="G7" s="42">
        <f t="shared" si="0"/>
        <v>108422625.11973751</v>
      </c>
      <c r="H7" s="42">
        <f t="shared" si="0"/>
        <v>121818400.40847263</v>
      </c>
      <c r="I7" s="42">
        <f t="shared" si="0"/>
        <v>136479109.26686347</v>
      </c>
      <c r="J7" s="42">
        <f t="shared" si="0"/>
        <v>141506712.37845924</v>
      </c>
      <c r="K7" s="42">
        <f t="shared" si="0"/>
        <v>146720314.97045109</v>
      </c>
      <c r="L7" s="42">
        <f t="shared" si="0"/>
        <v>152126828.35951245</v>
      </c>
      <c r="M7" s="42">
        <f t="shared" si="0"/>
        <v>157733421.81179482</v>
      </c>
      <c r="N7" s="42">
        <f t="shared" si="0"/>
        <v>163547532.21329504</v>
      </c>
    </row>
    <row r="8" spans="1:14" s="47" customFormat="1" ht="14.4">
      <c r="A8" s="47" t="s">
        <v>605</v>
      </c>
      <c r="B8" s="125">
        <f>'Pr P&amp;L proj'!B7</f>
        <v>33736137.5</v>
      </c>
      <c r="C8" s="125">
        <f>'Pr P&amp;L proj'!C7</f>
        <v>65780000</v>
      </c>
      <c r="D8" s="125">
        <f>'Pr P&amp;L proj'!D7</f>
        <v>57239000</v>
      </c>
      <c r="E8" s="125">
        <f>'Pr P&amp;L proj'!E7</f>
        <v>53725815</v>
      </c>
      <c r="F8" s="125">
        <f>'Pr P&amp;L proj'!F7</f>
        <v>54840292.649999991</v>
      </c>
      <c r="G8" s="125">
        <f>'Pr P&amp;L proj'!G7</f>
        <v>68666556.767737493</v>
      </c>
      <c r="H8" s="125">
        <f>'Pr P&amp;L proj'!H7</f>
        <v>77026563.398552611</v>
      </c>
      <c r="I8" s="125">
        <f>'Pr P&amp;L proj'!I7</f>
        <v>86312251.815753043</v>
      </c>
      <c r="J8" s="125">
        <f>'Pr P&amp;L proj'!J7</f>
        <v>89333180.629304409</v>
      </c>
      <c r="K8" s="125">
        <f>'Pr P&amp;L proj'!K7</f>
        <v>92459841.951330066</v>
      </c>
      <c r="L8" s="125">
        <f>'Pr P&amp;L proj'!L7</f>
        <v>95695936.419626594</v>
      </c>
      <c r="M8" s="125">
        <f>'Pr P&amp;L proj'!M7</f>
        <v>99045294.194313511</v>
      </c>
      <c r="N8" s="125">
        <f>'Pr P&amp;L proj'!N7</f>
        <v>102511879.49111448</v>
      </c>
    </row>
    <row r="9" spans="1:14" s="47" customFormat="1" ht="14.4">
      <c r="A9" s="47" t="s">
        <v>606</v>
      </c>
      <c r="B9" s="125">
        <f>'Pr P&amp;L proj'!B8</f>
        <v>21262500.000000004</v>
      </c>
      <c r="C9" s="125">
        <f>'Pr P&amp;L proj'!C8</f>
        <v>31185000</v>
      </c>
      <c r="D9" s="125">
        <f>'Pr P&amp;L proj'!D8</f>
        <v>37485000</v>
      </c>
      <c r="E9" s="125">
        <f>'Pr P&amp;L proj'!E8</f>
        <v>30630600</v>
      </c>
      <c r="F9" s="125">
        <f>'Pr P&amp;L proj'!F8</f>
        <v>31855824.000000007</v>
      </c>
      <c r="G9" s="125">
        <f>'Pr P&amp;L proj'!G8</f>
        <v>39756068.352000013</v>
      </c>
      <c r="H9" s="125">
        <f>'Pr P&amp;L proj'!H8</f>
        <v>44791837.009920008</v>
      </c>
      <c r="I9" s="125">
        <f>'Pr P&amp;L proj'!I8</f>
        <v>50166857.451110415</v>
      </c>
      <c r="J9" s="125">
        <f>'Pr P&amp;L proj'!J8</f>
        <v>52173531.749154828</v>
      </c>
      <c r="K9" s="125">
        <f>'Pr P&amp;L proj'!K8</f>
        <v>54260473.019121021</v>
      </c>
      <c r="L9" s="125">
        <f>'Pr P&amp;L proj'!L8</f>
        <v>56430891.93988587</v>
      </c>
      <c r="M9" s="125">
        <f>'Pr P&amp;L proj'!M8</f>
        <v>58688127.617481314</v>
      </c>
      <c r="N9" s="125">
        <f>'Pr P&amp;L proj'!N8</f>
        <v>61035652.72218056</v>
      </c>
    </row>
    <row r="10" spans="1:14" s="1" customFormat="1" ht="15.6">
      <c r="A10" s="1" t="s">
        <v>665</v>
      </c>
      <c r="B10" s="42">
        <f>SUM(B11:B24)</f>
        <v>-48721320.396783248</v>
      </c>
      <c r="C10" s="42">
        <f t="shared" ref="C10:N10" si="1">SUM(C11:C24)</f>
        <v>-73785845.667576656</v>
      </c>
      <c r="D10" s="42">
        <f t="shared" si="1"/>
        <v>-71744155.427957177</v>
      </c>
      <c r="E10" s="42">
        <f t="shared" si="1"/>
        <v>-73491098.605694234</v>
      </c>
      <c r="F10" s="42">
        <f t="shared" si="1"/>
        <v>-76144778.630567715</v>
      </c>
      <c r="G10" s="42">
        <f t="shared" si="1"/>
        <v>-87111962.386284381</v>
      </c>
      <c r="H10" s="42">
        <f t="shared" si="1"/>
        <v>-94270895.864181966</v>
      </c>
      <c r="I10" s="42">
        <f t="shared" si="1"/>
        <v>-101302187.03160523</v>
      </c>
      <c r="J10" s="42">
        <f t="shared" si="1"/>
        <v>-104134339.4955925</v>
      </c>
      <c r="K10" s="42">
        <f t="shared" si="1"/>
        <v>-106840445.25307043</v>
      </c>
      <c r="L10" s="42">
        <f t="shared" si="1"/>
        <v>-109674062.22958593</v>
      </c>
      <c r="M10" s="42">
        <f t="shared" si="1"/>
        <v>-112221974.9298097</v>
      </c>
      <c r="N10" s="42">
        <f t="shared" si="1"/>
        <v>-114710602.23136383</v>
      </c>
    </row>
    <row r="11" spans="1:14" s="47" customFormat="1" ht="14.4">
      <c r="A11" s="47" t="s">
        <v>445</v>
      </c>
      <c r="B11" s="125">
        <f>'Pr P&amp;L proj'!B10</f>
        <v>-23654762.300984766</v>
      </c>
      <c r="C11" s="125">
        <f>'Pr P&amp;L proj'!C10</f>
        <v>-31949784</v>
      </c>
      <c r="D11" s="125">
        <f>'Pr P&amp;L proj'!D10</f>
        <v>-34119371</v>
      </c>
      <c r="E11" s="125">
        <f>'Pr P&amp;L proj'!E10</f>
        <v>-36272411.236219995</v>
      </c>
      <c r="F11" s="125">
        <f>'Pr P&amp;L proj'!F10</f>
        <v>-38480711.799495287</v>
      </c>
      <c r="G11" s="125">
        <f>'Pr P&amp;L proj'!G10</f>
        <v>-40739455.817053385</v>
      </c>
      <c r="H11" s="125">
        <f>'Pr P&amp;L proj'!H10</f>
        <v>-43044705.428911462</v>
      </c>
      <c r="I11" s="125">
        <f>'Pr P&amp;L proj'!I10</f>
        <v>-45393790.041351408</v>
      </c>
      <c r="J11" s="125">
        <f>'Pr P&amp;L proj'!J10</f>
        <v>-47785722.594303757</v>
      </c>
      <c r="K11" s="125">
        <f>'Pr P&amp;L proj'!K10</f>
        <v>-50221638.457120448</v>
      </c>
      <c r="L11" s="125">
        <f>'Pr P&amp;L proj'!L10</f>
        <v>-52705251.320644297</v>
      </c>
      <c r="M11" s="125">
        <f>'Pr P&amp;L proj'!M10</f>
        <v>-55243320.56570328</v>
      </c>
      <c r="N11" s="125">
        <f>'Pr P&amp;L proj'!N10</f>
        <v>-57846125.102610141</v>
      </c>
    </row>
    <row r="12" spans="1:14" s="47" customFormat="1" ht="14.4">
      <c r="A12" s="47" t="s">
        <v>383</v>
      </c>
      <c r="B12" s="125">
        <f>'Pr P&amp;L proj'!B16</f>
        <v>-4356386.4477792857</v>
      </c>
      <c r="C12" s="125">
        <f>'Pr P&amp;L proj'!C16</f>
        <v>-6709653.2716322439</v>
      </c>
      <c r="D12" s="125">
        <f>'Pr P&amp;L proj'!D16</f>
        <v>-6279910.0845694551</v>
      </c>
      <c r="E12" s="125">
        <f>'Pr P&amp;L proj'!E16</f>
        <v>-5965680.0803378252</v>
      </c>
      <c r="F12" s="125">
        <f>'Pr P&amp;L proj'!F16</f>
        <v>-5601271.6288285153</v>
      </c>
      <c r="G12" s="125">
        <f>'Pr P&amp;L proj'!G16</f>
        <v>-7267316.2351084882</v>
      </c>
      <c r="H12" s="125">
        <f>'Pr P&amp;L proj'!H16</f>
        <v>-7899804.5759587763</v>
      </c>
      <c r="I12" s="125">
        <f>'Pr P&amp;L proj'!I16</f>
        <v>-8508268.4882818144</v>
      </c>
      <c r="J12" s="125">
        <f>'Pr P&amp;L proj'!J16</f>
        <v>-8015222.5898407251</v>
      </c>
      <c r="K12" s="125">
        <f>'Pr P&amp;L proj'!K16</f>
        <v>-7480874.417184677</v>
      </c>
      <c r="L12" s="125">
        <f>'Pr P&amp;L proj'!L16</f>
        <v>-6912805.2433415959</v>
      </c>
      <c r="M12" s="125">
        <f>'Pr P&amp;L proj'!M16</f>
        <v>-6319099.042457141</v>
      </c>
      <c r="N12" s="125">
        <f>'Pr P&amp;L proj'!N16</f>
        <v>-5708150.5508927172</v>
      </c>
    </row>
    <row r="13" spans="1:14" s="47" customFormat="1" ht="14.4">
      <c r="A13" s="47" t="s">
        <v>384</v>
      </c>
      <c r="B13" s="125">
        <f>'Pr P&amp;L proj'!B17</f>
        <v>-2856583.3333333302</v>
      </c>
      <c r="C13" s="125">
        <f>'Pr P&amp;L proj'!C17</f>
        <v>-3909778</v>
      </c>
      <c r="D13" s="125">
        <f>'Pr P&amp;L proj'!D17</f>
        <v>-4302756</v>
      </c>
      <c r="E13" s="125">
        <f>'Pr P&amp;L proj'!E17</f>
        <v>-4560921.3600000003</v>
      </c>
      <c r="F13" s="125">
        <f>'Pr P&amp;L proj'!F17</f>
        <v>-4811772.0348000005</v>
      </c>
      <c r="G13" s="125">
        <f>'Pr P&amp;L proj'!G17</f>
        <v>-5052360.6365400003</v>
      </c>
      <c r="H13" s="125">
        <f>'Pr P&amp;L proj'!H17</f>
        <v>-5279716.8651842996</v>
      </c>
      <c r="I13" s="125">
        <f>'Pr P&amp;L proj'!I17</f>
        <v>-5490905.5397916716</v>
      </c>
      <c r="J13" s="125">
        <f>'Pr P&amp;L proj'!J17</f>
        <v>-5683087.2336843796</v>
      </c>
      <c r="K13" s="125">
        <f>'Pr P&amp;L proj'!K17</f>
        <v>-5853579.8506949116</v>
      </c>
      <c r="L13" s="125">
        <f>'Pr P&amp;L proj'!L17</f>
        <v>-5999919.3469622834</v>
      </c>
      <c r="M13" s="125">
        <f>'Pr P&amp;L proj'!M17</f>
        <v>-6119917.7339015296</v>
      </c>
      <c r="N13" s="125">
        <f>'Pr P&amp;L proj'!N17</f>
        <v>-6211716.4999100529</v>
      </c>
    </row>
    <row r="14" spans="1:14" s="47" customFormat="1" ht="14.4">
      <c r="A14" s="47" t="s">
        <v>385</v>
      </c>
      <c r="B14" s="125">
        <f>'Pr P&amp;L proj'!B18</f>
        <v>-856974.99999999907</v>
      </c>
      <c r="C14" s="125">
        <f>'Pr P&amp;L proj'!C18</f>
        <v>-1172933.3999999999</v>
      </c>
      <c r="D14" s="125">
        <f>'Pr P&amp;L proj'!D18</f>
        <v>-1290826.8</v>
      </c>
      <c r="E14" s="125">
        <f>'Pr P&amp;L proj'!E18</f>
        <v>-1368276.4080000001</v>
      </c>
      <c r="F14" s="125">
        <f>'Pr P&amp;L proj'!F18</f>
        <v>-1443531.6104400002</v>
      </c>
      <c r="G14" s="125">
        <f>'Pr P&amp;L proj'!G18</f>
        <v>-1515708.1909620001</v>
      </c>
      <c r="H14" s="125">
        <f>'Pr P&amp;L proj'!H18</f>
        <v>-1583915.0595552898</v>
      </c>
      <c r="I14" s="125">
        <f>'Pr P&amp;L proj'!I18</f>
        <v>-1647271.6619375015</v>
      </c>
      <c r="J14" s="125">
        <f>'Pr P&amp;L proj'!J18</f>
        <v>-1704926.1701053139</v>
      </c>
      <c r="K14" s="125">
        <f>'Pr P&amp;L proj'!K18</f>
        <v>-1756073.9552084734</v>
      </c>
      <c r="L14" s="125">
        <f>'Pr P&amp;L proj'!L18</f>
        <v>-1799975.804088685</v>
      </c>
      <c r="M14" s="125">
        <f>'Pr P&amp;L proj'!M18</f>
        <v>-1835975.3201704589</v>
      </c>
      <c r="N14" s="125">
        <f>'Pr P&amp;L proj'!N18</f>
        <v>-1863514.9499730158</v>
      </c>
    </row>
    <row r="15" spans="1:14" s="47" customFormat="1" ht="14.4">
      <c r="A15" s="47" t="s">
        <v>386</v>
      </c>
      <c r="B15" s="125">
        <f>'Pr P&amp;L proj'!B19</f>
        <v>-1140833.3333333333</v>
      </c>
      <c r="C15" s="125">
        <f>'Pr P&amp;L proj'!C19</f>
        <v>-1521123</v>
      </c>
      <c r="D15" s="125">
        <f>'Pr P&amp;L proj'!D19</f>
        <v>-1672565</v>
      </c>
      <c r="E15" s="125">
        <f>'Pr P&amp;L proj'!E19</f>
        <v>-1772918.9000000001</v>
      </c>
      <c r="F15" s="125">
        <f>'Pr P&amp;L proj'!F19</f>
        <v>-1870429.4395000001</v>
      </c>
      <c r="G15" s="125">
        <f>'Pr P&amp;L proj'!G19</f>
        <v>-1963950.9114750002</v>
      </c>
      <c r="H15" s="125">
        <f>'Pr P&amp;L proj'!H19</f>
        <v>-2052328.7024913752</v>
      </c>
      <c r="I15" s="125">
        <f>'Pr P&amp;L proj'!I19</f>
        <v>-2134421.8505910304</v>
      </c>
      <c r="J15" s="125">
        <f>'Pr P&amp;L proj'!J19</f>
        <v>-2209126.6153617161</v>
      </c>
      <c r="K15" s="125">
        <f>'Pr P&amp;L proj'!K19</f>
        <v>-2275400.4138225676</v>
      </c>
      <c r="L15" s="125">
        <f>'Pr P&amp;L proj'!L19</f>
        <v>-2332285.4241681313</v>
      </c>
      <c r="M15" s="125">
        <f>'Pr P&amp;L proj'!M19</f>
        <v>-2378931.1326514939</v>
      </c>
      <c r="N15" s="125">
        <f>'Pr P&amp;L proj'!N19</f>
        <v>-2414615.0996412667</v>
      </c>
    </row>
    <row r="16" spans="1:14" s="47" customFormat="1" ht="14.4">
      <c r="A16" s="47" t="s">
        <v>387</v>
      </c>
      <c r="B16" s="125">
        <f>'Pr P&amp;L proj'!B20</f>
        <v>-2085555.5555555555</v>
      </c>
      <c r="C16" s="125">
        <f>'Pr P&amp;L proj'!C20</f>
        <v>-2780741</v>
      </c>
      <c r="D16" s="125">
        <f>'Pr P&amp;L proj'!D20</f>
        <v>-2431876</v>
      </c>
      <c r="E16" s="125">
        <f>'Pr P&amp;L proj'!E20</f>
        <v>-2577788.56</v>
      </c>
      <c r="F16" s="125">
        <f>'Pr P&amp;L proj'!F20</f>
        <v>-2719566.9307999997</v>
      </c>
      <c r="G16" s="125">
        <f>'Pr P&amp;L proj'!G20</f>
        <v>-2855545.27734</v>
      </c>
      <c r="H16" s="125">
        <f>'Pr P&amp;L proj'!H20</f>
        <v>-2984044.8148202999</v>
      </c>
      <c r="I16" s="125">
        <f>'Pr P&amp;L proj'!I20</f>
        <v>-3103406.6074131122</v>
      </c>
      <c r="J16" s="125">
        <f>'Pr P&amp;L proj'!J20</f>
        <v>-3212025.8386725709</v>
      </c>
      <c r="K16" s="125">
        <f>'Pr P&amp;L proj'!K20</f>
        <v>-3308386.613832748</v>
      </c>
      <c r="L16" s="125">
        <f>'Pr P&amp;L proj'!L20</f>
        <v>-3391096.2791785663</v>
      </c>
      <c r="M16" s="125">
        <f>'Pr P&amp;L proj'!M20</f>
        <v>-3458918.2047621375</v>
      </c>
      <c r="N16" s="125">
        <f>'Pr P&amp;L proj'!N20</f>
        <v>-3510801.97783357</v>
      </c>
    </row>
    <row r="17" spans="1:14" s="47" customFormat="1" ht="14.4">
      <c r="A17" s="47" t="s">
        <v>607</v>
      </c>
      <c r="B17" s="125">
        <f>'Pr P&amp;L proj'!B21+'Pr P&amp;L proj'!B40</f>
        <v>-2400643.2891078931</v>
      </c>
      <c r="C17" s="125">
        <f>'Pr P&amp;L proj'!C21+'Pr P&amp;L proj'!C40</f>
        <v>-3460569.124502365</v>
      </c>
      <c r="D17" s="125">
        <f>'Pr P&amp;L proj'!D21+'Pr P&amp;L proj'!D40</f>
        <v>-3245045.2056912086</v>
      </c>
      <c r="E17" s="125">
        <f>'Pr P&amp;L proj'!E21+'Pr P&amp;L proj'!E40</f>
        <v>-1886356.477180867</v>
      </c>
      <c r="F17" s="125">
        <f>'Pr P&amp;L proj'!F21+'Pr P&amp;L proj'!F40</f>
        <v>-1789442.9686372506</v>
      </c>
      <c r="G17" s="125">
        <f>'Pr P&amp;L proj'!G21+'Pr P&amp;L proj'!G40</f>
        <v>-2193468.8440276524</v>
      </c>
      <c r="H17" s="125">
        <f>'Pr P&amp;L proj'!H21+'Pr P&amp;L proj'!H40</f>
        <v>-2369254.0915909465</v>
      </c>
      <c r="I17" s="125">
        <f>'Pr P&amp;L proj'!I21+'Pr P&amp;L proj'!I40</f>
        <v>-2524462.3353642817</v>
      </c>
      <c r="J17" s="125">
        <f>'Pr P&amp;L proj'!J21+'Pr P&amp;L proj'!J40</f>
        <v>-2437780.1325318348</v>
      </c>
      <c r="K17" s="125">
        <f>'Pr P&amp;L proj'!K21+'Pr P&amp;L proj'!K40</f>
        <v>-2347172.6262951558</v>
      </c>
      <c r="L17" s="125">
        <f>'Pr P&amp;L proj'!L21+'Pr P&amp;L proj'!L40</f>
        <v>-2278982.2201507781</v>
      </c>
      <c r="M17" s="125">
        <f>'Pr P&amp;L proj'!M21+'Pr P&amp;L proj'!M40</f>
        <v>-2220026.2007094179</v>
      </c>
      <c r="N17" s="125">
        <f>'Pr P&amp;L proj'!N21+'Pr P&amp;L proj'!N40</f>
        <v>-2170396.1100615901</v>
      </c>
    </row>
    <row r="18" spans="1:14" s="47" customFormat="1" ht="14.4">
      <c r="A18" s="47" t="s">
        <v>390</v>
      </c>
      <c r="B18" s="125">
        <f>'Pr P&amp;L proj'!B25</f>
        <v>-94000</v>
      </c>
      <c r="C18" s="125">
        <f>'Pr P&amp;L proj'!C25</f>
        <v>-347000</v>
      </c>
      <c r="D18" s="125">
        <f>'Pr P&amp;L proj'!D25</f>
        <v>-276000</v>
      </c>
      <c r="E18" s="125">
        <f>'Pr P&amp;L proj'!E25</f>
        <v>-245182.73460298555</v>
      </c>
      <c r="F18" s="125">
        <f>'Pr P&amp;L proj'!F25</f>
        <v>-251983.10003698507</v>
      </c>
      <c r="G18" s="125">
        <f>'Pr P&amp;L proj'!G25</f>
        <v>-315131.40665937017</v>
      </c>
      <c r="H18" s="125">
        <f>'Pr P&amp;L proj'!H25</f>
        <v>-354066.35686344386</v>
      </c>
      <c r="I18" s="125">
        <f>'Pr P&amp;L proj'!I25</f>
        <v>-396677.84869982029</v>
      </c>
      <c r="J18" s="125">
        <f>'Pr P&amp;L proj'!J25</f>
        <v>-411290.62568186171</v>
      </c>
      <c r="K18" s="125">
        <f>'Pr P&amp;L proj'!K25</f>
        <v>-426444.01194937644</v>
      </c>
      <c r="L18" s="125">
        <f>'Pr P&amp;L proj'!L25</f>
        <v>-442158.09531100007</v>
      </c>
      <c r="M18" s="125">
        <f>'Pr P&amp;L proj'!M25</f>
        <v>-458453.71330801648</v>
      </c>
      <c r="N18" s="125">
        <f>'Pr P&amp;L proj'!N25</f>
        <v>-475352.48132137366</v>
      </c>
    </row>
    <row r="19" spans="1:14" s="47" customFormat="1" ht="14.4">
      <c r="A19" s="47" t="s">
        <v>392</v>
      </c>
      <c r="B19" s="125">
        <f>'Pr P&amp;L proj'!B27</f>
        <v>-510756</v>
      </c>
      <c r="C19" s="125">
        <f>'Pr P&amp;L proj'!C27</f>
        <v>-965342</v>
      </c>
      <c r="D19" s="125">
        <f>'Pr P&amp;L proj'!D27</f>
        <v>-1051276</v>
      </c>
      <c r="E19" s="125">
        <f>'Pr P&amp;L proj'!E27</f>
        <v>-1081895.6893203885</v>
      </c>
      <c r="F19" s="125">
        <f>'Pr P&amp;L proj'!F27</f>
        <v>-1108155.2934301065</v>
      </c>
      <c r="G19" s="125">
        <f>'Pr P&amp;L proj'!G27</f>
        <v>-1129672.8719433125</v>
      </c>
      <c r="H19" s="125">
        <f>'Pr P&amp;L proj'!H27</f>
        <v>-1146124.4186220984</v>
      </c>
      <c r="I19" s="125">
        <f>'Pr P&amp;L proj'!I27</f>
        <v>-1157251.8401621189</v>
      </c>
      <c r="J19" s="125">
        <f>'Pr P&amp;L proj'!J27</f>
        <v>-1162869.5675415464</v>
      </c>
      <c r="K19" s="125">
        <f>'Pr P&amp;L proj'!K27</f>
        <v>-1162869.5675415464</v>
      </c>
      <c r="L19" s="125">
        <f>'Pr P&amp;L proj'!L27</f>
        <v>-1157224.5696408593</v>
      </c>
      <c r="M19" s="125">
        <f>'Pr P&amp;L proj'!M27</f>
        <v>-1145989.379644346</v>
      </c>
      <c r="N19" s="125">
        <f>'Pr P&amp;L proj'!N27</f>
        <v>-1129300.2139213702</v>
      </c>
    </row>
    <row r="20" spans="1:14" s="47" customFormat="1" ht="14.4">
      <c r="A20" s="47" t="s">
        <v>448</v>
      </c>
      <c r="B20" s="125">
        <f>'Pr P&amp;L proj'!B28</f>
        <v>-10206850</v>
      </c>
      <c r="C20" s="125">
        <f>'Pr P&amp;L proj'!C28</f>
        <v>-18953800</v>
      </c>
      <c r="D20" s="125">
        <f>'Pr P&amp;L proj'!D28</f>
        <v>-14684600</v>
      </c>
      <c r="E20" s="125">
        <f>'Pr P&amp;L proj'!E28</f>
        <v>-17383331.067961164</v>
      </c>
      <c r="F20" s="125">
        <f>'Pr P&amp;L proj'!F28</f>
        <v>-17565447.690640021</v>
      </c>
      <c r="G20" s="125">
        <f>'Pr P&amp;L proj'!G28</f>
        <v>-21658954.974160977</v>
      </c>
      <c r="H20" s="125">
        <f>'Pr P&amp;L proj'!H28</f>
        <v>-23815909.100390229</v>
      </c>
      <c r="I20" s="125">
        <f>'Pr P&amp;L proj'!I28</f>
        <v>-26031759.707680356</v>
      </c>
      <c r="J20" s="125">
        <f>'Pr P&amp;L proj'!J28</f>
        <v>-26158127.473251615</v>
      </c>
      <c r="K20" s="125">
        <f>'Pr P&amp;L proj'!K28</f>
        <v>-26158127.473251615</v>
      </c>
      <c r="L20" s="125">
        <f>'Pr P&amp;L proj'!L28</f>
        <v>-26031146.271925144</v>
      </c>
      <c r="M20" s="125">
        <f>'Pr P&amp;L proj'!M28</f>
        <v>-25778416.69646956</v>
      </c>
      <c r="N20" s="125">
        <f>'Pr P&amp;L proj'!N28</f>
        <v>-25403002.861084085</v>
      </c>
    </row>
    <row r="21" spans="1:14" s="47" customFormat="1" ht="14.4">
      <c r="A21" s="47" t="s">
        <v>393</v>
      </c>
      <c r="B21" s="125">
        <f>'Pr P&amp;L proj'!B29</f>
        <v>0</v>
      </c>
      <c r="C21" s="125">
        <f>'Pr P&amp;L proj'!C29</f>
        <v>280717.27517098235</v>
      </c>
      <c r="D21" s="125">
        <f>'Pr P&amp;L proj'!D29</f>
        <v>221407.08631494874</v>
      </c>
      <c r="E21" s="125">
        <f>'Pr P&amp;L proj'!E29</f>
        <v>146171.6686351118</v>
      </c>
      <c r="F21" s="125">
        <f>'Pr P&amp;L proj'!F29</f>
        <v>100174.75863057347</v>
      </c>
      <c r="G21" s="125">
        <f>'Pr P&amp;L proj'!G29</f>
        <v>56733.277541586918</v>
      </c>
      <c r="H21" s="125">
        <f>'Pr P&amp;L proj'!H29</f>
        <v>39343.465701516587</v>
      </c>
      <c r="I21" s="125">
        <f>'Pr P&amp;L proj'!I29</f>
        <v>0</v>
      </c>
      <c r="J21" s="125">
        <f>'Pr P&amp;L proj'!J29</f>
        <v>0</v>
      </c>
      <c r="K21" s="125">
        <f>'Pr P&amp;L proj'!K29</f>
        <v>0</v>
      </c>
      <c r="L21" s="125">
        <f>'Pr P&amp;L proj'!L29</f>
        <v>0</v>
      </c>
      <c r="M21" s="125">
        <f>'Pr P&amp;L proj'!M29</f>
        <v>0</v>
      </c>
      <c r="N21" s="125">
        <f>'Pr P&amp;L proj'!N29</f>
        <v>0</v>
      </c>
    </row>
    <row r="22" spans="1:14" s="47" customFormat="1" ht="14.4">
      <c r="A22" s="47" t="s">
        <v>394</v>
      </c>
      <c r="B22" s="125">
        <f>'Pr P&amp;L proj'!B30</f>
        <v>-245673</v>
      </c>
      <c r="C22" s="125">
        <f>'Pr P&amp;L proj'!C30</f>
        <v>-139785</v>
      </c>
      <c r="D22" s="125">
        <f>'Pr P&amp;L proj'!D30</f>
        <v>-356972</v>
      </c>
      <c r="E22" s="125">
        <f>'Pr P&amp;L proj'!E30</f>
        <v>-253878.68570612906</v>
      </c>
      <c r="F22" s="125">
        <f>'Pr P&amp;L proj'!F30</f>
        <v>-260920.24122797602</v>
      </c>
      <c r="G22" s="125">
        <f>'Pr P&amp;L proj'!G30</f>
        <v>-326308.24302108254</v>
      </c>
      <c r="H22" s="125">
        <f>'Pr P&amp;L proj'!H30</f>
        <v>-366624.10784675955</v>
      </c>
      <c r="I22" s="125">
        <f>'Pr P&amp;L proj'!I30</f>
        <v>-410746.91103236756</v>
      </c>
      <c r="J22" s="125">
        <f>'Pr P&amp;L proj'!J30</f>
        <v>-425877.96265688218</v>
      </c>
      <c r="K22" s="125">
        <f>'Pr P&amp;L proj'!K30</f>
        <v>-441568.7974777901</v>
      </c>
      <c r="L22" s="125">
        <f>'Pr P&amp;L proj'!L30</f>
        <v>-457840.21576254634</v>
      </c>
      <c r="M22" s="125">
        <f>'Pr P&amp;L proj'!M30</f>
        <v>-474713.79410219059</v>
      </c>
      <c r="N22" s="125">
        <f>'Pr P&amp;L proj'!N30</f>
        <v>-492211.91451524053</v>
      </c>
    </row>
    <row r="23" spans="1:14" s="47" customFormat="1" ht="14.4">
      <c r="A23" s="47" t="s">
        <v>459</v>
      </c>
      <c r="B23" s="125">
        <f>'Pr P&amp;L proj'!B38/2</f>
        <v>-168680.6875</v>
      </c>
      <c r="C23" s="125">
        <f>'Pr P&amp;L proj'!C38/2</f>
        <v>-328900</v>
      </c>
      <c r="D23" s="125">
        <f>'Pr P&amp;L proj'!D38/2</f>
        <v>-286195</v>
      </c>
      <c r="E23" s="125">
        <f>'Pr P&amp;L proj'!E38/2</f>
        <v>-268629.07500000001</v>
      </c>
      <c r="F23" s="125">
        <f>'Pr P&amp;L proj'!F38/2</f>
        <v>-274201.46324999997</v>
      </c>
      <c r="G23" s="125">
        <f>'Pr P&amp;L proj'!G38/2</f>
        <v>-343332.78383868746</v>
      </c>
      <c r="H23" s="125">
        <f>'Pr P&amp;L proj'!H38/2</f>
        <v>-385132.81699276308</v>
      </c>
      <c r="I23" s="125">
        <f>'Pr P&amp;L proj'!I38/2</f>
        <v>-431561.25907876523</v>
      </c>
      <c r="J23" s="125">
        <f>'Pr P&amp;L proj'!J38/2</f>
        <v>-446665.90314652206</v>
      </c>
      <c r="K23" s="125">
        <f>'Pr P&amp;L proj'!K38/2</f>
        <v>-462299.20975665032</v>
      </c>
      <c r="L23" s="125">
        <f>'Pr P&amp;L proj'!L38/2</f>
        <v>-478479.68209813297</v>
      </c>
      <c r="M23" s="125">
        <f>'Pr P&amp;L proj'!M38/2</f>
        <v>-495226.47097156756</v>
      </c>
      <c r="N23" s="125">
        <f>'Pr P&amp;L proj'!N38/2</f>
        <v>-512559.39745557244</v>
      </c>
    </row>
    <row r="24" spans="1:14" s="47" customFormat="1" ht="14.4">
      <c r="A24" s="47" t="s">
        <v>608</v>
      </c>
      <c r="B24" s="125">
        <f>'Pr P&amp;L proj'!B45</f>
        <v>-143621.44918908077</v>
      </c>
      <c r="C24" s="125">
        <f>'Pr P&amp;L proj'!C45</f>
        <v>-1827154.1466130179</v>
      </c>
      <c r="D24" s="125">
        <f>'Pr P&amp;L proj'!D45</f>
        <v>-1968169.4240114619</v>
      </c>
      <c r="E24" s="125">
        <f>'Pr P&amp;L proj'!E45</f>
        <v>0</v>
      </c>
      <c r="F24" s="125">
        <f>'Pr P&amp;L proj'!F45</f>
        <v>-67519.18811215063</v>
      </c>
      <c r="G24" s="125">
        <f>'Pr P&amp;L proj'!G45</f>
        <v>-1807489.4716960024</v>
      </c>
      <c r="H24" s="125">
        <f>'Pr P&amp;L proj'!H45</f>
        <v>-3028612.9906557375</v>
      </c>
      <c r="I24" s="125">
        <f>'Pr P&amp;L proj'!I45</f>
        <v>-4071662.9402209721</v>
      </c>
      <c r="J24" s="125">
        <f>'Pr P&amp;L proj'!J45</f>
        <v>-4481616.7888137773</v>
      </c>
      <c r="K24" s="125">
        <f>'Pr P&amp;L proj'!K45</f>
        <v>-4946009.858934476</v>
      </c>
      <c r="L24" s="125">
        <f>'Pr P&amp;L proj'!L45</f>
        <v>-5686897.756313934</v>
      </c>
      <c r="M24" s="125">
        <f>'Pr P&amp;L proj'!M45</f>
        <v>-6292986.6749585615</v>
      </c>
      <c r="N24" s="125">
        <f>'Pr P&amp;L proj'!N45</f>
        <v>-6972855.0721438425</v>
      </c>
    </row>
    <row r="25" spans="1:14" s="44" customFormat="1" ht="15.6">
      <c r="A25" s="1" t="s">
        <v>612</v>
      </c>
      <c r="B25" s="42">
        <f>'Pr CF 2012'!B24</f>
        <v>0</v>
      </c>
      <c r="C25" s="42">
        <f>'Pr CF 2012'!C24</f>
        <v>0</v>
      </c>
      <c r="D25" s="42">
        <f>'Pr CF 2012'!D24</f>
        <v>0</v>
      </c>
      <c r="E25" s="42">
        <f>'Pr BS proj'!E51</f>
        <v>-7472.7423662096262</v>
      </c>
      <c r="F25" s="42">
        <f>'Pr BS proj'!F51</f>
        <v>802935.33453176171</v>
      </c>
      <c r="G25" s="42">
        <f>'Pr BS proj'!G51</f>
        <v>5121374.9034354985</v>
      </c>
      <c r="H25" s="42">
        <f>'Pr BS proj'!H51</f>
        <v>3052177.6854266748</v>
      </c>
      <c r="I25" s="42">
        <f>'Pr BS proj'!I51</f>
        <v>3761980.6589613929</v>
      </c>
      <c r="J25" s="42">
        <f>'Pr BS proj'!J51</f>
        <v>1387976.3255781755</v>
      </c>
      <c r="K25" s="42">
        <f>'Pr BS proj'!K51</f>
        <v>1413877.6272424608</v>
      </c>
      <c r="L25" s="42">
        <f>'Pr BS proj'!L51</f>
        <v>1138582.7422401756</v>
      </c>
      <c r="M25" s="42">
        <f>'Pr BS proj'!M51</f>
        <v>1403681.6831600815</v>
      </c>
      <c r="N25" s="42">
        <f>'Pr BS proj'!N51</f>
        <v>1402875.8894084916</v>
      </c>
    </row>
    <row r="26" spans="1:14">
      <c r="A26" s="9" t="s">
        <v>610</v>
      </c>
      <c r="B26" s="54">
        <f>B7+B10-B25</f>
        <v>6277317.1032167524</v>
      </c>
      <c r="C26" s="54">
        <f t="shared" ref="C26:N26" si="2">C7+C10-C25</f>
        <v>23179154.332423344</v>
      </c>
      <c r="D26" s="54">
        <f t="shared" si="2"/>
        <v>22979844.572042823</v>
      </c>
      <c r="E26" s="54">
        <f t="shared" si="2"/>
        <v>10872789.136671975</v>
      </c>
      <c r="F26" s="54">
        <f t="shared" si="2"/>
        <v>9748402.6849005297</v>
      </c>
      <c r="G26" s="54">
        <f t="shared" si="2"/>
        <v>16189287.830017626</v>
      </c>
      <c r="H26" s="54">
        <f t="shared" si="2"/>
        <v>24495326.858863987</v>
      </c>
      <c r="I26" s="54">
        <f t="shared" si="2"/>
        <v>31414941.576296844</v>
      </c>
      <c r="J26" s="54">
        <f t="shared" si="2"/>
        <v>35984396.557288565</v>
      </c>
      <c r="K26" s="54">
        <f t="shared" si="2"/>
        <v>38465992.090138197</v>
      </c>
      <c r="L26" s="54">
        <f t="shared" si="2"/>
        <v>41314183.387686342</v>
      </c>
      <c r="M26" s="54">
        <f t="shared" si="2"/>
        <v>44107765.198825032</v>
      </c>
      <c r="N26" s="54">
        <f t="shared" si="2"/>
        <v>47434054.092522718</v>
      </c>
    </row>
    <row r="27" spans="1:14">
      <c r="A27" s="9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21">
      <c r="A28" s="92" t="s">
        <v>611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s="47" customFormat="1" ht="14.4">
      <c r="A29" s="8" t="s">
        <v>613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</row>
    <row r="30" spans="1:14" s="47" customFormat="1" ht="14.4">
      <c r="A30" s="8" t="s">
        <v>614</v>
      </c>
      <c r="B30" s="125">
        <f>-Предположения!C52</f>
        <v>-2178193.2238896429</v>
      </c>
      <c r="C30" s="125">
        <f>-Предположения!D52</f>
        <v>-2396304.7398686586</v>
      </c>
      <c r="D30" s="125">
        <f>-Предположения!E52</f>
        <v>-2415350.0325267138</v>
      </c>
      <c r="E30" s="125">
        <f>-Предположения!F52</f>
        <v>-2485700.0334740938</v>
      </c>
      <c r="F30" s="125">
        <f>-Предположения!G52</f>
        <v>-2546032.5585584166</v>
      </c>
      <c r="G30" s="125">
        <f>-Предположения!H52</f>
        <v>-2595470.0839673169</v>
      </c>
      <c r="H30" s="125">
        <f>-Предположения!I52</f>
        <v>-2633268.1919862591</v>
      </c>
      <c r="I30" s="125">
        <f>-Предположения!J52</f>
        <v>-2658833.9025880676</v>
      </c>
      <c r="J30" s="125">
        <f>-Предположения!K52</f>
        <v>-2671740.8632802414</v>
      </c>
      <c r="K30" s="125">
        <f>-Предположения!L52</f>
        <v>-2671740.8632802414</v>
      </c>
      <c r="L30" s="125">
        <f>-Предположения!M52</f>
        <v>-2658771.2474390748</v>
      </c>
      <c r="M30" s="125">
        <f>-Предположения!N52</f>
        <v>-2632957.9343571425</v>
      </c>
      <c r="N30" s="125">
        <f>-Предположения!O52</f>
        <v>-2594613.8867694172</v>
      </c>
    </row>
    <row r="31" spans="1:14" s="47" customFormat="1" ht="14.4">
      <c r="A31" s="8" t="s">
        <v>615</v>
      </c>
      <c r="B31" s="125">
        <f>-B47</f>
        <v>0</v>
      </c>
      <c r="C31" s="125">
        <f t="shared" ref="C31:N31" si="3">-C47</f>
        <v>-7500000</v>
      </c>
      <c r="D31" s="125">
        <f t="shared" si="3"/>
        <v>0</v>
      </c>
      <c r="E31" s="125">
        <f t="shared" si="3"/>
        <v>0</v>
      </c>
      <c r="F31" s="125">
        <f t="shared" si="3"/>
        <v>0</v>
      </c>
      <c r="G31" s="125">
        <f t="shared" si="3"/>
        <v>-6000000</v>
      </c>
      <c r="H31" s="125">
        <f t="shared" si="3"/>
        <v>-3000000</v>
      </c>
      <c r="I31" s="125">
        <f t="shared" si="3"/>
        <v>-3000000</v>
      </c>
      <c r="J31" s="125">
        <f t="shared" si="3"/>
        <v>0</v>
      </c>
      <c r="K31" s="125">
        <f t="shared" si="3"/>
        <v>0</v>
      </c>
      <c r="L31" s="125">
        <f t="shared" si="3"/>
        <v>0</v>
      </c>
      <c r="M31" s="125">
        <f t="shared" si="3"/>
        <v>0</v>
      </c>
      <c r="N31" s="125">
        <f t="shared" si="3"/>
        <v>0</v>
      </c>
    </row>
    <row r="32" spans="1:14" s="47" customFormat="1" ht="14.4">
      <c r="A32" s="8" t="s">
        <v>616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</row>
    <row r="33" spans="1:14" s="47" customFormat="1" ht="14.4">
      <c r="A33" s="8" t="s">
        <v>617</v>
      </c>
      <c r="B33" s="125">
        <f>-Предположения!C51</f>
        <v>0</v>
      </c>
      <c r="C33" s="125">
        <f>-Предположения!D51</f>
        <v>-23963047.398686584</v>
      </c>
      <c r="D33" s="125">
        <f>-Предположения!E51</f>
        <v>0</v>
      </c>
      <c r="E33" s="125">
        <f>-Предположения!F51</f>
        <v>0</v>
      </c>
      <c r="F33" s="125">
        <f>-Предположения!G51</f>
        <v>0</v>
      </c>
      <c r="G33" s="125">
        <f>-Предположения!H51</f>
        <v>-20763760.671738543</v>
      </c>
      <c r="H33" s="125">
        <f>-Предположения!I51</f>
        <v>-10533072.767945036</v>
      </c>
      <c r="I33" s="125">
        <f>-Предположения!J51</f>
        <v>-10635335.61035227</v>
      </c>
      <c r="J33" s="125">
        <f>-Предположения!K51</f>
        <v>0</v>
      </c>
      <c r="K33" s="125">
        <f>-Предположения!L51</f>
        <v>0</v>
      </c>
      <c r="L33" s="125">
        <f>-Предположения!M51</f>
        <v>0</v>
      </c>
      <c r="M33" s="125">
        <f>-Предположения!N51</f>
        <v>0</v>
      </c>
      <c r="N33" s="125">
        <f>-Предположения!O51</f>
        <v>0</v>
      </c>
    </row>
    <row r="34" spans="1:14" s="47" customFormat="1" ht="14.4">
      <c r="A34" s="8" t="s">
        <v>618</v>
      </c>
      <c r="B34" s="125">
        <v>0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</row>
    <row r="35" spans="1:14" s="47" customFormat="1" ht="14.4">
      <c r="A35" s="8" t="s">
        <v>619</v>
      </c>
      <c r="B35" s="125">
        <v>0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</row>
    <row r="36" spans="1:14" s="47" customFormat="1" ht="14.4">
      <c r="A36" s="8" t="s">
        <v>651</v>
      </c>
      <c r="B36" s="125">
        <v>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  <c r="M36" s="125">
        <v>0</v>
      </c>
      <c r="N36" s="125">
        <v>0</v>
      </c>
    </row>
    <row r="37" spans="1:14" s="36" customFormat="1">
      <c r="A37" s="9" t="s">
        <v>620</v>
      </c>
      <c r="B37" s="54">
        <f>SUM(B29:B36)</f>
        <v>-2178193.2238896429</v>
      </c>
      <c r="C37" s="54">
        <f t="shared" ref="C37:N37" si="4">SUM(C29:C36)</f>
        <v>-33859352.138555244</v>
      </c>
      <c r="D37" s="54">
        <f t="shared" si="4"/>
        <v>-2415350.0325267138</v>
      </c>
      <c r="E37" s="54">
        <f t="shared" si="4"/>
        <v>-2485700.0334740938</v>
      </c>
      <c r="F37" s="54">
        <f t="shared" si="4"/>
        <v>-2546032.5585584166</v>
      </c>
      <c r="G37" s="54">
        <f t="shared" si="4"/>
        <v>-29359230.75570586</v>
      </c>
      <c r="H37" s="54">
        <f t="shared" si="4"/>
        <v>-16166340.959931295</v>
      </c>
      <c r="I37" s="54">
        <f t="shared" si="4"/>
        <v>-16294169.512940338</v>
      </c>
      <c r="J37" s="54">
        <f t="shared" si="4"/>
        <v>-2671740.8632802414</v>
      </c>
      <c r="K37" s="54">
        <f t="shared" si="4"/>
        <v>-2671740.8632802414</v>
      </c>
      <c r="L37" s="54">
        <f t="shared" si="4"/>
        <v>-2658771.2474390748</v>
      </c>
      <c r="M37" s="54">
        <f t="shared" si="4"/>
        <v>-2632957.9343571425</v>
      </c>
      <c r="N37" s="54">
        <f t="shared" si="4"/>
        <v>-2594613.8867694172</v>
      </c>
    </row>
    <row r="38" spans="1:14" s="44" customFormat="1">
      <c r="A38" s="9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</row>
    <row r="39" spans="1:14" ht="21">
      <c r="A39" s="92" t="s">
        <v>621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</row>
    <row r="40" spans="1:14" s="1" customFormat="1" ht="15.6">
      <c r="A40" s="95" t="s">
        <v>404</v>
      </c>
      <c r="B40" s="42">
        <f>'Pr P&amp;L proj'!B37</f>
        <v>1779374.9999999958</v>
      </c>
      <c r="C40" s="42">
        <f>'Pr P&amp;L proj'!C37</f>
        <v>0</v>
      </c>
      <c r="D40" s="42">
        <f>'Pr P&amp;L proj'!D37</f>
        <v>0</v>
      </c>
      <c r="E40" s="42">
        <f>'Pr P&amp;L proj'!E37</f>
        <v>0</v>
      </c>
      <c r="F40" s="42">
        <f>'Pr P&amp;L proj'!F37</f>
        <v>0</v>
      </c>
      <c r="G40" s="42">
        <f>'Pr P&amp;L proj'!G37</f>
        <v>0</v>
      </c>
      <c r="H40" s="42">
        <f>'Pr P&amp;L proj'!H37</f>
        <v>0</v>
      </c>
      <c r="I40" s="42">
        <f>'Pr P&amp;L proj'!I37</f>
        <v>0</v>
      </c>
      <c r="J40" s="42">
        <f>'Pr P&amp;L proj'!J37</f>
        <v>0</v>
      </c>
      <c r="K40" s="42">
        <f>'Pr P&amp;L proj'!K37</f>
        <v>0</v>
      </c>
      <c r="L40" s="42">
        <f>'Pr P&amp;L proj'!L37</f>
        <v>0</v>
      </c>
      <c r="M40" s="42">
        <f>'Pr P&amp;L proj'!M37</f>
        <v>0</v>
      </c>
      <c r="N40" s="42">
        <f>'Pr P&amp;L proj'!N37</f>
        <v>0</v>
      </c>
    </row>
    <row r="41" spans="1:14" s="1" customFormat="1" ht="15.6">
      <c r="A41" s="1" t="s">
        <v>449</v>
      </c>
      <c r="B41" s="42">
        <f>B42++B44+B43</f>
        <v>-651545.171875</v>
      </c>
      <c r="C41" s="42">
        <f t="shared" ref="C41:N41" si="5">C42++C44+C43</f>
        <v>-1405120.0457654225</v>
      </c>
      <c r="D41" s="42">
        <f t="shared" si="5"/>
        <v>-1286607.0887544523</v>
      </c>
      <c r="E41" s="42">
        <f t="shared" si="5"/>
        <v>-1064173.9389956577</v>
      </c>
      <c r="F41" s="42">
        <f t="shared" si="5"/>
        <v>-981936.29059536092</v>
      </c>
      <c r="G41" s="42">
        <f t="shared" si="5"/>
        <v>-1066484.6096716481</v>
      </c>
      <c r="H41" s="42">
        <f t="shared" si="5"/>
        <v>-1118441.7782509483</v>
      </c>
      <c r="I41" s="42">
        <f t="shared" si="5"/>
        <v>-1131640.3147696913</v>
      </c>
      <c r="J41" s="42">
        <f t="shared" si="5"/>
        <v>-1135416.4757866305</v>
      </c>
      <c r="K41" s="42">
        <f t="shared" si="5"/>
        <v>-1139324.8024391627</v>
      </c>
      <c r="L41" s="42">
        <f t="shared" si="5"/>
        <v>-1143369.9205245334</v>
      </c>
      <c r="M41" s="42">
        <f t="shared" si="5"/>
        <v>-1147556.6177428921</v>
      </c>
      <c r="N41" s="42">
        <f t="shared" si="5"/>
        <v>-1151889.8493638933</v>
      </c>
    </row>
    <row r="42" spans="1:14" s="47" customFormat="1" ht="14.4">
      <c r="A42" s="47" t="s">
        <v>400</v>
      </c>
      <c r="B42" s="125">
        <f>'Pr P&amp;L proj'!B33</f>
        <v>-42170.171875</v>
      </c>
      <c r="C42" s="125">
        <f>'Pr P&amp;L proj'!C33</f>
        <v>-82225</v>
      </c>
      <c r="D42" s="125">
        <f>'Pr P&amp;L proj'!D33</f>
        <v>-71548.75</v>
      </c>
      <c r="E42" s="125">
        <f>'Pr P&amp;L proj'!E33</f>
        <v>-67157.268750000003</v>
      </c>
      <c r="F42" s="125">
        <f>'Pr P&amp;L proj'!F33</f>
        <v>-68550.365812500007</v>
      </c>
      <c r="G42" s="125">
        <f>'Pr P&amp;L proj'!G33</f>
        <v>-85833.195959671866</v>
      </c>
      <c r="H42" s="125">
        <f>'Pr P&amp;L proj'!H33</f>
        <v>-96283.204248190785</v>
      </c>
      <c r="I42" s="125">
        <f>'Pr P&amp;L proj'!I33</f>
        <v>-107890.31476969129</v>
      </c>
      <c r="J42" s="125">
        <f>'Pr P&amp;L proj'!J33</f>
        <v>-111666.4757866305</v>
      </c>
      <c r="K42" s="125">
        <f>'Pr P&amp;L proj'!K33</f>
        <v>-115574.80243916257</v>
      </c>
      <c r="L42" s="125">
        <f>'Pr P&amp;L proj'!L33</f>
        <v>-119619.92052453326</v>
      </c>
      <c r="M42" s="125">
        <f>'Pr P&amp;L proj'!M33</f>
        <v>-123806.6177428919</v>
      </c>
      <c r="N42" s="125">
        <f>'Pr P&amp;L proj'!N33</f>
        <v>-128139.84936389312</v>
      </c>
    </row>
    <row r="43" spans="1:14" s="47" customFormat="1" ht="14.4">
      <c r="A43" s="47" t="s">
        <v>403</v>
      </c>
      <c r="B43" s="125">
        <f>'Pr P&amp;L proj'!B35</f>
        <v>-609375</v>
      </c>
      <c r="C43" s="125">
        <f>'Pr P&amp;L proj'!C35</f>
        <v>-812500</v>
      </c>
      <c r="D43" s="125">
        <f>'Pr P&amp;L proj'!D35</f>
        <v>-812500</v>
      </c>
      <c r="E43" s="125">
        <f>'Pr P&amp;L proj'!E35</f>
        <v>-731250</v>
      </c>
      <c r="F43" s="125">
        <f>'Pr P&amp;L proj'!F35</f>
        <v>-731250</v>
      </c>
      <c r="G43" s="125">
        <f>'Pr P&amp;L proj'!G35</f>
        <v>-877500.00000000012</v>
      </c>
      <c r="H43" s="125">
        <f>'Pr P&amp;L proj'!H35</f>
        <v>-950625.00000000012</v>
      </c>
      <c r="I43" s="125">
        <f>'Pr P&amp;L proj'!I35</f>
        <v>-1023750.0000000001</v>
      </c>
      <c r="J43" s="125">
        <f>'Pr P&amp;L proj'!J35</f>
        <v>-1023750.0000000001</v>
      </c>
      <c r="K43" s="125">
        <f>'Pr P&amp;L proj'!K35</f>
        <v>-1023750.0000000001</v>
      </c>
      <c r="L43" s="125">
        <f>'Pr P&amp;L proj'!L35</f>
        <v>-1023750.0000000001</v>
      </c>
      <c r="M43" s="125">
        <f>'Pr P&amp;L proj'!M35</f>
        <v>-1023750.0000000001</v>
      </c>
      <c r="N43" s="125">
        <f>'Pr P&amp;L proj'!N35</f>
        <v>-1023750.0000000001</v>
      </c>
    </row>
    <row r="44" spans="1:14" s="47" customFormat="1" ht="14.4">
      <c r="A44" s="47" t="s">
        <v>622</v>
      </c>
      <c r="B44" s="125">
        <f>'Pr P&amp;L proj'!B36</f>
        <v>0</v>
      </c>
      <c r="C44" s="125">
        <f>'Pr P&amp;L proj'!C36</f>
        <v>-510395.04576542246</v>
      </c>
      <c r="D44" s="125">
        <f>'Pr P&amp;L proj'!D36</f>
        <v>-402558.3387544523</v>
      </c>
      <c r="E44" s="125">
        <f>'Pr P&amp;L proj'!E36</f>
        <v>-265766.67024565779</v>
      </c>
      <c r="F44" s="125">
        <f>'Pr P&amp;L proj'!F36</f>
        <v>-182135.92478286088</v>
      </c>
      <c r="G44" s="125">
        <f>'Pr P&amp;L proj'!G36</f>
        <v>-103151.41371197622</v>
      </c>
      <c r="H44" s="125">
        <f>'Pr P&amp;L proj'!H36</f>
        <v>-71533.574002757436</v>
      </c>
      <c r="I44" s="125">
        <f>'Pr P&amp;L proj'!I36</f>
        <v>0</v>
      </c>
      <c r="J44" s="125">
        <f>'Pr P&amp;L proj'!J36</f>
        <v>0</v>
      </c>
      <c r="K44" s="125">
        <f>'Pr P&amp;L proj'!K36</f>
        <v>0</v>
      </c>
      <c r="L44" s="125">
        <f>'Pr P&amp;L proj'!L36</f>
        <v>0</v>
      </c>
      <c r="M44" s="125">
        <f>'Pr P&amp;L proj'!M36</f>
        <v>0</v>
      </c>
      <c r="N44" s="125">
        <f>'Pr P&amp;L proj'!N36</f>
        <v>0</v>
      </c>
    </row>
    <row r="45" spans="1:14" s="44" customFormat="1" ht="15.6">
      <c r="A45" s="95" t="s">
        <v>623</v>
      </c>
      <c r="B45" s="43">
        <f>'Pr Fin'!B25+'Pr Fin'!B32+'Pr Fin'!B38</f>
        <v>0</v>
      </c>
      <c r="C45" s="43">
        <f>'Pr Fin'!C25+'Pr Fin'!C32+'Pr Fin'!C38</f>
        <v>10207900.915308449</v>
      </c>
      <c r="D45" s="43">
        <f>'Pr Fin'!D25+'Pr Fin'!D32+'Pr Fin'!D38</f>
        <v>8051166.775089046</v>
      </c>
      <c r="E45" s="43">
        <f>'Pr Fin'!E25+'Pr Fin'!E32+'Pr Fin'!E38</f>
        <v>5315333.4049131563</v>
      </c>
      <c r="F45" s="43">
        <f>'Pr Fin'!F25+'Pr Fin'!F32+'Pr Fin'!F38</f>
        <v>3642718.4956572172</v>
      </c>
      <c r="G45" s="43">
        <f>'Pr Fin'!G25+'Pr Fin'!G32+'Pr Fin'!G38</f>
        <v>2063028.2742395243</v>
      </c>
      <c r="H45" s="43">
        <f>'Pr Fin'!H25+'Pr Fin'!H32+'Pr Fin'!H38</f>
        <v>1430671.4800551487</v>
      </c>
      <c r="I45" s="43">
        <f>'Pr Fin'!I25+'Pr Fin'!I32+'Pr Fin'!I38</f>
        <v>0</v>
      </c>
      <c r="J45" s="43">
        <f>'Pr Fin'!J25+'Pr Fin'!J32+'Pr Fin'!J38</f>
        <v>0</v>
      </c>
      <c r="K45" s="43">
        <f>'Pr Fin'!K25+'Pr Fin'!K32+'Pr Fin'!K38</f>
        <v>0</v>
      </c>
      <c r="L45" s="43">
        <f>'Pr Fin'!L25+'Pr Fin'!L32+'Pr Fin'!L38</f>
        <v>0</v>
      </c>
      <c r="M45" s="43">
        <f>'Pr Fin'!M25+'Pr Fin'!M32+'Pr Fin'!M38</f>
        <v>0</v>
      </c>
      <c r="N45" s="43">
        <f>'Pr Fin'!N25+'Pr Fin'!N32+'Pr Fin'!N38</f>
        <v>0</v>
      </c>
    </row>
    <row r="46" spans="1:14" s="44" customFormat="1" ht="15.6">
      <c r="A46" s="95" t="s">
        <v>624</v>
      </c>
      <c r="B46" s="43">
        <f>'Pr Fin'!B27+'Pr Fin'!B34+'Pr Fin'!B39</f>
        <v>0</v>
      </c>
      <c r="C46" s="43">
        <f>'Pr Fin'!C27+'Pr Fin'!C34+'Pr Fin'!C39</f>
        <v>0</v>
      </c>
      <c r="D46" s="43">
        <f>'Pr Fin'!D27+'Pr Fin'!D34+'Pr Fin'!D39</f>
        <v>-9661400.1301068552</v>
      </c>
      <c r="E46" s="43">
        <f>'Pr Fin'!E27+'Pr Fin'!E34+'Pr Fin'!E39</f>
        <v>-7816666.7719311118</v>
      </c>
      <c r="F46" s="43">
        <f>'Pr Fin'!F27+'Pr Fin'!F34+'Pr Fin'!F39</f>
        <v>-5160517.8688477241</v>
      </c>
      <c r="G46" s="43">
        <f>'Pr Fin'!G27+'Pr Fin'!G34+'Pr Fin'!G39</f>
        <v>-3536619.8986963271</v>
      </c>
      <c r="H46" s="43">
        <f>'Pr Fin'!H27+'Pr Fin'!H34+'Pr Fin'!H39</f>
        <v>-2002940.0720772082</v>
      </c>
      <c r="I46" s="43">
        <f>'Pr Fin'!I27+'Pr Fin'!I34+'Pr Fin'!I39</f>
        <v>-1389001.4369467462</v>
      </c>
      <c r="J46" s="43">
        <f>'Pr Fin'!J27+'Pr Fin'!J34+'Pr Fin'!J39</f>
        <v>0</v>
      </c>
      <c r="K46" s="43">
        <f>'Pr Fin'!K27+'Pr Fin'!K34+'Pr Fin'!K39</f>
        <v>0</v>
      </c>
      <c r="L46" s="43">
        <f>'Pr Fin'!L27+'Pr Fin'!L34+'Pr Fin'!L39</f>
        <v>0</v>
      </c>
      <c r="M46" s="43">
        <f>'Pr Fin'!M27+'Pr Fin'!M34+'Pr Fin'!M39</f>
        <v>0</v>
      </c>
      <c r="N46" s="43">
        <f>'Pr Fin'!N27+'Pr Fin'!N34+'Pr Fin'!N39</f>
        <v>0</v>
      </c>
    </row>
    <row r="47" spans="1:14" s="44" customFormat="1" ht="15.6">
      <c r="A47" s="95" t="s">
        <v>625</v>
      </c>
      <c r="B47" s="43">
        <f>Лизинг!C32</f>
        <v>0</v>
      </c>
      <c r="C47" s="43">
        <f>Лизинг!D32</f>
        <v>7500000</v>
      </c>
      <c r="D47" s="43">
        <f>Лизинг!E32</f>
        <v>0</v>
      </c>
      <c r="E47" s="43">
        <f>Лизинг!F32</f>
        <v>0</v>
      </c>
      <c r="F47" s="43">
        <f>Лизинг!G32</f>
        <v>0</v>
      </c>
      <c r="G47" s="43">
        <f>Лизинг!H32</f>
        <v>6000000</v>
      </c>
      <c r="H47" s="43">
        <f>Лизинг!I32</f>
        <v>3000000</v>
      </c>
      <c r="I47" s="43">
        <f>Лизинг!J32</f>
        <v>3000000</v>
      </c>
      <c r="J47" s="43">
        <f>Лизинг!K32</f>
        <v>0</v>
      </c>
      <c r="K47" s="43">
        <f>Лизинг!L32</f>
        <v>0</v>
      </c>
      <c r="L47" s="43">
        <f>Лизинг!M32</f>
        <v>0</v>
      </c>
      <c r="M47" s="43">
        <f>Лизинг!N32</f>
        <v>0</v>
      </c>
      <c r="N47" s="43">
        <f>Лизинг!O32</f>
        <v>0</v>
      </c>
    </row>
    <row r="48" spans="1:14" s="44" customFormat="1" ht="15.6">
      <c r="A48" s="95" t="s">
        <v>626</v>
      </c>
      <c r="B48" s="43">
        <f>Лизинг!C33</f>
        <v>-2970000</v>
      </c>
      <c r="C48" s="43">
        <f>Лизинг!D33</f>
        <v>-4770000</v>
      </c>
      <c r="D48" s="43">
        <f>Лизинг!E33</f>
        <v>-4470000</v>
      </c>
      <c r="E48" s="43">
        <f>Лизинг!F33</f>
        <v>-4170000</v>
      </c>
      <c r="F48" s="43">
        <f>Лизинг!G33</f>
        <v>-3870000</v>
      </c>
      <c r="G48" s="43">
        <f>Лизинг!H33</f>
        <v>-3084000</v>
      </c>
      <c r="H48" s="43">
        <f>Лизинг!I33</f>
        <v>-2280000</v>
      </c>
      <c r="I48" s="43">
        <f>Лизинг!J33</f>
        <v>-2928000</v>
      </c>
      <c r="J48" s="43">
        <f>Лизинг!K33</f>
        <v>-2736000</v>
      </c>
      <c r="K48" s="43">
        <f>Лизинг!L33</f>
        <v>-2544000</v>
      </c>
      <c r="L48" s="43">
        <f>Лизинг!M33</f>
        <v>-1248000</v>
      </c>
      <c r="M48" s="43">
        <f>Лизинг!N33</f>
        <v>-600000</v>
      </c>
      <c r="N48" s="43">
        <f>Лизинг!O33</f>
        <v>0</v>
      </c>
    </row>
    <row r="49" spans="1:14" s="44" customFormat="1" ht="31.2">
      <c r="A49" s="97" t="s">
        <v>458</v>
      </c>
      <c r="B49" s="43">
        <f>'Pr P&amp;L proj'!B38/2</f>
        <v>-168680.6875</v>
      </c>
      <c r="C49" s="43">
        <f>'Pr P&amp;L proj'!C38/2</f>
        <v>-328900</v>
      </c>
      <c r="D49" s="43">
        <f>'Pr P&amp;L proj'!D38/2</f>
        <v>-286195</v>
      </c>
      <c r="E49" s="43">
        <f>'Pr P&amp;L proj'!E38/2</f>
        <v>-268629.07500000001</v>
      </c>
      <c r="F49" s="43">
        <f>'Pr P&amp;L proj'!F38/2</f>
        <v>-274201.46324999997</v>
      </c>
      <c r="G49" s="43">
        <f>'Pr P&amp;L proj'!G38/2</f>
        <v>-343332.78383868746</v>
      </c>
      <c r="H49" s="43">
        <f>'Pr P&amp;L proj'!H38/2</f>
        <v>-385132.81699276308</v>
      </c>
      <c r="I49" s="43">
        <f>'Pr P&amp;L proj'!I38/2</f>
        <v>-431561.25907876523</v>
      </c>
      <c r="J49" s="43">
        <f>'Pr P&amp;L proj'!J38/2</f>
        <v>-446665.90314652206</v>
      </c>
      <c r="K49" s="43">
        <f>'Pr P&amp;L proj'!K38/2</f>
        <v>-462299.20975665032</v>
      </c>
      <c r="L49" s="43">
        <f>'Pr P&amp;L proj'!L38/2</f>
        <v>-478479.68209813297</v>
      </c>
      <c r="M49" s="43">
        <f>'Pr P&amp;L proj'!M38/2</f>
        <v>-495226.47097156756</v>
      </c>
      <c r="N49" s="43">
        <f>'Pr P&amp;L proj'!N38/2</f>
        <v>-512559.39745557244</v>
      </c>
    </row>
    <row r="50" spans="1:14">
      <c r="A50" s="9" t="s">
        <v>627</v>
      </c>
      <c r="B50" s="54">
        <f t="shared" ref="B50:N50" si="6">B40+B41+SUM(B45:B49)</f>
        <v>-2010850.8593750042</v>
      </c>
      <c r="C50" s="54">
        <f t="shared" si="6"/>
        <v>11203880.869543027</v>
      </c>
      <c r="D50" s="54">
        <f t="shared" si="6"/>
        <v>-7653035.443772262</v>
      </c>
      <c r="E50" s="54">
        <f t="shared" si="6"/>
        <v>-8004136.3810136132</v>
      </c>
      <c r="F50" s="54">
        <f t="shared" si="6"/>
        <v>-6643937.1270358684</v>
      </c>
      <c r="G50" s="54">
        <f t="shared" si="6"/>
        <v>32590.982032862026</v>
      </c>
      <c r="H50" s="54">
        <f t="shared" si="6"/>
        <v>-1355843.187265771</v>
      </c>
      <c r="I50" s="54">
        <f t="shared" si="6"/>
        <v>-2880203.010795203</v>
      </c>
      <c r="J50" s="54">
        <f t="shared" si="6"/>
        <v>-4318082.3789331522</v>
      </c>
      <c r="K50" s="54">
        <f t="shared" si="6"/>
        <v>-4145624.0121958135</v>
      </c>
      <c r="L50" s="54">
        <f t="shared" si="6"/>
        <v>-2869849.6026226664</v>
      </c>
      <c r="M50" s="54">
        <f t="shared" si="6"/>
        <v>-2242783.0887144599</v>
      </c>
      <c r="N50" s="54">
        <f t="shared" si="6"/>
        <v>-1664449.2468194657</v>
      </c>
    </row>
    <row r="51" spans="1:14">
      <c r="A51" s="2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</row>
    <row r="52" spans="1:14" s="148" customFormat="1" ht="21">
      <c r="A52" s="85" t="s">
        <v>628</v>
      </c>
      <c r="B52" s="86">
        <f t="shared" ref="B52:N52" si="7">B50+B37+B26</f>
        <v>2088273.0199521054</v>
      </c>
      <c r="C52" s="86">
        <f t="shared" si="7"/>
        <v>523683.06341112778</v>
      </c>
      <c r="D52" s="86">
        <f t="shared" si="7"/>
        <v>12911459.095743846</v>
      </c>
      <c r="E52" s="86">
        <f t="shared" si="7"/>
        <v>382952.72218426876</v>
      </c>
      <c r="F52" s="86">
        <f t="shared" si="7"/>
        <v>558432.99930624478</v>
      </c>
      <c r="G52" s="86">
        <f t="shared" si="7"/>
        <v>-13137351.943655372</v>
      </c>
      <c r="H52" s="86">
        <f t="shared" si="7"/>
        <v>6973142.7116669193</v>
      </c>
      <c r="I52" s="86">
        <f t="shared" si="7"/>
        <v>12240569.052561302</v>
      </c>
      <c r="J52" s="86">
        <f t="shared" si="7"/>
        <v>28994573.31507517</v>
      </c>
      <c r="K52" s="86">
        <f t="shared" si="7"/>
        <v>31648627.214662142</v>
      </c>
      <c r="L52" s="86">
        <f t="shared" si="7"/>
        <v>35785562.537624598</v>
      </c>
      <c r="M52" s="86">
        <f t="shared" si="7"/>
        <v>39232024.17575343</v>
      </c>
      <c r="N52" s="86">
        <f t="shared" si="7"/>
        <v>43174990.958933838</v>
      </c>
    </row>
    <row r="53" spans="1:14">
      <c r="B53" s="41"/>
      <c r="C53" s="41"/>
      <c r="D53" s="41"/>
      <c r="E53" s="3"/>
      <c r="F53" s="3"/>
      <c r="G53" s="3"/>
      <c r="H53" s="3"/>
    </row>
    <row r="54" spans="1:14">
      <c r="A54" s="9" t="s">
        <v>629</v>
      </c>
      <c r="B54" s="54">
        <f>Предположения!B173</f>
        <v>273451</v>
      </c>
      <c r="C54" s="54">
        <f>B55</f>
        <v>2361724.0199521054</v>
      </c>
      <c r="D54" s="54">
        <f t="shared" ref="D54:N54" si="8">C55</f>
        <v>2885407.0833632331</v>
      </c>
      <c r="E54" s="54">
        <f t="shared" si="8"/>
        <v>15796866.179107079</v>
      </c>
      <c r="F54" s="54">
        <f t="shared" si="8"/>
        <v>16179818.901291348</v>
      </c>
      <c r="G54" s="54">
        <f t="shared" si="8"/>
        <v>16738251.900597593</v>
      </c>
      <c r="H54" s="54">
        <f t="shared" si="8"/>
        <v>3600899.9569422211</v>
      </c>
      <c r="I54" s="54">
        <f t="shared" si="8"/>
        <v>10574042.66860914</v>
      </c>
      <c r="J54" s="54">
        <f t="shared" si="8"/>
        <v>22814611.72117044</v>
      </c>
      <c r="K54" s="54">
        <f t="shared" si="8"/>
        <v>51809185.036245614</v>
      </c>
      <c r="L54" s="54">
        <f t="shared" si="8"/>
        <v>83457812.250907749</v>
      </c>
      <c r="M54" s="54">
        <f t="shared" si="8"/>
        <v>119243374.78853235</v>
      </c>
      <c r="N54" s="54">
        <f t="shared" si="8"/>
        <v>158475398.96428579</v>
      </c>
    </row>
    <row r="55" spans="1:14">
      <c r="A55" s="9" t="s">
        <v>630</v>
      </c>
      <c r="B55" s="54">
        <f>B54+B52</f>
        <v>2361724.0199521054</v>
      </c>
      <c r="C55" s="54">
        <f>C54+C52</f>
        <v>2885407.0833632331</v>
      </c>
      <c r="D55" s="54">
        <f t="shared" ref="D55:N55" si="9">D54+D52</f>
        <v>15796866.179107079</v>
      </c>
      <c r="E55" s="54">
        <f t="shared" si="9"/>
        <v>16179818.901291348</v>
      </c>
      <c r="F55" s="54">
        <f t="shared" si="9"/>
        <v>16738251.900597593</v>
      </c>
      <c r="G55" s="54">
        <f t="shared" si="9"/>
        <v>3600899.9569422211</v>
      </c>
      <c r="H55" s="54">
        <f t="shared" si="9"/>
        <v>10574042.66860914</v>
      </c>
      <c r="I55" s="54">
        <f t="shared" si="9"/>
        <v>22814611.72117044</v>
      </c>
      <c r="J55" s="54">
        <f t="shared" si="9"/>
        <v>51809185.036245614</v>
      </c>
      <c r="K55" s="54">
        <f t="shared" si="9"/>
        <v>83457812.250907749</v>
      </c>
      <c r="L55" s="54">
        <f t="shared" si="9"/>
        <v>119243374.78853235</v>
      </c>
      <c r="M55" s="54">
        <f t="shared" si="9"/>
        <v>158475398.96428579</v>
      </c>
      <c r="N55" s="54">
        <f t="shared" si="9"/>
        <v>201650389.92321962</v>
      </c>
    </row>
    <row r="56" spans="1:14">
      <c r="B56" s="41"/>
      <c r="C56" s="41"/>
      <c r="D56" s="41"/>
      <c r="E56" s="3"/>
      <c r="F56" s="3"/>
      <c r="G56" s="3"/>
      <c r="H56" s="3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1:4">
      <c r="B65" s="41"/>
      <c r="C65" s="41"/>
      <c r="D65" s="41"/>
    </row>
    <row r="66" spans="1:4" ht="14.4">
      <c r="A66" s="2"/>
      <c r="B66" s="41"/>
      <c r="C66" s="41"/>
      <c r="D66" s="41"/>
    </row>
    <row r="67" spans="1:4" ht="14.4">
      <c r="A67" s="2"/>
      <c r="B67" s="41"/>
      <c r="C67" s="41"/>
      <c r="D67" s="41"/>
    </row>
    <row r="68" spans="1:4" ht="14.4">
      <c r="A68" s="2"/>
      <c r="B68" s="41"/>
      <c r="C68" s="41"/>
      <c r="D68" s="41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N7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/>
  <cols>
    <col min="1" max="1" width="79.44140625" style="49" customWidth="1"/>
    <col min="2" max="15" width="18.77734375" style="2" customWidth="1"/>
    <col min="16" max="16384" width="8.88671875" style="2"/>
  </cols>
  <sheetData>
    <row r="1" spans="1:14" ht="14.4">
      <c r="A1" s="303" t="s">
        <v>740</v>
      </c>
    </row>
    <row r="2" spans="1:14" ht="21">
      <c r="A2" s="92" t="s">
        <v>631</v>
      </c>
    </row>
    <row r="3" spans="1:14" ht="21">
      <c r="A3" s="92" t="s">
        <v>551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6">
      <c r="A7" s="1" t="s">
        <v>446</v>
      </c>
      <c r="B7" s="42">
        <f>B8+B9</f>
        <v>104595903.75</v>
      </c>
      <c r="C7" s="42">
        <f t="shared" ref="C7:N7" si="0">C8+C9</f>
        <v>176490000</v>
      </c>
      <c r="D7" s="42">
        <f t="shared" si="0"/>
        <v>122698012.5</v>
      </c>
      <c r="E7" s="42">
        <f t="shared" si="0"/>
        <v>152748012</v>
      </c>
      <c r="F7" s="42">
        <f t="shared" si="0"/>
        <v>161199046.71999997</v>
      </c>
      <c r="G7" s="42">
        <f t="shared" si="0"/>
        <v>185561075.14063996</v>
      </c>
      <c r="H7" s="42">
        <f t="shared" si="0"/>
        <v>203618169.87409759</v>
      </c>
      <c r="I7" s="42">
        <f t="shared" si="0"/>
        <v>223203580.18224895</v>
      </c>
      <c r="J7" s="42">
        <f t="shared" si="0"/>
        <v>235594809.24179065</v>
      </c>
      <c r="K7" s="42">
        <f t="shared" si="0"/>
        <v>248579168.23427689</v>
      </c>
      <c r="L7" s="42">
        <f t="shared" si="0"/>
        <v>262183199.12441602</v>
      </c>
      <c r="M7" s="42">
        <f t="shared" si="0"/>
        <v>276434575.2302779</v>
      </c>
      <c r="N7" s="42">
        <f t="shared" si="0"/>
        <v>291362147.90412271</v>
      </c>
    </row>
    <row r="8" spans="1:14" s="1" customFormat="1" ht="15.6">
      <c r="A8" s="47" t="s">
        <v>262</v>
      </c>
      <c r="B8" s="125">
        <f>'Tr CF 2012'!B7</f>
        <v>8607292.5</v>
      </c>
      <c r="C8" s="125">
        <f>'Tr CF 2012'!C7</f>
        <v>13986900</v>
      </c>
      <c r="D8" s="125">
        <f>'Tr CF 2012'!D7</f>
        <v>11043112.5</v>
      </c>
      <c r="E8" s="125">
        <f>'Tr P&amp;L proj'!E7</f>
        <v>12726106.5</v>
      </c>
      <c r="F8" s="125">
        <f>'Tr P&amp;L proj'!F7</f>
        <v>13443472.764999999</v>
      </c>
      <c r="G8" s="125">
        <f>'Tr P&amp;L proj'!G7</f>
        <v>15491581.84802375</v>
      </c>
      <c r="H8" s="125">
        <f>'Tr P&amp;L proj'!H7</f>
        <v>17015593.504805259</v>
      </c>
      <c r="I8" s="125">
        <f>'Tr P&amp;L proj'!I7</f>
        <v>18669802.203162018</v>
      </c>
      <c r="J8" s="125">
        <f>'Tr P&amp;L proj'!J7</f>
        <v>19723493.76296638</v>
      </c>
      <c r="K8" s="125">
        <f>'Tr P&amp;L proj'!K7</f>
        <v>20828157.426383171</v>
      </c>
      <c r="L8" s="125">
        <f>'Tr P&amp;L proj'!L7</f>
        <v>21986074.1435045</v>
      </c>
      <c r="M8" s="125">
        <f>'Tr P&amp;L proj'!M7</f>
        <v>23199622.090102006</v>
      </c>
      <c r="N8" s="125">
        <f>'Tr P&amp;L proj'!N7</f>
        <v>24471280.679260544</v>
      </c>
    </row>
    <row r="9" spans="1:14" s="1" customFormat="1" ht="15.6">
      <c r="A9" s="47" t="s">
        <v>263</v>
      </c>
      <c r="B9" s="125">
        <f>'Tr CF 2012'!B8</f>
        <v>95988611.25</v>
      </c>
      <c r="C9" s="125">
        <f>'Tr CF 2012'!C8</f>
        <v>162503100</v>
      </c>
      <c r="D9" s="125">
        <f>'Tr CF 2012'!D8</f>
        <v>111654900</v>
      </c>
      <c r="E9" s="125">
        <f>'Tr P&amp;L proj'!E8</f>
        <v>140021905.5</v>
      </c>
      <c r="F9" s="125">
        <f>'Tr P&amp;L proj'!F8</f>
        <v>147755573.95499998</v>
      </c>
      <c r="G9" s="125">
        <f>'Tr P&amp;L proj'!G8</f>
        <v>170069493.29261622</v>
      </c>
      <c r="H9" s="125">
        <f>'Tr P&amp;L proj'!H8</f>
        <v>186602576.36929232</v>
      </c>
      <c r="I9" s="125">
        <f>'Tr P&amp;L proj'!I8</f>
        <v>204533777.97908694</v>
      </c>
      <c r="J9" s="125">
        <f>'Tr P&amp;L proj'!J8</f>
        <v>215871315.47882426</v>
      </c>
      <c r="K9" s="125">
        <f>'Tr P&amp;L proj'!K8</f>
        <v>227751010.80789372</v>
      </c>
      <c r="L9" s="125">
        <f>'Tr P&amp;L proj'!L8</f>
        <v>240197124.98091152</v>
      </c>
      <c r="M9" s="125">
        <f>'Tr P&amp;L proj'!M8</f>
        <v>253234953.14017588</v>
      </c>
      <c r="N9" s="125">
        <f>'Tr P&amp;L proj'!N8</f>
        <v>266890867.22486216</v>
      </c>
    </row>
    <row r="10" spans="1:14" s="1" customFormat="1" ht="15.6">
      <c r="A10" s="1" t="s">
        <v>665</v>
      </c>
      <c r="B10" s="42">
        <f>B11+SUM(B14:B21)</f>
        <v>-102273652.27446336</v>
      </c>
      <c r="C10" s="42">
        <f t="shared" ref="C10:N10" si="1">C11+SUM(C14:C21)</f>
        <v>-173947128.89812499</v>
      </c>
      <c r="D10" s="42">
        <f t="shared" si="1"/>
        <v>-121637340.14732578</v>
      </c>
      <c r="E10" s="42">
        <f t="shared" si="1"/>
        <v>-150634616.99551138</v>
      </c>
      <c r="F10" s="42">
        <f t="shared" si="1"/>
        <v>-159122948.70971569</v>
      </c>
      <c r="G10" s="42">
        <f t="shared" si="1"/>
        <v>-183277410.60090643</v>
      </c>
      <c r="H10" s="42">
        <f t="shared" si="1"/>
        <v>-201269584.75288671</v>
      </c>
      <c r="I10" s="42">
        <f t="shared" si="1"/>
        <v>-220800075.16611636</v>
      </c>
      <c r="J10" s="42">
        <f t="shared" si="1"/>
        <v>-233266323.09780723</v>
      </c>
      <c r="K10" s="42">
        <f t="shared" si="1"/>
        <v>-246337387.99914005</v>
      </c>
      <c r="L10" s="42">
        <f t="shared" si="1"/>
        <v>-260040460.05752623</v>
      </c>
      <c r="M10" s="42">
        <f t="shared" si="1"/>
        <v>-274403908.22590709</v>
      </c>
      <c r="N10" s="42">
        <f t="shared" si="1"/>
        <v>-289457331.4030816</v>
      </c>
    </row>
    <row r="11" spans="1:14" s="47" customFormat="1" ht="14.4">
      <c r="A11" s="47" t="s">
        <v>265</v>
      </c>
      <c r="B11" s="125">
        <f>B12+B13</f>
        <v>-83786137.5</v>
      </c>
      <c r="C11" s="125">
        <f t="shared" ref="C11:N11" si="2">C12+C13</f>
        <v>-136739000</v>
      </c>
      <c r="D11" s="125">
        <f t="shared" si="2"/>
        <v>-108484000</v>
      </c>
      <c r="E11" s="125">
        <f t="shared" si="2"/>
        <v>-124506315</v>
      </c>
      <c r="F11" s="125">
        <f t="shared" si="2"/>
        <v>-131621227.64999998</v>
      </c>
      <c r="G11" s="125">
        <f t="shared" si="2"/>
        <v>-151783243.48023748</v>
      </c>
      <c r="H11" s="125">
        <f t="shared" si="2"/>
        <v>-166830385.04805261</v>
      </c>
      <c r="I11" s="125">
        <f t="shared" si="2"/>
        <v>-183171372.0316202</v>
      </c>
      <c r="J11" s="125">
        <f t="shared" si="2"/>
        <v>-193633287.6296638</v>
      </c>
      <c r="K11" s="125">
        <f t="shared" si="2"/>
        <v>-204604924.26383173</v>
      </c>
      <c r="L11" s="125">
        <f t="shared" si="2"/>
        <v>-216109091.435045</v>
      </c>
      <c r="M11" s="125">
        <f t="shared" si="2"/>
        <v>-228169570.90102005</v>
      </c>
      <c r="N11" s="125">
        <f t="shared" si="2"/>
        <v>-240811156.79260546</v>
      </c>
    </row>
    <row r="12" spans="1:14" s="47" customFormat="1" ht="14.4">
      <c r="A12" s="126" t="s">
        <v>266</v>
      </c>
      <c r="B12" s="125">
        <f>'Tr CF 2012'!B11</f>
        <v>-33736137.5</v>
      </c>
      <c r="C12" s="125">
        <f>'Tr CF 2012'!C11</f>
        <v>-65780000</v>
      </c>
      <c r="D12" s="125">
        <f>'Tr CF 2012'!D11</f>
        <v>-57239000</v>
      </c>
      <c r="E12" s="125">
        <f>'Tr P&amp;L proj'!E11</f>
        <v>-53725815</v>
      </c>
      <c r="F12" s="125">
        <f>'Tr P&amp;L proj'!F11</f>
        <v>-54840292.649999991</v>
      </c>
      <c r="G12" s="125">
        <f>'Tr P&amp;L proj'!G11</f>
        <v>-68666556.767737493</v>
      </c>
      <c r="H12" s="125">
        <f>'Tr P&amp;L proj'!H11</f>
        <v>-77026563.398552611</v>
      </c>
      <c r="I12" s="125">
        <f>'Tr P&amp;L proj'!I11</f>
        <v>-86312251.815753043</v>
      </c>
      <c r="J12" s="125">
        <f>'Tr P&amp;L proj'!J11</f>
        <v>-89333180.629304409</v>
      </c>
      <c r="K12" s="125">
        <f>'Tr P&amp;L proj'!K11</f>
        <v>-92459841.951330066</v>
      </c>
      <c r="L12" s="125">
        <f>'Tr P&amp;L proj'!L11</f>
        <v>-95695936.419626594</v>
      </c>
      <c r="M12" s="125">
        <f>'Tr P&amp;L proj'!M11</f>
        <v>-99045294.194313511</v>
      </c>
      <c r="N12" s="125">
        <f>'Tr P&amp;L proj'!N11</f>
        <v>-102511879.49111448</v>
      </c>
    </row>
    <row r="13" spans="1:14" s="47" customFormat="1" ht="14.4">
      <c r="A13" s="126" t="s">
        <v>267</v>
      </c>
      <c r="B13" s="125">
        <f>'Tr CF 2012'!B12</f>
        <v>-50050000</v>
      </c>
      <c r="C13" s="125">
        <f>'Tr CF 2012'!C12</f>
        <v>-70959000</v>
      </c>
      <c r="D13" s="125">
        <f>'Tr CF 2012'!D12</f>
        <v>-51245000</v>
      </c>
      <c r="E13" s="125">
        <f>'Tr P&amp;L proj'!E12</f>
        <v>-70780500</v>
      </c>
      <c r="F13" s="125">
        <f>'Tr P&amp;L proj'!F12</f>
        <v>-76780934.999999985</v>
      </c>
      <c r="G13" s="125">
        <f>'Tr P&amp;L proj'!G12</f>
        <v>-83116686.712499976</v>
      </c>
      <c r="H13" s="125">
        <f>'Tr P&amp;L proj'!H12</f>
        <v>-89803821.649499983</v>
      </c>
      <c r="I13" s="125">
        <f>'Tr P&amp;L proj'!I12</f>
        <v>-96859120.215867147</v>
      </c>
      <c r="J13" s="125">
        <f>'Tr P&amp;L proj'!J12</f>
        <v>-104300107.00035939</v>
      </c>
      <c r="K13" s="125">
        <f>'Tr P&amp;L proj'!K12</f>
        <v>-112145082.31250167</v>
      </c>
      <c r="L13" s="125">
        <f>'Tr P&amp;L proj'!L12</f>
        <v>-120413155.01541843</v>
      </c>
      <c r="M13" s="125">
        <f>'Tr P&amp;L proj'!M12</f>
        <v>-129124276.70670655</v>
      </c>
      <c r="N13" s="125">
        <f>'Tr P&amp;L proj'!N12</f>
        <v>-138299277.30149099</v>
      </c>
    </row>
    <row r="14" spans="1:14" s="47" customFormat="1" ht="14.4">
      <c r="A14" s="47" t="s">
        <v>272</v>
      </c>
      <c r="B14" s="125">
        <f>'Tr CF 2012'!B13</f>
        <v>-321370.72276468761</v>
      </c>
      <c r="C14" s="125">
        <f>'Tr CF 2012'!C13</f>
        <v>-338487.42249999999</v>
      </c>
      <c r="D14" s="125">
        <f>'Tr CF 2012'!D13</f>
        <v>-103970.14484062503</v>
      </c>
      <c r="E14" s="125">
        <f>'Tr P&amp;L proj'!E13+'Tr P&amp;L proj'!E31</f>
        <v>-263954.20574811433</v>
      </c>
      <c r="F14" s="125">
        <f>'Tr P&amp;L proj'!F13+'Tr P&amp;L proj'!F31</f>
        <v>-255709.89917397697</v>
      </c>
      <c r="G14" s="125">
        <f>'Tr P&amp;L proj'!G13+'Tr P&amp;L proj'!G31</f>
        <v>-278622.86236147856</v>
      </c>
      <c r="H14" s="125">
        <f>'Tr P&amp;L proj'!H13+'Tr P&amp;L proj'!H31</f>
        <v>-282431.48523931659</v>
      </c>
      <c r="I14" s="125">
        <f>'Tr P&amp;L proj'!I13+'Tr P&amp;L proj'!I31</f>
        <v>-284266.84264057368</v>
      </c>
      <c r="J14" s="125">
        <f>'Tr P&amp;L proj'!J13+'Tr P&amp;L proj'!J31</f>
        <v>-269166.48946858471</v>
      </c>
      <c r="K14" s="125">
        <f>'Tr P&amp;L proj'!K13+'Tr P&amp;L proj'!K31</f>
        <v>-252143.90456375806</v>
      </c>
      <c r="L14" s="125">
        <f>'Tr P&amp;L proj'!L13+'Tr P&amp;L proj'!L31</f>
        <v>-233094.51598077128</v>
      </c>
      <c r="M14" s="125">
        <f>'Tr P&amp;L proj'!M13+'Tr P&amp;L proj'!M31</f>
        <v>-211906.36377576308</v>
      </c>
      <c r="N14" s="125">
        <f>'Tr P&amp;L proj'!N13+'Tr P&amp;L proj'!N31</f>
        <v>-188459.41839608518</v>
      </c>
    </row>
    <row r="15" spans="1:14" s="47" customFormat="1" ht="14.4">
      <c r="A15" s="47" t="s">
        <v>150</v>
      </c>
      <c r="B15" s="125">
        <f>'Tr CF 2012'!B14</f>
        <v>-1210</v>
      </c>
      <c r="C15" s="125">
        <f>'Tr CF 2012'!C14</f>
        <v>-2456</v>
      </c>
      <c r="D15" s="125">
        <f>'Tr CF 2012'!D14</f>
        <v>-3750</v>
      </c>
      <c r="E15" s="125">
        <f>'Tr P&amp;L proj'!E14</f>
        <v>-4236.375</v>
      </c>
      <c r="F15" s="125">
        <f>'Tr P&amp;L proj'!F14</f>
        <v>-4795.152862500001</v>
      </c>
      <c r="G15" s="125">
        <f>'Tr P&amp;L proj'!G14</f>
        <v>-5438.1828613612515</v>
      </c>
      <c r="H15" s="125">
        <f>'Tr P&amp;L proj'!H14</f>
        <v>-6179.4071853647893</v>
      </c>
      <c r="I15" s="125">
        <f>'Tr P&amp;L proj'!I14</f>
        <v>-7035.2550805378123</v>
      </c>
      <c r="J15" s="125">
        <f>'Tr P&amp;L proj'!J14</f>
        <v>-8025.115470369482</v>
      </c>
      <c r="K15" s="125">
        <f>'Tr P&amp;L proj'!K14</f>
        <v>-9171.9044710852813</v>
      </c>
      <c r="L15" s="125">
        <f>'Tr P&amp;L proj'!L14</f>
        <v>-10502.747809839757</v>
      </c>
      <c r="M15" s="125">
        <f>'Tr P&amp;L proj'!M14</f>
        <v>-12049.802562229153</v>
      </c>
      <c r="N15" s="125">
        <f>'Tr P&amp;L proj'!N14</f>
        <v>-13851.248045282413</v>
      </c>
    </row>
    <row r="16" spans="1:14" s="47" customFormat="1" ht="14.4">
      <c r="A16" s="47" t="s">
        <v>155</v>
      </c>
      <c r="B16" s="125">
        <f>'Tr CF 2012'!B15</f>
        <v>-510756</v>
      </c>
      <c r="C16" s="125">
        <f>'Tr CF 2012'!C15</f>
        <v>-965342</v>
      </c>
      <c r="D16" s="125">
        <f>'Tr CF 2012'!D15</f>
        <v>-1051276</v>
      </c>
      <c r="E16" s="125">
        <f>'Tr P&amp;L proj'!E17</f>
        <v>-1079660.4519999998</v>
      </c>
      <c r="F16" s="125">
        <f>'Tr P&amp;L proj'!F17</f>
        <v>-1110970.6051079996</v>
      </c>
      <c r="G16" s="125">
        <f>'Tr P&amp;L proj'!G17</f>
        <v>-1145410.6938663474</v>
      </c>
      <c r="H16" s="125">
        <f>'Tr P&amp;L proj'!H17</f>
        <v>-1183209.2467639367</v>
      </c>
      <c r="I16" s="125">
        <f>'Tr P&amp;L proj'!I17</f>
        <v>-1224621.5704006744</v>
      </c>
      <c r="J16" s="125">
        <f>'Tr P&amp;L proj'!J17</f>
        <v>-1269932.5685054993</v>
      </c>
      <c r="K16" s="125">
        <f>'Tr P&amp;L proj'!K17</f>
        <v>-1319459.9386772136</v>
      </c>
      <c r="L16" s="125">
        <f>'Tr P&amp;L proj'!L17</f>
        <v>-1373557.7961629792</v>
      </c>
      <c r="M16" s="125">
        <f>'Tr P&amp;L proj'!M17</f>
        <v>-1432620.7813979872</v>
      </c>
      <c r="N16" s="125">
        <f>'Tr P&amp;L proj'!N17</f>
        <v>-1497088.7165608965</v>
      </c>
    </row>
    <row r="17" spans="1:14" s="47" customFormat="1" ht="14.4">
      <c r="A17" s="47" t="s">
        <v>280</v>
      </c>
      <c r="B17" s="125">
        <f>'Tr CF 2012'!B16</f>
        <v>-14406761.25</v>
      </c>
      <c r="C17" s="125">
        <f>'Tr CF 2012'!C16</f>
        <v>-30987000</v>
      </c>
      <c r="D17" s="125">
        <f>'Tr CF 2012'!D16</f>
        <v>-8762062.5</v>
      </c>
      <c r="E17" s="125">
        <f>'Tr P&amp;L proj'!E18</f>
        <v>-20528397</v>
      </c>
      <c r="F17" s="125">
        <f>'Tr P&amp;L proj'!F18</f>
        <v>-21700019.069999997</v>
      </c>
      <c r="G17" s="125">
        <f>'Tr P&amp;L proj'!G18</f>
        <v>-25006621.660402495</v>
      </c>
      <c r="H17" s="125">
        <f>'Tr P&amp;L proj'!H18</f>
        <v>-27476244.826044969</v>
      </c>
      <c r="I17" s="125">
        <f>'Tr P&amp;L proj'!I18</f>
        <v>-30157588.150628757</v>
      </c>
      <c r="J17" s="125">
        <f>'Tr P&amp;L proj'!J18</f>
        <v>-31876901.612126805</v>
      </c>
      <c r="K17" s="125">
        <f>'Tr P&amp;L proj'!K18</f>
        <v>-33679623.970445193</v>
      </c>
      <c r="L17" s="125">
        <f>'Tr P&amp;L proj'!L18</f>
        <v>-35569487.689371005</v>
      </c>
      <c r="M17" s="125">
        <f>'Tr P&amp;L proj'!M18</f>
        <v>-37550384.329257831</v>
      </c>
      <c r="N17" s="125">
        <f>'Tr P&amp;L proj'!N18</f>
        <v>-39626371.111517258</v>
      </c>
    </row>
    <row r="18" spans="1:14" s="47" customFormat="1" ht="14.4">
      <c r="A18" s="47" t="s">
        <v>268</v>
      </c>
      <c r="B18" s="125">
        <f>'Tr CF 2012'!B17</f>
        <v>-1045959.0375</v>
      </c>
      <c r="C18" s="125">
        <f>'Tr CF 2012'!C17</f>
        <v>-1764900</v>
      </c>
      <c r="D18" s="125">
        <f>'Tr CF 2012'!D17</f>
        <v>-1226980.125</v>
      </c>
      <c r="E18" s="125">
        <f>'Tr P&amp;L proj'!E19</f>
        <v>-1527480.12</v>
      </c>
      <c r="F18" s="125">
        <f>'Tr P&amp;L proj'!F19</f>
        <v>-1611990.4671999998</v>
      </c>
      <c r="G18" s="125">
        <f>'Tr P&amp;L proj'!G19</f>
        <v>-1855610.7514063995</v>
      </c>
      <c r="H18" s="125">
        <f>'Tr P&amp;L proj'!H19</f>
        <v>-2036181.6987409759</v>
      </c>
      <c r="I18" s="125">
        <f>'Tr P&amp;L proj'!I19</f>
        <v>-2232035.8018224896</v>
      </c>
      <c r="J18" s="125">
        <f>'Tr P&amp;L proj'!J19</f>
        <v>-2355948.0924179065</v>
      </c>
      <c r="K18" s="125">
        <f>'Tr P&amp;L proj'!K19</f>
        <v>-2485791.6823427691</v>
      </c>
      <c r="L18" s="125">
        <f>'Tr P&amp;L proj'!L19</f>
        <v>-2621831.9912441601</v>
      </c>
      <c r="M18" s="125">
        <f>'Tr P&amp;L proj'!M19</f>
        <v>-2764345.7523027789</v>
      </c>
      <c r="N18" s="125">
        <f>'Tr P&amp;L proj'!N19</f>
        <v>-2913621.4790412271</v>
      </c>
    </row>
    <row r="19" spans="1:14" s="47" customFormat="1" ht="14.4">
      <c r="A19" s="47" t="s">
        <v>281</v>
      </c>
      <c r="B19" s="125">
        <f>'Tr CF 2012'!B18</f>
        <v>-117532.74422812495</v>
      </c>
      <c r="C19" s="125">
        <f>'Tr CF 2012'!C18</f>
        <v>-138506.77499999999</v>
      </c>
      <c r="D19" s="125">
        <f>'Tr CF 2012'!D18</f>
        <v>-73038.489093749813</v>
      </c>
      <c r="E19" s="125">
        <f>'Tr P&amp;L proj'!E20</f>
        <v>-121873.66982999971</v>
      </c>
      <c r="F19" s="125">
        <f>'Tr P&amp;L proj'!F20</f>
        <v>-120681.08212979978</v>
      </c>
      <c r="G19" s="125">
        <f>'Tr P&amp;L proj'!G20</f>
        <v>-129923.71895197533</v>
      </c>
      <c r="H19" s="125">
        <f>'Tr P&amp;L proj'!H20</f>
        <v>-133087.49922007366</v>
      </c>
      <c r="I19" s="125">
        <f>'Tr P&amp;L proj'!I20</f>
        <v>-135823.49675440078</v>
      </c>
      <c r="J19" s="125">
        <f>'Tr P&amp;L proj'!J20</f>
        <v>-133130.06634435602</v>
      </c>
      <c r="K19" s="125">
        <f>'Tr P&amp;L proj'!K20</f>
        <v>-130003.46573015382</v>
      </c>
      <c r="L19" s="125">
        <f>'Tr P&amp;L proj'!L20</f>
        <v>-126424.31098319996</v>
      </c>
      <c r="M19" s="125">
        <f>'Tr P&amp;L proj'!M20</f>
        <v>-122372.39193338812</v>
      </c>
      <c r="N19" s="125">
        <f>'Tr P&amp;L proj'!N20</f>
        <v>-117826.63807751975</v>
      </c>
    </row>
    <row r="20" spans="1:14" s="47" customFormat="1" ht="14.4">
      <c r="A20" s="8" t="s">
        <v>282</v>
      </c>
      <c r="B20" s="125">
        <f>'Tr CF 2012'!B19</f>
        <v>-1360840.89375</v>
      </c>
      <c r="C20" s="125">
        <f>'Tr CF 2012'!C19</f>
        <v>-2249840</v>
      </c>
      <c r="D20" s="125">
        <f>'Tr CF 2012'!D19</f>
        <v>-1698330.0625</v>
      </c>
      <c r="E20" s="125">
        <f>'Tr P&amp;L proj'!E21</f>
        <v>-2008803.2100000002</v>
      </c>
      <c r="F20" s="125">
        <f>'Tr P&amp;L proj'!F21</f>
        <v>-2122207.5100999996</v>
      </c>
      <c r="G20" s="125">
        <f>'Tr P&amp;L proj'!G21</f>
        <v>-2445637.8105055746</v>
      </c>
      <c r="H20" s="125">
        <f>'Tr P&amp;L proj'!H21</f>
        <v>-2686394.6998510142</v>
      </c>
      <c r="I20" s="125">
        <f>'Tr P&amp;L proj'!I21</f>
        <v>-2947731.6212274469</v>
      </c>
      <c r="J20" s="125">
        <f>'Tr P&amp;L proj'!J21</f>
        <v>-3114306.9225055911</v>
      </c>
      <c r="K20" s="125">
        <f>'Tr P&amp;L proj'!K21</f>
        <v>-3288945.0838097017</v>
      </c>
      <c r="L20" s="125">
        <f>'Tr P&amp;L proj'!L21</f>
        <v>-3472006.9099725299</v>
      </c>
      <c r="M20" s="125">
        <f>'Tr P&amp;L proj'!M21</f>
        <v>-3663868.58516159</v>
      </c>
      <c r="N20" s="125">
        <f>'Tr P&amp;L proj'!N21</f>
        <v>-3864922.3074466684</v>
      </c>
    </row>
    <row r="21" spans="1:14" s="47" customFormat="1" ht="14.4">
      <c r="A21" s="47" t="s">
        <v>608</v>
      </c>
      <c r="B21" s="125">
        <f>'Tr CF 2012'!B20</f>
        <v>-723084.12622054713</v>
      </c>
      <c r="C21" s="125">
        <f>'Tr CF 2012'!C20</f>
        <v>-761596.70062499994</v>
      </c>
      <c r="D21" s="125">
        <f>'Tr CF 2012'!D20</f>
        <v>-233932.8258914063</v>
      </c>
      <c r="E21" s="125">
        <f>'Tr P&amp;L proj'!E36</f>
        <v>-593896.96293325722</v>
      </c>
      <c r="F21" s="125">
        <f>'Tr P&amp;L proj'!F36</f>
        <v>-575347.27314144815</v>
      </c>
      <c r="G21" s="125">
        <f>'Tr P&amp;L proj'!G36</f>
        <v>-626901.44031332666</v>
      </c>
      <c r="H21" s="125">
        <f>'Tr P&amp;L proj'!H36</f>
        <v>-635470.84178846225</v>
      </c>
      <c r="I21" s="125">
        <f>'Tr P&amp;L proj'!I36</f>
        <v>-639600.39594129077</v>
      </c>
      <c r="J21" s="125">
        <f>'Tr P&amp;L proj'!J36</f>
        <v>-605624.6013043155</v>
      </c>
      <c r="K21" s="125">
        <f>'Tr P&amp;L proj'!K36</f>
        <v>-567323.78526845563</v>
      </c>
      <c r="L21" s="125">
        <f>'Tr P&amp;L proj'!L36</f>
        <v>-524462.66095673537</v>
      </c>
      <c r="M21" s="125">
        <f>'Tr P&amp;L proj'!M36</f>
        <v>-476789.31849546684</v>
      </c>
      <c r="N21" s="125">
        <f>'Tr P&amp;L proj'!N36</f>
        <v>-424033.69139119162</v>
      </c>
    </row>
    <row r="22" spans="1:14" s="44" customFormat="1" ht="15.6">
      <c r="A22" s="1" t="s">
        <v>612</v>
      </c>
      <c r="B22" s="42">
        <f>'Tr CF 2012'!B21</f>
        <v>0</v>
      </c>
      <c r="C22" s="42">
        <f>'Tr CF 2012'!C21</f>
        <v>0</v>
      </c>
      <c r="D22" s="42">
        <f>'Tr CF 2012'!D21</f>
        <v>0</v>
      </c>
      <c r="E22" s="42">
        <f>'Tr BS proj'!E50</f>
        <v>2231285.6447901726</v>
      </c>
      <c r="F22" s="42">
        <f>'Tr BS proj'!F50</f>
        <v>666900.84956524521</v>
      </c>
      <c r="G22" s="42">
        <f>'Tr BS proj'!G50</f>
        <v>1936798.2729151212</v>
      </c>
      <c r="H22" s="42">
        <f>'Tr BS proj'!H50</f>
        <v>1431319.020782426</v>
      </c>
      <c r="I22" s="42">
        <f>'Tr BS proj'!I50</f>
        <v>1551630.0383961163</v>
      </c>
      <c r="J22" s="42">
        <f>'Tr BS proj'!J50</f>
        <v>976609.70888534933</v>
      </c>
      <c r="K22" s="42">
        <f>'Tr BS proj'!K50</f>
        <v>1022986.3439487331</v>
      </c>
      <c r="L22" s="42">
        <f>'Tr BS proj'!L50</f>
        <v>1071437.4632470272</v>
      </c>
      <c r="M22" s="42">
        <f>'Tr BS proj'!M50</f>
        <v>1122051.3331395648</v>
      </c>
      <c r="N22" s="42">
        <f>'Tr BS proj'!N50</f>
        <v>1174919.8298704363</v>
      </c>
    </row>
    <row r="23" spans="1:14">
      <c r="A23" s="9" t="s">
        <v>610</v>
      </c>
      <c r="B23" s="54">
        <f>B7+B10-B22</f>
        <v>2322251.4755366445</v>
      </c>
      <c r="C23" s="54">
        <f t="shared" ref="C23:N23" si="3">C7+C10-C22</f>
        <v>2542871.1018750072</v>
      </c>
      <c r="D23" s="54">
        <f t="shared" si="3"/>
        <v>1060672.352674216</v>
      </c>
      <c r="E23" s="54">
        <f t="shared" si="3"/>
        <v>-117890.6403015554</v>
      </c>
      <c r="F23" s="54">
        <f t="shared" si="3"/>
        <v>1409197.1607190296</v>
      </c>
      <c r="G23" s="54">
        <f t="shared" si="3"/>
        <v>346866.26681840792</v>
      </c>
      <c r="H23" s="54">
        <f t="shared" si="3"/>
        <v>917266.10042844713</v>
      </c>
      <c r="I23" s="54">
        <f t="shared" si="3"/>
        <v>851874.97773647681</v>
      </c>
      <c r="J23" s="54">
        <f t="shared" si="3"/>
        <v>1351876.4350980744</v>
      </c>
      <c r="K23" s="54">
        <f t="shared" si="3"/>
        <v>1218793.8911881037</v>
      </c>
      <c r="L23" s="54">
        <f t="shared" si="3"/>
        <v>1071301.6036427654</v>
      </c>
      <c r="M23" s="54">
        <f t="shared" si="3"/>
        <v>908615.67123124376</v>
      </c>
      <c r="N23" s="54">
        <f t="shared" si="3"/>
        <v>729896.67117067799</v>
      </c>
    </row>
    <row r="24" spans="1:14">
      <c r="A24" s="9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21">
      <c r="A25" s="92" t="s">
        <v>611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s="47" customFormat="1" ht="14.4">
      <c r="A26" s="8" t="s">
        <v>613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</row>
    <row r="27" spans="1:14" s="47" customFormat="1" ht="14.4">
      <c r="A27" s="8" t="s">
        <v>614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</row>
    <row r="28" spans="1:14" s="47" customFormat="1" ht="14.4">
      <c r="A28" s="8" t="s">
        <v>615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</row>
    <row r="29" spans="1:14" s="47" customFormat="1" ht="14.4">
      <c r="A29" s="8" t="s">
        <v>616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</row>
    <row r="30" spans="1:14" s="47" customFormat="1" ht="14.4">
      <c r="A30" s="8" t="s">
        <v>617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</row>
    <row r="31" spans="1:14" s="47" customFormat="1" ht="14.4">
      <c r="A31" s="8" t="s">
        <v>618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</row>
    <row r="32" spans="1:14" s="47" customFormat="1" ht="14.4">
      <c r="A32" s="8" t="s">
        <v>619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</row>
    <row r="33" spans="1:14" s="47" customFormat="1" ht="14.4">
      <c r="A33" s="8" t="s">
        <v>651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s="36" customFormat="1">
      <c r="A34" s="9" t="s">
        <v>620</v>
      </c>
      <c r="B34" s="54">
        <f>SUM(B26:B33)</f>
        <v>0</v>
      </c>
      <c r="C34" s="54">
        <f t="shared" ref="C34:N34" si="4">SUM(C26:C33)</f>
        <v>0</v>
      </c>
      <c r="D34" s="54">
        <f t="shared" si="4"/>
        <v>0</v>
      </c>
      <c r="E34" s="54">
        <f t="shared" si="4"/>
        <v>0</v>
      </c>
      <c r="F34" s="54">
        <f t="shared" si="4"/>
        <v>0</v>
      </c>
      <c r="G34" s="54">
        <f t="shared" si="4"/>
        <v>0</v>
      </c>
      <c r="H34" s="54">
        <f t="shared" si="4"/>
        <v>0</v>
      </c>
      <c r="I34" s="54">
        <f t="shared" si="4"/>
        <v>0</v>
      </c>
      <c r="J34" s="54">
        <f t="shared" si="4"/>
        <v>0</v>
      </c>
      <c r="K34" s="54">
        <f t="shared" si="4"/>
        <v>0</v>
      </c>
      <c r="L34" s="54">
        <f t="shared" si="4"/>
        <v>0</v>
      </c>
      <c r="M34" s="54">
        <f t="shared" si="4"/>
        <v>0</v>
      </c>
      <c r="N34" s="54">
        <f t="shared" si="4"/>
        <v>0</v>
      </c>
    </row>
    <row r="35" spans="1:14" s="44" customFormat="1">
      <c r="A35" s="9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</row>
    <row r="36" spans="1:14" ht="21">
      <c r="A36" s="92" t="s">
        <v>621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</row>
    <row r="37" spans="1:14" s="1" customFormat="1" ht="15.6">
      <c r="A37" s="95" t="s">
        <v>404</v>
      </c>
      <c r="B37" s="42">
        <f>'Tr CF 2012'!B36</f>
        <v>0</v>
      </c>
      <c r="C37" s="42">
        <f>'Pr P&amp;L proj'!C37</f>
        <v>0</v>
      </c>
      <c r="D37" s="42">
        <f>'Pr P&amp;L proj'!D37</f>
        <v>0</v>
      </c>
      <c r="E37" s="42">
        <f>'Tr P&amp;L proj'!E28</f>
        <v>0</v>
      </c>
      <c r="F37" s="42">
        <f>'Tr P&amp;L proj'!F28</f>
        <v>0</v>
      </c>
      <c r="G37" s="42">
        <f>'Tr P&amp;L proj'!G28</f>
        <v>0</v>
      </c>
      <c r="H37" s="42">
        <f>'Tr P&amp;L proj'!H28</f>
        <v>0</v>
      </c>
      <c r="I37" s="42">
        <f>'Tr P&amp;L proj'!I28</f>
        <v>0</v>
      </c>
      <c r="J37" s="42">
        <f>'Tr P&amp;L proj'!J28</f>
        <v>0</v>
      </c>
      <c r="K37" s="42">
        <f>'Tr P&amp;L proj'!K28</f>
        <v>0</v>
      </c>
      <c r="L37" s="42">
        <f>'Tr P&amp;L proj'!L28</f>
        <v>0</v>
      </c>
      <c r="M37" s="42">
        <f>'Tr P&amp;L proj'!M28</f>
        <v>0</v>
      </c>
      <c r="N37" s="42">
        <f>'Tr P&amp;L proj'!N28</f>
        <v>0</v>
      </c>
    </row>
    <row r="38" spans="1:14" s="1" customFormat="1" ht="15.6">
      <c r="A38" s="1" t="s">
        <v>449</v>
      </c>
      <c r="B38" s="42">
        <f>B39+B40+B41+B42+B43</f>
        <v>-120617.0996875</v>
      </c>
      <c r="C38" s="42">
        <f t="shared" ref="C38:N38" si="5">C39+C40+C41+C42+C43</f>
        <v>-214592.5</v>
      </c>
      <c r="D38" s="42">
        <f t="shared" si="5"/>
        <v>-163572.25937500002</v>
      </c>
      <c r="E38" s="42">
        <f t="shared" si="5"/>
        <v>-241808.06518552877</v>
      </c>
      <c r="F38" s="42">
        <f t="shared" si="5"/>
        <v>-255186.49366850581</v>
      </c>
      <c r="G38" s="42">
        <f t="shared" si="5"/>
        <v>-293752.85456091352</v>
      </c>
      <c r="H38" s="42">
        <f t="shared" si="5"/>
        <v>-322338.17677361239</v>
      </c>
      <c r="I38" s="42">
        <f t="shared" si="5"/>
        <v>-353342.90220649587</v>
      </c>
      <c r="J38" s="42">
        <f t="shared" si="5"/>
        <v>-372958.86371674109</v>
      </c>
      <c r="K38" s="42">
        <f t="shared" si="5"/>
        <v>-393513.7808285096</v>
      </c>
      <c r="L38" s="42">
        <f t="shared" si="5"/>
        <v>-415049.67085546919</v>
      </c>
      <c r="M38" s="42">
        <f t="shared" si="5"/>
        <v>-437610.34210263239</v>
      </c>
      <c r="N38" s="42">
        <f t="shared" si="5"/>
        <v>-461241.46776454139</v>
      </c>
    </row>
    <row r="39" spans="1:14" s="47" customFormat="1" ht="14.4">
      <c r="A39" s="47" t="s">
        <v>285</v>
      </c>
      <c r="B39" s="125">
        <f>'Tr CF 2012'!B38</f>
        <v>-78446.927812499998</v>
      </c>
      <c r="C39" s="125">
        <f>'Tr CF 2012'!C38</f>
        <v>-132367.5</v>
      </c>
      <c r="D39" s="125">
        <f>'Tr CF 2012'!D38</f>
        <v>-92023.509375000009</v>
      </c>
      <c r="E39" s="125">
        <f>'Tr P&amp;L proj'!E24</f>
        <v>-114561.00900000001</v>
      </c>
      <c r="F39" s="125">
        <f>'Tr P&amp;L proj'!F24</f>
        <v>-120899.28503999997</v>
      </c>
      <c r="G39" s="125">
        <f>'Tr P&amp;L proj'!G24</f>
        <v>-139170.80635547996</v>
      </c>
      <c r="H39" s="125">
        <f>'Tr P&amp;L proj'!H24</f>
        <v>-152713.62740557321</v>
      </c>
      <c r="I39" s="125">
        <f>'Tr P&amp;L proj'!I24</f>
        <v>-167402.68513668672</v>
      </c>
      <c r="J39" s="125">
        <f>'Tr P&amp;L proj'!J24</f>
        <v>-176696.10693134301</v>
      </c>
      <c r="K39" s="125">
        <f>'Tr P&amp;L proj'!K24</f>
        <v>-186434.37617570767</v>
      </c>
      <c r="L39" s="125">
        <f>'Tr P&amp;L proj'!L24</f>
        <v>-196637.39934331202</v>
      </c>
      <c r="M39" s="125">
        <f>'Tr P&amp;L proj'!M24</f>
        <v>-207325.93142270844</v>
      </c>
      <c r="N39" s="125">
        <f>'Tr P&amp;L proj'!N24</f>
        <v>-218521.61092809204</v>
      </c>
    </row>
    <row r="40" spans="1:14" s="47" customFormat="1" ht="28.8">
      <c r="A40" s="8" t="s">
        <v>283</v>
      </c>
      <c r="B40" s="125">
        <f>'Tr CF 2012'!B39</f>
        <v>0</v>
      </c>
      <c r="C40" s="125">
        <f>'Tr CF 2012'!C39</f>
        <v>0</v>
      </c>
      <c r="D40" s="125">
        <f>'Tr CF 2012'!D39</f>
        <v>0</v>
      </c>
      <c r="E40" s="125">
        <f>'Tr P&amp;L proj'!E25</f>
        <v>0</v>
      </c>
      <c r="F40" s="125">
        <f>'Tr P&amp;L proj'!F25</f>
        <v>0</v>
      </c>
      <c r="G40" s="125">
        <f>'Tr P&amp;L proj'!G25</f>
        <v>0</v>
      </c>
      <c r="H40" s="125">
        <f>'Tr P&amp;L proj'!H25</f>
        <v>0</v>
      </c>
      <c r="I40" s="125">
        <f>'Tr P&amp;L proj'!I25</f>
        <v>0</v>
      </c>
      <c r="J40" s="125">
        <f>'Tr P&amp;L proj'!J25</f>
        <v>0</v>
      </c>
      <c r="K40" s="125">
        <f>'Tr P&amp;L proj'!K25</f>
        <v>0</v>
      </c>
      <c r="L40" s="125">
        <f>'Tr P&amp;L proj'!L25</f>
        <v>0</v>
      </c>
      <c r="M40" s="125">
        <f>'Tr P&amp;L proj'!M25</f>
        <v>0</v>
      </c>
      <c r="N40" s="125">
        <f>'Tr P&amp;L proj'!N25</f>
        <v>0</v>
      </c>
    </row>
    <row r="41" spans="1:14" s="47" customFormat="1" ht="14.4">
      <c r="A41" s="47" t="s">
        <v>212</v>
      </c>
      <c r="B41" s="125">
        <f>'Tr CF 2012'!B40</f>
        <v>0</v>
      </c>
      <c r="C41" s="125">
        <f>'Tr CF 2012'!C40</f>
        <v>0</v>
      </c>
      <c r="D41" s="125">
        <f>'Tr CF 2012'!D40</f>
        <v>0</v>
      </c>
      <c r="E41" s="125">
        <f>'Tr P&amp;L proj'!E26</f>
        <v>0</v>
      </c>
      <c r="F41" s="125">
        <f>'Tr P&amp;L proj'!F26</f>
        <v>0</v>
      </c>
      <c r="G41" s="125">
        <f>'Tr P&amp;L proj'!G26</f>
        <v>0</v>
      </c>
      <c r="H41" s="125">
        <f>'Tr P&amp;L proj'!H26</f>
        <v>0</v>
      </c>
      <c r="I41" s="125">
        <f>'Tr P&amp;L proj'!I26</f>
        <v>0</v>
      </c>
      <c r="J41" s="125">
        <f>'Tr P&amp;L proj'!J26</f>
        <v>0</v>
      </c>
      <c r="K41" s="125">
        <f>'Tr P&amp;L proj'!K26</f>
        <v>0</v>
      </c>
      <c r="L41" s="125">
        <f>'Tr P&amp;L proj'!L26</f>
        <v>0</v>
      </c>
      <c r="M41" s="125">
        <f>'Tr P&amp;L proj'!M26</f>
        <v>0</v>
      </c>
      <c r="N41" s="125">
        <f>'Tr P&amp;L proj'!N26</f>
        <v>0</v>
      </c>
    </row>
    <row r="42" spans="1:14" s="44" customFormat="1" ht="28.8">
      <c r="A42" s="8" t="s">
        <v>284</v>
      </c>
      <c r="B42" s="125">
        <f>'Tr CF 2012'!B41</f>
        <v>0</v>
      </c>
      <c r="C42" s="125">
        <f>'Tr CF 2012'!C41</f>
        <v>0</v>
      </c>
      <c r="D42" s="125">
        <f>'Tr CF 2012'!D41</f>
        <v>0</v>
      </c>
      <c r="E42" s="125">
        <f>'Tr P&amp;L proj'!E27</f>
        <v>0</v>
      </c>
      <c r="F42" s="125">
        <f>'Tr P&amp;L proj'!F27</f>
        <v>0</v>
      </c>
      <c r="G42" s="125">
        <f>'Tr P&amp;L proj'!G27</f>
        <v>0</v>
      </c>
      <c r="H42" s="125">
        <f>'Tr P&amp;L proj'!H27</f>
        <v>0</v>
      </c>
      <c r="I42" s="125">
        <f>'Tr P&amp;L proj'!I27</f>
        <v>0</v>
      </c>
      <c r="J42" s="125">
        <f>'Tr P&amp;L proj'!J27</f>
        <v>0</v>
      </c>
      <c r="K42" s="125">
        <f>'Tr P&amp;L proj'!K27</f>
        <v>0</v>
      </c>
      <c r="L42" s="125">
        <f>'Tr P&amp;L proj'!L27</f>
        <v>0</v>
      </c>
      <c r="M42" s="125">
        <f>'Tr P&amp;L proj'!M27</f>
        <v>0</v>
      </c>
      <c r="N42" s="125">
        <f>'Tr P&amp;L proj'!N27</f>
        <v>0</v>
      </c>
    </row>
    <row r="43" spans="1:14" s="44" customFormat="1" ht="28.8">
      <c r="A43" s="8" t="s">
        <v>295</v>
      </c>
      <c r="B43" s="125">
        <f>'Tr CF 2012'!B42</f>
        <v>-42170.171875</v>
      </c>
      <c r="C43" s="125">
        <f>'Tr CF 2012'!C42</f>
        <v>-82225</v>
      </c>
      <c r="D43" s="125">
        <f>'Tr CF 2012'!D42</f>
        <v>-71548.75</v>
      </c>
      <c r="E43" s="43">
        <f>'Tr P&amp;L proj'!E29</f>
        <v>-127247.05618552878</v>
      </c>
      <c r="F43" s="43">
        <f>'Tr P&amp;L proj'!F29</f>
        <v>-134287.20862850585</v>
      </c>
      <c r="G43" s="43">
        <f>'Tr P&amp;L proj'!G29</f>
        <v>-154582.04820543353</v>
      </c>
      <c r="H43" s="43">
        <f>'Tr P&amp;L proj'!H29</f>
        <v>-169624.54936803918</v>
      </c>
      <c r="I43" s="43">
        <f>'Tr P&amp;L proj'!I29</f>
        <v>-185940.21706980912</v>
      </c>
      <c r="J43" s="43">
        <f>'Tr P&amp;L proj'!J29</f>
        <v>-196262.75678539809</v>
      </c>
      <c r="K43" s="43">
        <f>'Tr P&amp;L proj'!K29</f>
        <v>-207079.40465280192</v>
      </c>
      <c r="L43" s="43">
        <f>'Tr P&amp;L proj'!L29</f>
        <v>-218412.2715121572</v>
      </c>
      <c r="M43" s="43">
        <f>'Tr P&amp;L proj'!M29</f>
        <v>-230284.41067992395</v>
      </c>
      <c r="N43" s="43">
        <f>'Tr P&amp;L proj'!N29</f>
        <v>-242719.85683644935</v>
      </c>
    </row>
    <row r="44" spans="1:14" s="44" customFormat="1" ht="15.6">
      <c r="A44" s="95" t="s">
        <v>456</v>
      </c>
      <c r="B44" s="43">
        <f>'Tr CF 2012'!B43</f>
        <v>0</v>
      </c>
      <c r="C44" s="43">
        <f>'Tr CF 2012'!C43</f>
        <v>0</v>
      </c>
      <c r="D44" s="43">
        <f>'Tr CF 2012'!D43</f>
        <v>0</v>
      </c>
      <c r="E44" s="43">
        <f>'Tr Fin'!E24</f>
        <v>0</v>
      </c>
      <c r="F44" s="43">
        <f>'Tr Fin'!F24</f>
        <v>0</v>
      </c>
      <c r="G44" s="43">
        <f>'Tr Fin'!G24</f>
        <v>0</v>
      </c>
      <c r="H44" s="43">
        <f>'Tr Fin'!H24</f>
        <v>0</v>
      </c>
      <c r="I44" s="43">
        <f>'Tr Fin'!I24</f>
        <v>0</v>
      </c>
      <c r="J44" s="43">
        <f>'Tr Fin'!J24</f>
        <v>0</v>
      </c>
      <c r="K44" s="43">
        <f>'Tr Fin'!K24</f>
        <v>0</v>
      </c>
      <c r="L44" s="43">
        <f>'Tr Fin'!L24</f>
        <v>0</v>
      </c>
      <c r="M44" s="43">
        <f>'Tr Fin'!M24</f>
        <v>0</v>
      </c>
      <c r="N44" s="43">
        <f>'Tr Fin'!N24</f>
        <v>0</v>
      </c>
    </row>
    <row r="45" spans="1:14" s="44" customFormat="1" ht="15.6">
      <c r="A45" s="95" t="s">
        <v>457</v>
      </c>
      <c r="B45" s="43">
        <f>'Tr CF 2012'!B44</f>
        <v>0</v>
      </c>
      <c r="C45" s="43">
        <f>'Tr CF 2012'!C44</f>
        <v>0</v>
      </c>
      <c r="D45" s="43">
        <f>'Tr CF 2012'!D44</f>
        <v>0</v>
      </c>
      <c r="E45" s="43">
        <f>'Tr Fin'!E25</f>
        <v>0</v>
      </c>
      <c r="F45" s="43">
        <f>'Tr Fin'!F25</f>
        <v>0</v>
      </c>
      <c r="G45" s="43">
        <f>'Tr Fin'!G25</f>
        <v>0</v>
      </c>
      <c r="H45" s="43">
        <f>'Tr Fin'!H25</f>
        <v>0</v>
      </c>
      <c r="I45" s="43">
        <f>'Tr Fin'!I25</f>
        <v>0</v>
      </c>
      <c r="J45" s="43">
        <f>'Tr Fin'!J25</f>
        <v>0</v>
      </c>
      <c r="K45" s="43">
        <f>'Tr Fin'!K25</f>
        <v>0</v>
      </c>
      <c r="L45" s="43">
        <f>'Tr Fin'!L25</f>
        <v>0</v>
      </c>
      <c r="M45" s="43">
        <f>'Tr Fin'!M25</f>
        <v>0</v>
      </c>
      <c r="N45" s="43">
        <f>'Tr Fin'!N25</f>
        <v>0</v>
      </c>
    </row>
    <row r="46" spans="1:14">
      <c r="A46" s="9" t="s">
        <v>627</v>
      </c>
      <c r="B46" s="54">
        <f>B37+B38+B44+B45</f>
        <v>-120617.0996875</v>
      </c>
      <c r="C46" s="54">
        <f t="shared" ref="C46:N46" si="6">C37+C38+C44+C45</f>
        <v>-214592.5</v>
      </c>
      <c r="D46" s="54">
        <f t="shared" si="6"/>
        <v>-163572.25937500002</v>
      </c>
      <c r="E46" s="54">
        <f t="shared" si="6"/>
        <v>-241808.06518552877</v>
      </c>
      <c r="F46" s="54">
        <f t="shared" si="6"/>
        <v>-255186.49366850581</v>
      </c>
      <c r="G46" s="54">
        <f t="shared" si="6"/>
        <v>-293752.85456091352</v>
      </c>
      <c r="H46" s="54">
        <f t="shared" si="6"/>
        <v>-322338.17677361239</v>
      </c>
      <c r="I46" s="54">
        <f t="shared" si="6"/>
        <v>-353342.90220649587</v>
      </c>
      <c r="J46" s="54">
        <f t="shared" si="6"/>
        <v>-372958.86371674109</v>
      </c>
      <c r="K46" s="54">
        <f t="shared" si="6"/>
        <v>-393513.7808285096</v>
      </c>
      <c r="L46" s="54">
        <f t="shared" si="6"/>
        <v>-415049.67085546919</v>
      </c>
      <c r="M46" s="54">
        <f t="shared" si="6"/>
        <v>-437610.34210263239</v>
      </c>
      <c r="N46" s="54">
        <f t="shared" si="6"/>
        <v>-461241.46776454139</v>
      </c>
    </row>
    <row r="47" spans="1:14">
      <c r="A47" s="2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</row>
    <row r="48" spans="1:14" s="148" customFormat="1" ht="21">
      <c r="A48" s="85" t="s">
        <v>628</v>
      </c>
      <c r="B48" s="86">
        <f t="shared" ref="B48:N48" si="7">B46+B34+B23</f>
        <v>2201634.3758491445</v>
      </c>
      <c r="C48" s="86">
        <f t="shared" si="7"/>
        <v>2328278.6018750072</v>
      </c>
      <c r="D48" s="86">
        <f t="shared" si="7"/>
        <v>897100.09329921601</v>
      </c>
      <c r="E48" s="86">
        <f t="shared" si="7"/>
        <v>-359698.70548708417</v>
      </c>
      <c r="F48" s="86">
        <f t="shared" si="7"/>
        <v>1154010.6670505237</v>
      </c>
      <c r="G48" s="86">
        <f t="shared" si="7"/>
        <v>53113.412257494405</v>
      </c>
      <c r="H48" s="86">
        <f t="shared" si="7"/>
        <v>594927.92365483474</v>
      </c>
      <c r="I48" s="86">
        <f t="shared" si="7"/>
        <v>498532.07552998094</v>
      </c>
      <c r="J48" s="86">
        <f t="shared" si="7"/>
        <v>978917.57138133328</v>
      </c>
      <c r="K48" s="86">
        <f t="shared" si="7"/>
        <v>825280.11035959411</v>
      </c>
      <c r="L48" s="86">
        <f t="shared" si="7"/>
        <v>656251.93278729625</v>
      </c>
      <c r="M48" s="86">
        <f t="shared" si="7"/>
        <v>471005.32912861137</v>
      </c>
      <c r="N48" s="86">
        <f t="shared" si="7"/>
        <v>268655.2034061366</v>
      </c>
    </row>
    <row r="49" spans="1:14">
      <c r="B49" s="41"/>
      <c r="C49" s="41"/>
      <c r="D49" s="41"/>
      <c r="E49" s="3"/>
      <c r="F49" s="3"/>
      <c r="G49" s="3"/>
      <c r="H49" s="3"/>
    </row>
    <row r="50" spans="1:14">
      <c r="A50" s="9" t="s">
        <v>629</v>
      </c>
      <c r="B50" s="54">
        <f>'Pr BS 2012'!B18</f>
        <v>2361724.0199521054</v>
      </c>
      <c r="C50" s="54">
        <f>B51</f>
        <v>4563358.3958012499</v>
      </c>
      <c r="D50" s="54">
        <f t="shared" ref="D50:N50" si="8">C51</f>
        <v>6891636.997676257</v>
      </c>
      <c r="E50" s="54">
        <f t="shared" si="8"/>
        <v>7788737.0909754727</v>
      </c>
      <c r="F50" s="54">
        <f t="shared" si="8"/>
        <v>7429038.3854883881</v>
      </c>
      <c r="G50" s="54">
        <f t="shared" si="8"/>
        <v>8583049.0525389127</v>
      </c>
      <c r="H50" s="54">
        <f t="shared" si="8"/>
        <v>8636162.4647964071</v>
      </c>
      <c r="I50" s="54">
        <f t="shared" si="8"/>
        <v>9231090.388451241</v>
      </c>
      <c r="J50" s="54">
        <f t="shared" si="8"/>
        <v>9729622.4639812224</v>
      </c>
      <c r="K50" s="54">
        <f t="shared" si="8"/>
        <v>10708540.035362557</v>
      </c>
      <c r="L50" s="54">
        <f t="shared" si="8"/>
        <v>11533820.145722151</v>
      </c>
      <c r="M50" s="54">
        <f t="shared" si="8"/>
        <v>12190072.078509446</v>
      </c>
      <c r="N50" s="54">
        <f t="shared" si="8"/>
        <v>12661077.407638058</v>
      </c>
    </row>
    <row r="51" spans="1:14">
      <c r="A51" s="9" t="s">
        <v>630</v>
      </c>
      <c r="B51" s="54">
        <f>B50+B48</f>
        <v>4563358.3958012499</v>
      </c>
      <c r="C51" s="54">
        <f>C50+C48</f>
        <v>6891636.997676257</v>
      </c>
      <c r="D51" s="54">
        <f t="shared" ref="D51:N51" si="9">D50+D48</f>
        <v>7788737.0909754727</v>
      </c>
      <c r="E51" s="54">
        <f t="shared" si="9"/>
        <v>7429038.3854883881</v>
      </c>
      <c r="F51" s="54">
        <f t="shared" si="9"/>
        <v>8583049.0525389127</v>
      </c>
      <c r="G51" s="54">
        <f t="shared" si="9"/>
        <v>8636162.4647964071</v>
      </c>
      <c r="H51" s="54">
        <f t="shared" si="9"/>
        <v>9231090.388451241</v>
      </c>
      <c r="I51" s="54">
        <f t="shared" si="9"/>
        <v>9729622.4639812224</v>
      </c>
      <c r="J51" s="54">
        <f t="shared" si="9"/>
        <v>10708540.035362557</v>
      </c>
      <c r="K51" s="54">
        <f t="shared" si="9"/>
        <v>11533820.145722151</v>
      </c>
      <c r="L51" s="54">
        <f t="shared" si="9"/>
        <v>12190072.078509446</v>
      </c>
      <c r="M51" s="54">
        <f t="shared" si="9"/>
        <v>12661077.407638058</v>
      </c>
      <c r="N51" s="54">
        <f t="shared" si="9"/>
        <v>12929732.611044195</v>
      </c>
    </row>
    <row r="52" spans="1:14">
      <c r="B52" s="41"/>
      <c r="C52" s="41"/>
      <c r="D52" s="41"/>
      <c r="E52" s="3"/>
      <c r="F52" s="3"/>
      <c r="G52" s="3"/>
      <c r="H52" s="3"/>
    </row>
    <row r="53" spans="1:14">
      <c r="B53" s="41"/>
      <c r="C53" s="41"/>
      <c r="D53" s="41"/>
    </row>
    <row r="54" spans="1:14">
      <c r="B54" s="41"/>
      <c r="C54" s="41"/>
      <c r="D54" s="41"/>
    </row>
    <row r="55" spans="1:14">
      <c r="B55" s="41"/>
      <c r="C55" s="41"/>
      <c r="D55" s="41"/>
    </row>
    <row r="56" spans="1:14">
      <c r="B56" s="41"/>
      <c r="C56" s="41"/>
      <c r="D56" s="41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1:4">
      <c r="B65" s="41"/>
      <c r="C65" s="41"/>
      <c r="D65" s="41"/>
    </row>
    <row r="66" spans="1:4" ht="14.4">
      <c r="A66" s="2"/>
      <c r="B66" s="41"/>
      <c r="C66" s="41"/>
      <c r="D66" s="41"/>
    </row>
    <row r="67" spans="1:4" ht="14.4">
      <c r="A67" s="2"/>
      <c r="B67" s="41"/>
      <c r="C67" s="41"/>
      <c r="D67" s="41"/>
    </row>
    <row r="68" spans="1:4" ht="14.4">
      <c r="A68" s="2"/>
      <c r="B68" s="41"/>
      <c r="C68" s="41"/>
      <c r="D68" s="41"/>
    </row>
    <row r="69" spans="1:4" ht="14.4">
      <c r="A69" s="2"/>
      <c r="B69" s="41"/>
      <c r="C69" s="41"/>
      <c r="D69" s="41"/>
    </row>
    <row r="70" spans="1:4" ht="14.4">
      <c r="A70" s="2"/>
      <c r="B70" s="41"/>
      <c r="C70" s="41"/>
      <c r="D70" s="41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N54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9" sqref="B9"/>
    </sheetView>
  </sheetViews>
  <sheetFormatPr defaultRowHeight="18"/>
  <cols>
    <col min="1" max="1" width="79.44140625" style="49" customWidth="1"/>
    <col min="2" max="15" width="18.77734375" style="2" customWidth="1"/>
    <col min="16" max="16384" width="8.88671875" style="2"/>
  </cols>
  <sheetData>
    <row r="1" spans="1:14" ht="14.4">
      <c r="A1" s="303" t="s">
        <v>740</v>
      </c>
    </row>
    <row r="2" spans="1:14" ht="21">
      <c r="A2" s="92" t="s">
        <v>631</v>
      </c>
    </row>
    <row r="3" spans="1:14" ht="21">
      <c r="A3" s="92" t="s">
        <v>549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6">
      <c r="A7" s="1" t="s">
        <v>446</v>
      </c>
      <c r="B7" s="42">
        <f>'Cons CF 2012'!B6</f>
        <v>159594541.25</v>
      </c>
      <c r="C7" s="42">
        <f>'Cons CF 2012'!C6</f>
        <v>273455000</v>
      </c>
      <c r="D7" s="42">
        <f>'Cons CF 2012'!D6</f>
        <v>217422012.5</v>
      </c>
      <c r="E7" s="42">
        <f>'Pr CF proj'!E7+'Tr CF proj'!E7</f>
        <v>237104427</v>
      </c>
      <c r="F7" s="42">
        <f>'Pr CF proj'!F7+'Tr CF proj'!F7</f>
        <v>247895163.36999997</v>
      </c>
      <c r="G7" s="42">
        <f>'Pr CF proj'!G7+'Tr CF proj'!G7</f>
        <v>293983700.26037747</v>
      </c>
      <c r="H7" s="42">
        <f>'Pr CF proj'!H7+'Tr CF proj'!H7</f>
        <v>325436570.28257024</v>
      </c>
      <c r="I7" s="42">
        <f>'Pr CF proj'!I7+'Tr CF proj'!I7</f>
        <v>359682689.44911242</v>
      </c>
      <c r="J7" s="42">
        <f>'Pr CF proj'!J7+'Tr CF proj'!J7</f>
        <v>377101521.62024987</v>
      </c>
      <c r="K7" s="42">
        <f>'Pr CF proj'!K7+'Tr CF proj'!K7</f>
        <v>395299483.20472801</v>
      </c>
      <c r="L7" s="42">
        <f>'Pr CF proj'!L7+'Tr CF proj'!L7</f>
        <v>414310027.48392844</v>
      </c>
      <c r="M7" s="42">
        <f>'Pr CF proj'!M7+'Tr CF proj'!M7</f>
        <v>434167997.04207271</v>
      </c>
      <c r="N7" s="42">
        <f>'Pr CF proj'!N7+'Tr CF proj'!N7</f>
        <v>454909680.11741775</v>
      </c>
    </row>
    <row r="8" spans="1:14" s="1" customFormat="1" ht="15.6">
      <c r="A8" s="1" t="s">
        <v>665</v>
      </c>
      <c r="B8" s="42">
        <f>'Cons CF 2012'!B7</f>
        <v>-150994972.67124659</v>
      </c>
      <c r="C8" s="42">
        <f>'Cons CF 2012'!C7</f>
        <v>-247732974.56570166</v>
      </c>
      <c r="D8" s="42">
        <f>'Cons CF 2012'!D7</f>
        <v>-193381495.57528296</v>
      </c>
      <c r="E8" s="42">
        <f>'Pr CF proj'!E10+'Tr CF proj'!E10</f>
        <v>-224125715.60120562</v>
      </c>
      <c r="F8" s="42">
        <f>'Pr CF proj'!F10+'Tr CF proj'!F10</f>
        <v>-235267727.34028339</v>
      </c>
      <c r="G8" s="42">
        <f>'Pr CF proj'!G10+'Tr CF proj'!G10</f>
        <v>-270389372.98719084</v>
      </c>
      <c r="H8" s="42">
        <f>'Pr CF proj'!H10+'Tr CF proj'!H10</f>
        <v>-295540480.61706865</v>
      </c>
      <c r="I8" s="42">
        <f>'Pr CF proj'!I10+'Tr CF proj'!I10</f>
        <v>-322102262.1977216</v>
      </c>
      <c r="J8" s="42">
        <f>'Pr CF proj'!J10+'Tr CF proj'!J10</f>
        <v>-337400662.59339976</v>
      </c>
      <c r="K8" s="42">
        <f>'Pr CF proj'!K10+'Tr CF proj'!K10</f>
        <v>-353177833.2522105</v>
      </c>
      <c r="L8" s="42">
        <f>'Pr CF proj'!L10+'Tr CF proj'!L10</f>
        <v>-369714522.28711218</v>
      </c>
      <c r="M8" s="42">
        <f>'Pr CF proj'!M10+'Tr CF proj'!M10</f>
        <v>-386625883.15571678</v>
      </c>
      <c r="N8" s="42">
        <f>'Pr CF proj'!N10+'Tr CF proj'!N10</f>
        <v>-404167933.63444543</v>
      </c>
    </row>
    <row r="9" spans="1:14" s="47" customFormat="1" ht="15.6">
      <c r="A9" s="1" t="s">
        <v>452</v>
      </c>
      <c r="B9" s="42">
        <f>'Cons CF 2012'!B8</f>
        <v>0</v>
      </c>
      <c r="C9" s="42">
        <f>'Cons CF 2012'!C8</f>
        <v>0</v>
      </c>
      <c r="D9" s="42">
        <f>'Cons CF 2012'!D8</f>
        <v>0</v>
      </c>
      <c r="E9" s="42">
        <f>'Pr CF proj'!E25+'Tr CF proj'!E22</f>
        <v>2223812.902423963</v>
      </c>
      <c r="F9" s="42">
        <f>'Pr CF proj'!F25+'Tr CF proj'!F22</f>
        <v>1469836.1840970069</v>
      </c>
      <c r="G9" s="42">
        <f>'Pr CF proj'!G25+'Tr CF proj'!G22</f>
        <v>7058173.1763506196</v>
      </c>
      <c r="H9" s="42">
        <f>'Pr CF proj'!H25+'Tr CF proj'!H22</f>
        <v>4483496.7062091008</v>
      </c>
      <c r="I9" s="42">
        <f>'Pr CF proj'!I25+'Tr CF proj'!I22</f>
        <v>5313610.6973575093</v>
      </c>
      <c r="J9" s="42">
        <f>'Pr CF proj'!J25+'Tr CF proj'!J22</f>
        <v>2364586.0344635248</v>
      </c>
      <c r="K9" s="42">
        <f>'Pr CF proj'!K25+'Tr CF proj'!K22</f>
        <v>2436863.9711911939</v>
      </c>
      <c r="L9" s="42">
        <f>'Pr CF proj'!L25+'Tr CF proj'!L22</f>
        <v>2210020.2054872029</v>
      </c>
      <c r="M9" s="42">
        <f>'Pr CF proj'!M25+'Tr CF proj'!M22</f>
        <v>2525733.0162996463</v>
      </c>
      <c r="N9" s="42">
        <f>'Pr CF proj'!N25+'Tr CF proj'!N22</f>
        <v>2577795.7192789279</v>
      </c>
    </row>
    <row r="10" spans="1:14">
      <c r="A10" s="9" t="s">
        <v>610</v>
      </c>
      <c r="B10" s="54">
        <f>B7+B8-B9</f>
        <v>8599568.5787534118</v>
      </c>
      <c r="C10" s="54">
        <f t="shared" ref="C10:N10" si="0">C7+C8-C9</f>
        <v>25722025.434298337</v>
      </c>
      <c r="D10" s="54">
        <f t="shared" si="0"/>
        <v>24040516.924717039</v>
      </c>
      <c r="E10" s="54">
        <f t="shared" si="0"/>
        <v>10754898.49637042</v>
      </c>
      <c r="F10" s="54">
        <f t="shared" si="0"/>
        <v>11157599.845619574</v>
      </c>
      <c r="G10" s="54">
        <f t="shared" si="0"/>
        <v>16536154.096836004</v>
      </c>
      <c r="H10" s="54">
        <f t="shared" si="0"/>
        <v>25412592.959292494</v>
      </c>
      <c r="I10" s="54">
        <f t="shared" si="0"/>
        <v>32266816.554033305</v>
      </c>
      <c r="J10" s="54">
        <f t="shared" si="0"/>
        <v>37336272.99238658</v>
      </c>
      <c r="K10" s="54">
        <f t="shared" si="0"/>
        <v>39684785.981326312</v>
      </c>
      <c r="L10" s="54">
        <f t="shared" si="0"/>
        <v>42385484.991329059</v>
      </c>
      <c r="M10" s="54">
        <f t="shared" si="0"/>
        <v>45016380.870056286</v>
      </c>
      <c r="N10" s="54">
        <f t="shared" si="0"/>
        <v>48163950.763693392</v>
      </c>
    </row>
    <row r="11" spans="1:14">
      <c r="A11" s="9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</row>
    <row r="12" spans="1:14" ht="21">
      <c r="A12" s="92" t="s">
        <v>611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4" s="47" customFormat="1" ht="14.4">
      <c r="A13" s="8" t="s">
        <v>613</v>
      </c>
      <c r="B13" s="125">
        <f>'Cons CF 2012'!B12</f>
        <v>0</v>
      </c>
      <c r="C13" s="125">
        <f>'Cons CF 2012'!C12</f>
        <v>0</v>
      </c>
      <c r="D13" s="125">
        <f>'Cons CF 2012'!D12</f>
        <v>0</v>
      </c>
      <c r="E13" s="125">
        <f>'Pr CF proj'!E29+'Tr CF proj'!E26</f>
        <v>0</v>
      </c>
      <c r="F13" s="125">
        <f>'Pr CF proj'!F29+'Tr CF proj'!F26</f>
        <v>0</v>
      </c>
      <c r="G13" s="125">
        <f>'Pr CF proj'!G29+'Tr CF proj'!G26</f>
        <v>0</v>
      </c>
      <c r="H13" s="125">
        <f>'Pr CF proj'!H29+'Tr CF proj'!H26</f>
        <v>0</v>
      </c>
      <c r="I13" s="125">
        <f>'Pr CF proj'!I29+'Tr CF proj'!I26</f>
        <v>0</v>
      </c>
      <c r="J13" s="125">
        <f>'Pr CF proj'!J29+'Tr CF proj'!J26</f>
        <v>0</v>
      </c>
      <c r="K13" s="125">
        <f>'Pr CF proj'!K29+'Tr CF proj'!K26</f>
        <v>0</v>
      </c>
      <c r="L13" s="125">
        <f>'Pr CF proj'!L29+'Tr CF proj'!L26</f>
        <v>0</v>
      </c>
      <c r="M13" s="125">
        <f>'Pr CF proj'!M29+'Tr CF proj'!M26</f>
        <v>0</v>
      </c>
      <c r="N13" s="125">
        <f>'Pr CF proj'!N29+'Tr CF proj'!N26</f>
        <v>0</v>
      </c>
    </row>
    <row r="14" spans="1:14" s="47" customFormat="1" ht="14.4">
      <c r="A14" s="8" t="s">
        <v>614</v>
      </c>
      <c r="B14" s="125">
        <f>'Cons CF 2012'!B13</f>
        <v>-2178193.2238896429</v>
      </c>
      <c r="C14" s="125">
        <f>'Cons CF 2012'!C13</f>
        <v>-2396304.7398686586</v>
      </c>
      <c r="D14" s="125">
        <f>'Cons CF 2012'!D13</f>
        <v>-2415350.0325267138</v>
      </c>
      <c r="E14" s="125">
        <f>'Pr CF proj'!E30+'Tr CF proj'!E27</f>
        <v>-2485700.0334740938</v>
      </c>
      <c r="F14" s="125">
        <f>'Pr CF proj'!F30+'Tr CF proj'!F27</f>
        <v>-2546032.5585584166</v>
      </c>
      <c r="G14" s="125">
        <f>'Pr CF proj'!G30+'Tr CF proj'!G27</f>
        <v>-2595470.0839673169</v>
      </c>
      <c r="H14" s="125">
        <f>'Pr CF proj'!H30+'Tr CF proj'!H27</f>
        <v>-2633268.1919862591</v>
      </c>
      <c r="I14" s="125">
        <f>'Pr CF proj'!I30+'Tr CF proj'!I27</f>
        <v>-2658833.9025880676</v>
      </c>
      <c r="J14" s="125">
        <f>'Pr CF proj'!J30+'Tr CF proj'!J27</f>
        <v>-2671740.8632802414</v>
      </c>
      <c r="K14" s="125">
        <f>'Pr CF proj'!K30+'Tr CF proj'!K27</f>
        <v>-2671740.8632802414</v>
      </c>
      <c r="L14" s="125">
        <f>'Pr CF proj'!L30+'Tr CF proj'!L27</f>
        <v>-2658771.2474390748</v>
      </c>
      <c r="M14" s="125">
        <f>'Pr CF proj'!M30+'Tr CF proj'!M27</f>
        <v>-2632957.9343571425</v>
      </c>
      <c r="N14" s="125">
        <f>'Pr CF proj'!N30+'Tr CF proj'!N27</f>
        <v>-2594613.8867694172</v>
      </c>
    </row>
    <row r="15" spans="1:14" s="47" customFormat="1" ht="14.4">
      <c r="A15" s="8" t="s">
        <v>615</v>
      </c>
      <c r="B15" s="125">
        <f>'Cons CF 2012'!B14</f>
        <v>0</v>
      </c>
      <c r="C15" s="125">
        <f>'Cons CF 2012'!C14</f>
        <v>-7500000</v>
      </c>
      <c r="D15" s="125">
        <f>'Cons CF 2012'!D14</f>
        <v>0</v>
      </c>
      <c r="E15" s="125">
        <f>'Pr CF proj'!E31+'Tr CF proj'!E28</f>
        <v>0</v>
      </c>
      <c r="F15" s="125">
        <f>'Pr CF proj'!F31+'Tr CF proj'!F28</f>
        <v>0</v>
      </c>
      <c r="G15" s="125">
        <f>'Pr CF proj'!G31+'Tr CF proj'!G28</f>
        <v>-6000000</v>
      </c>
      <c r="H15" s="125">
        <f>'Pr CF proj'!H31+'Tr CF proj'!H28</f>
        <v>-3000000</v>
      </c>
      <c r="I15" s="125">
        <f>'Pr CF proj'!I31+'Tr CF proj'!I28</f>
        <v>-3000000</v>
      </c>
      <c r="J15" s="125">
        <f>'Pr CF proj'!J31+'Tr CF proj'!J28</f>
        <v>0</v>
      </c>
      <c r="K15" s="125">
        <f>'Pr CF proj'!K31+'Tr CF proj'!K28</f>
        <v>0</v>
      </c>
      <c r="L15" s="125">
        <f>'Pr CF proj'!L31+'Tr CF proj'!L28</f>
        <v>0</v>
      </c>
      <c r="M15" s="125">
        <f>'Pr CF proj'!M31+'Tr CF proj'!M28</f>
        <v>0</v>
      </c>
      <c r="N15" s="125">
        <f>'Pr CF proj'!N31+'Tr CF proj'!N28</f>
        <v>0</v>
      </c>
    </row>
    <row r="16" spans="1:14" s="47" customFormat="1" ht="14.4">
      <c r="A16" s="8" t="s">
        <v>616</v>
      </c>
      <c r="B16" s="125">
        <f>'Cons CF 2012'!B15</f>
        <v>0</v>
      </c>
      <c r="C16" s="125">
        <f>'Cons CF 2012'!C15</f>
        <v>0</v>
      </c>
      <c r="D16" s="125">
        <f>'Cons CF 2012'!D15</f>
        <v>0</v>
      </c>
      <c r="E16" s="125">
        <f>'Pr CF proj'!E32+'Tr CF proj'!E29</f>
        <v>0</v>
      </c>
      <c r="F16" s="125">
        <f>'Pr CF proj'!F32+'Tr CF proj'!F29</f>
        <v>0</v>
      </c>
      <c r="G16" s="125">
        <f>'Pr CF proj'!G32+'Tr CF proj'!G29</f>
        <v>0</v>
      </c>
      <c r="H16" s="125">
        <f>'Pr CF proj'!H32+'Tr CF proj'!H29</f>
        <v>0</v>
      </c>
      <c r="I16" s="125">
        <f>'Pr CF proj'!I32+'Tr CF proj'!I29</f>
        <v>0</v>
      </c>
      <c r="J16" s="125">
        <f>'Pr CF proj'!J32+'Tr CF proj'!J29</f>
        <v>0</v>
      </c>
      <c r="K16" s="125">
        <f>'Pr CF proj'!K32+'Tr CF proj'!K29</f>
        <v>0</v>
      </c>
      <c r="L16" s="125">
        <f>'Pr CF proj'!L32+'Tr CF proj'!L29</f>
        <v>0</v>
      </c>
      <c r="M16" s="125">
        <f>'Pr CF proj'!M32+'Tr CF proj'!M29</f>
        <v>0</v>
      </c>
      <c r="N16" s="125">
        <f>'Pr CF proj'!N32+'Tr CF proj'!N29</f>
        <v>0</v>
      </c>
    </row>
    <row r="17" spans="1:14" s="47" customFormat="1" ht="14.4">
      <c r="A17" s="8" t="s">
        <v>617</v>
      </c>
      <c r="B17" s="125">
        <f>'Cons CF 2012'!B16</f>
        <v>0</v>
      </c>
      <c r="C17" s="125">
        <f>'Cons CF 2012'!C16</f>
        <v>-23963047.398686584</v>
      </c>
      <c r="D17" s="125">
        <f>'Cons CF 2012'!D16</f>
        <v>0</v>
      </c>
      <c r="E17" s="125">
        <f>'Pr CF proj'!E33+'Tr CF proj'!E30</f>
        <v>0</v>
      </c>
      <c r="F17" s="125">
        <f>'Pr CF proj'!F33+'Tr CF proj'!F30</f>
        <v>0</v>
      </c>
      <c r="G17" s="125">
        <f>'Pr CF proj'!G33+'Tr CF proj'!G30</f>
        <v>-20763760.671738543</v>
      </c>
      <c r="H17" s="125">
        <f>'Pr CF proj'!H33+'Tr CF proj'!H30</f>
        <v>-10533072.767945036</v>
      </c>
      <c r="I17" s="125">
        <f>'Pr CF proj'!I33+'Tr CF proj'!I30</f>
        <v>-10635335.61035227</v>
      </c>
      <c r="J17" s="125">
        <f>'Pr CF proj'!J33+'Tr CF proj'!J30</f>
        <v>0</v>
      </c>
      <c r="K17" s="125">
        <f>'Pr CF proj'!K33+'Tr CF proj'!K30</f>
        <v>0</v>
      </c>
      <c r="L17" s="125">
        <f>'Pr CF proj'!L33+'Tr CF proj'!L30</f>
        <v>0</v>
      </c>
      <c r="M17" s="125">
        <f>'Pr CF proj'!M33+'Tr CF proj'!M30</f>
        <v>0</v>
      </c>
      <c r="N17" s="125">
        <f>'Pr CF proj'!N33+'Tr CF proj'!N30</f>
        <v>0</v>
      </c>
    </row>
    <row r="18" spans="1:14" s="47" customFormat="1" ht="14.4">
      <c r="A18" s="8" t="s">
        <v>618</v>
      </c>
      <c r="B18" s="125">
        <f>'Cons CF 2012'!B17</f>
        <v>0</v>
      </c>
      <c r="C18" s="125">
        <f>'Cons CF 2012'!C17</f>
        <v>0</v>
      </c>
      <c r="D18" s="125">
        <f>'Cons CF 2012'!D17</f>
        <v>0</v>
      </c>
      <c r="E18" s="125">
        <f>'Pr CF proj'!E34+'Tr CF proj'!E31</f>
        <v>0</v>
      </c>
      <c r="F18" s="125">
        <f>'Pr CF proj'!F34+'Tr CF proj'!F31</f>
        <v>0</v>
      </c>
      <c r="G18" s="125">
        <f>'Pr CF proj'!G34+'Tr CF proj'!G31</f>
        <v>0</v>
      </c>
      <c r="H18" s="125">
        <f>'Pr CF proj'!H34+'Tr CF proj'!H31</f>
        <v>0</v>
      </c>
      <c r="I18" s="125">
        <f>'Pr CF proj'!I34+'Tr CF proj'!I31</f>
        <v>0</v>
      </c>
      <c r="J18" s="125">
        <f>'Pr CF proj'!J34+'Tr CF proj'!J31</f>
        <v>0</v>
      </c>
      <c r="K18" s="125">
        <f>'Pr CF proj'!K34+'Tr CF proj'!K31</f>
        <v>0</v>
      </c>
      <c r="L18" s="125">
        <f>'Pr CF proj'!L34+'Tr CF proj'!L31</f>
        <v>0</v>
      </c>
      <c r="M18" s="125">
        <f>'Pr CF proj'!M34+'Tr CF proj'!M31</f>
        <v>0</v>
      </c>
      <c r="N18" s="125">
        <f>'Pr CF proj'!N34+'Tr CF proj'!N31</f>
        <v>0</v>
      </c>
    </row>
    <row r="19" spans="1:14" s="47" customFormat="1" ht="14.4">
      <c r="A19" s="8" t="s">
        <v>619</v>
      </c>
      <c r="B19" s="125">
        <f>'Cons CF 2012'!B18</f>
        <v>0</v>
      </c>
      <c r="C19" s="125">
        <f>'Cons CF 2012'!C18</f>
        <v>0</v>
      </c>
      <c r="D19" s="125">
        <f>'Cons CF 2012'!D18</f>
        <v>0</v>
      </c>
      <c r="E19" s="125">
        <f>'Pr CF proj'!E35+'Tr CF proj'!E32</f>
        <v>0</v>
      </c>
      <c r="F19" s="125">
        <f>'Pr CF proj'!F35+'Tr CF proj'!F32</f>
        <v>0</v>
      </c>
      <c r="G19" s="125">
        <f>'Pr CF proj'!G35+'Tr CF proj'!G32</f>
        <v>0</v>
      </c>
      <c r="H19" s="125">
        <f>'Pr CF proj'!H35+'Tr CF proj'!H32</f>
        <v>0</v>
      </c>
      <c r="I19" s="125">
        <f>'Pr CF proj'!I35+'Tr CF proj'!I32</f>
        <v>0</v>
      </c>
      <c r="J19" s="125">
        <f>'Pr CF proj'!J35+'Tr CF proj'!J32</f>
        <v>0</v>
      </c>
      <c r="K19" s="125">
        <f>'Pr CF proj'!K35+'Tr CF proj'!K32</f>
        <v>0</v>
      </c>
      <c r="L19" s="125">
        <f>'Pr CF proj'!L35+'Tr CF proj'!L32</f>
        <v>0</v>
      </c>
      <c r="M19" s="125">
        <f>'Pr CF proj'!M35+'Tr CF proj'!M32</f>
        <v>0</v>
      </c>
      <c r="N19" s="125">
        <f>'Pr CF proj'!N35+'Tr CF proj'!N32</f>
        <v>0</v>
      </c>
    </row>
    <row r="20" spans="1:14" s="47" customFormat="1" ht="14.4">
      <c r="A20" s="8" t="s">
        <v>651</v>
      </c>
      <c r="B20" s="125">
        <f>'Cons CF 2012'!B19</f>
        <v>0</v>
      </c>
      <c r="C20" s="125">
        <f>'Cons CF 2012'!C19</f>
        <v>0</v>
      </c>
      <c r="D20" s="125">
        <f>'Cons CF 2012'!D19</f>
        <v>0</v>
      </c>
      <c r="E20" s="125">
        <f>'Pr CF proj'!E36+'Tr CF proj'!E33</f>
        <v>0</v>
      </c>
      <c r="F20" s="125">
        <f>'Pr CF proj'!F36+'Tr CF proj'!F33</f>
        <v>0</v>
      </c>
      <c r="G20" s="125">
        <f>'Pr CF proj'!G36+'Tr CF proj'!G33</f>
        <v>0</v>
      </c>
      <c r="H20" s="125">
        <f>'Pr CF proj'!H36+'Tr CF proj'!H33</f>
        <v>0</v>
      </c>
      <c r="I20" s="125">
        <f>'Pr CF proj'!I36+'Tr CF proj'!I33</f>
        <v>0</v>
      </c>
      <c r="J20" s="125">
        <f>'Pr CF proj'!J36+'Tr CF proj'!J33</f>
        <v>0</v>
      </c>
      <c r="K20" s="125">
        <f>'Pr CF proj'!K36+'Tr CF proj'!K33</f>
        <v>0</v>
      </c>
      <c r="L20" s="125">
        <f>'Pr CF proj'!L36+'Tr CF proj'!L33</f>
        <v>0</v>
      </c>
      <c r="M20" s="125">
        <f>'Pr CF proj'!M36+'Tr CF proj'!M33</f>
        <v>0</v>
      </c>
      <c r="N20" s="125">
        <f>'Pr CF proj'!N36+'Tr CF proj'!N33</f>
        <v>0</v>
      </c>
    </row>
    <row r="21" spans="1:14" s="36" customFormat="1">
      <c r="A21" s="9" t="s">
        <v>620</v>
      </c>
      <c r="B21" s="54">
        <f>SUM(B13:B20)</f>
        <v>-2178193.2238896429</v>
      </c>
      <c r="C21" s="54">
        <f t="shared" ref="C21:N21" si="1">SUM(C13:C20)</f>
        <v>-33859352.138555244</v>
      </c>
      <c r="D21" s="54">
        <f t="shared" si="1"/>
        <v>-2415350.0325267138</v>
      </c>
      <c r="E21" s="54">
        <f t="shared" si="1"/>
        <v>-2485700.0334740938</v>
      </c>
      <c r="F21" s="54">
        <f t="shared" si="1"/>
        <v>-2546032.5585584166</v>
      </c>
      <c r="G21" s="54">
        <f t="shared" si="1"/>
        <v>-29359230.75570586</v>
      </c>
      <c r="H21" s="54">
        <f t="shared" si="1"/>
        <v>-16166340.959931295</v>
      </c>
      <c r="I21" s="54">
        <f t="shared" si="1"/>
        <v>-16294169.512940338</v>
      </c>
      <c r="J21" s="54">
        <f t="shared" si="1"/>
        <v>-2671740.8632802414</v>
      </c>
      <c r="K21" s="54">
        <f t="shared" si="1"/>
        <v>-2671740.8632802414</v>
      </c>
      <c r="L21" s="54">
        <f t="shared" si="1"/>
        <v>-2658771.2474390748</v>
      </c>
      <c r="M21" s="54">
        <f t="shared" si="1"/>
        <v>-2632957.9343571425</v>
      </c>
      <c r="N21" s="54">
        <f t="shared" si="1"/>
        <v>-2594613.8867694172</v>
      </c>
    </row>
    <row r="22" spans="1:14" s="44" customFormat="1">
      <c r="A22" s="9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</row>
    <row r="23" spans="1:14" ht="21">
      <c r="A23" s="92" t="s">
        <v>621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s="1" customFormat="1" ht="15.6">
      <c r="A24" s="95" t="s">
        <v>404</v>
      </c>
      <c r="B24" s="42">
        <f>'Cons CF 2012'!B23</f>
        <v>1779374.9999999958</v>
      </c>
      <c r="C24" s="42">
        <f>'Cons CF 2012'!C23</f>
        <v>0</v>
      </c>
      <c r="D24" s="42">
        <f>'Cons CF 2012'!D23</f>
        <v>0</v>
      </c>
      <c r="E24" s="42">
        <f>'Pr CF proj'!E40+'Tr CF proj'!E37</f>
        <v>0</v>
      </c>
      <c r="F24" s="42">
        <f>'Pr CF proj'!F40+'Tr CF proj'!F37</f>
        <v>0</v>
      </c>
      <c r="G24" s="42">
        <f>'Pr CF proj'!G40+'Tr CF proj'!G37</f>
        <v>0</v>
      </c>
      <c r="H24" s="42">
        <f>'Pr CF proj'!H40+'Tr CF proj'!H37</f>
        <v>0</v>
      </c>
      <c r="I24" s="42">
        <f>'Pr CF proj'!I40+'Tr CF proj'!I37</f>
        <v>0</v>
      </c>
      <c r="J24" s="42">
        <f>'Pr CF proj'!J40+'Tr CF proj'!J37</f>
        <v>0</v>
      </c>
      <c r="K24" s="42">
        <f>'Pr CF proj'!K40+'Tr CF proj'!K37</f>
        <v>0</v>
      </c>
      <c r="L24" s="42">
        <f>'Pr CF proj'!L40+'Tr CF proj'!L37</f>
        <v>0</v>
      </c>
      <c r="M24" s="42">
        <f>'Pr CF proj'!M40+'Tr CF proj'!M37</f>
        <v>0</v>
      </c>
      <c r="N24" s="42">
        <f>'Pr CF proj'!N40+'Tr CF proj'!N37</f>
        <v>0</v>
      </c>
    </row>
    <row r="25" spans="1:14" s="1" customFormat="1" ht="15.6">
      <c r="A25" s="1" t="s">
        <v>401</v>
      </c>
      <c r="B25" s="42">
        <f>'Cons CF 2012'!B24</f>
        <v>-940842.95906250004</v>
      </c>
      <c r="C25" s="42">
        <f>'Cons CF 2012'!C24</f>
        <v>-1948612.5457654225</v>
      </c>
      <c r="D25" s="42">
        <f>'Cons CF 2012'!D24</f>
        <v>-1736374.3481294522</v>
      </c>
      <c r="E25" s="42">
        <f>'Pr CF proj'!E41+'Tr CF proj'!E38+'Pr CF proj'!E49</f>
        <v>-1574611.0791811864</v>
      </c>
      <c r="F25" s="42">
        <f>'Pr CF proj'!F41+'Tr CF proj'!F38+'Pr CF proj'!F49</f>
        <v>-1511324.2475138668</v>
      </c>
      <c r="G25" s="42">
        <f>'Pr CF proj'!G41+'Tr CF proj'!G38+'Pr CF proj'!G49</f>
        <v>-1703570.2480712491</v>
      </c>
      <c r="H25" s="42">
        <f>'Pr CF proj'!H41+'Tr CF proj'!H38+'Pr CF proj'!H49</f>
        <v>-1825912.7720173239</v>
      </c>
      <c r="I25" s="42">
        <f>'Pr CF proj'!I41+'Tr CF proj'!I38+'Pr CF proj'!I49</f>
        <v>-1916544.4760549525</v>
      </c>
      <c r="J25" s="42">
        <f>'Pr CF proj'!J41+'Tr CF proj'!J38+'Pr CF proj'!J49</f>
        <v>-1955041.2426498937</v>
      </c>
      <c r="K25" s="42">
        <f>'Pr CF proj'!K41+'Tr CF proj'!K38+'Pr CF proj'!K49</f>
        <v>-1995137.7930243227</v>
      </c>
      <c r="L25" s="42">
        <f>'Pr CF proj'!L41+'Tr CF proj'!L38+'Pr CF proj'!L49</f>
        <v>-2036899.2734781355</v>
      </c>
      <c r="M25" s="42">
        <f>'Pr CF proj'!M41+'Tr CF proj'!M38+'Pr CF proj'!M49</f>
        <v>-2080393.4308170921</v>
      </c>
      <c r="N25" s="42">
        <f>'Pr CF proj'!N41+'Tr CF proj'!N38+'Pr CF proj'!N49</f>
        <v>-2125690.7145840074</v>
      </c>
    </row>
    <row r="26" spans="1:14" s="47" customFormat="1" ht="15.6">
      <c r="A26" s="95" t="s">
        <v>456</v>
      </c>
      <c r="B26" s="42">
        <f>'Cons CF 2012'!B25</f>
        <v>0</v>
      </c>
      <c r="C26" s="42">
        <f>'Cons CF 2012'!C25</f>
        <v>10207900.915308449</v>
      </c>
      <c r="D26" s="42">
        <f>'Cons CF 2012'!D25</f>
        <v>8051166.775089046</v>
      </c>
      <c r="E26" s="42">
        <f>'Pr CF proj'!E45+'Tr CF proj'!E44</f>
        <v>5315333.4049131563</v>
      </c>
      <c r="F26" s="42">
        <f>'Pr CF proj'!F45+'Tr CF proj'!F44</f>
        <v>3642718.4956572172</v>
      </c>
      <c r="G26" s="42">
        <f>'Pr CF proj'!G45+'Tr CF proj'!G44</f>
        <v>2063028.2742395243</v>
      </c>
      <c r="H26" s="42">
        <f>'Pr CF proj'!H45+'Tr CF proj'!H44</f>
        <v>1430671.4800551487</v>
      </c>
      <c r="I26" s="42">
        <f>'Pr CF proj'!I45+'Tr CF proj'!I44</f>
        <v>0</v>
      </c>
      <c r="J26" s="42">
        <f>'Pr CF proj'!J45+'Tr CF proj'!J44</f>
        <v>0</v>
      </c>
      <c r="K26" s="42">
        <f>'Pr CF proj'!K45+'Tr CF proj'!K44</f>
        <v>0</v>
      </c>
      <c r="L26" s="42">
        <f>'Pr CF proj'!L45+'Tr CF proj'!L44</f>
        <v>0</v>
      </c>
      <c r="M26" s="42">
        <f>'Pr CF proj'!M45+'Tr CF proj'!M44</f>
        <v>0</v>
      </c>
      <c r="N26" s="42">
        <f>'Pr CF proj'!N45+'Tr CF proj'!N44</f>
        <v>0</v>
      </c>
    </row>
    <row r="27" spans="1:14" s="47" customFormat="1" ht="15.6">
      <c r="A27" s="95" t="s">
        <v>457</v>
      </c>
      <c r="B27" s="42">
        <f>'Cons CF 2012'!B26</f>
        <v>0</v>
      </c>
      <c r="C27" s="42">
        <f>'Cons CF 2012'!C26</f>
        <v>0</v>
      </c>
      <c r="D27" s="42">
        <f>'Cons CF 2012'!D26</f>
        <v>-9661400.1301068552</v>
      </c>
      <c r="E27" s="42">
        <f>'Pr CF proj'!E46+'Tr CF proj'!E45</f>
        <v>-7816666.7719311118</v>
      </c>
      <c r="F27" s="42">
        <f>'Pr CF proj'!F46+'Tr CF proj'!F45</f>
        <v>-5160517.8688477241</v>
      </c>
      <c r="G27" s="42">
        <f>'Pr CF proj'!G46+'Tr CF proj'!G45</f>
        <v>-3536619.8986963271</v>
      </c>
      <c r="H27" s="42">
        <f>'Pr CF proj'!H46+'Tr CF proj'!H45</f>
        <v>-2002940.0720772082</v>
      </c>
      <c r="I27" s="42">
        <f>'Pr CF proj'!I46+'Tr CF proj'!I45</f>
        <v>-1389001.4369467462</v>
      </c>
      <c r="J27" s="42">
        <f>'Pr CF proj'!J46+'Tr CF proj'!J45</f>
        <v>0</v>
      </c>
      <c r="K27" s="42">
        <f>'Pr CF proj'!K46+'Tr CF proj'!K45</f>
        <v>0</v>
      </c>
      <c r="L27" s="42">
        <f>'Pr CF proj'!L46+'Tr CF proj'!L45</f>
        <v>0</v>
      </c>
      <c r="M27" s="42">
        <f>'Pr CF proj'!M46+'Tr CF proj'!M45</f>
        <v>0</v>
      </c>
      <c r="N27" s="42">
        <f>'Pr CF proj'!N46+'Tr CF proj'!N45</f>
        <v>0</v>
      </c>
    </row>
    <row r="28" spans="1:14" s="47" customFormat="1" ht="15.6">
      <c r="A28" s="95" t="s">
        <v>463</v>
      </c>
      <c r="B28" s="42">
        <f>'Cons CF 2012'!B27</f>
        <v>0</v>
      </c>
      <c r="C28" s="42">
        <f>'Cons CF 2012'!C27</f>
        <v>7500000</v>
      </c>
      <c r="D28" s="42">
        <f>'Cons CF 2012'!D27</f>
        <v>0</v>
      </c>
      <c r="E28" s="42">
        <f>'Pr CF proj'!E47</f>
        <v>0</v>
      </c>
      <c r="F28" s="42">
        <f>'Pr CF proj'!F47</f>
        <v>0</v>
      </c>
      <c r="G28" s="42">
        <f>'Pr CF proj'!G47</f>
        <v>6000000</v>
      </c>
      <c r="H28" s="42">
        <f>'Pr CF proj'!H47</f>
        <v>3000000</v>
      </c>
      <c r="I28" s="42">
        <f>'Pr CF proj'!I47</f>
        <v>3000000</v>
      </c>
      <c r="J28" s="42">
        <f>'Pr CF proj'!J47</f>
        <v>0</v>
      </c>
      <c r="K28" s="42">
        <f>'Pr CF proj'!K47</f>
        <v>0</v>
      </c>
      <c r="L28" s="42">
        <f>'Pr CF proj'!L47</f>
        <v>0</v>
      </c>
      <c r="M28" s="42">
        <f>'Pr CF proj'!M47</f>
        <v>0</v>
      </c>
      <c r="N28" s="42">
        <f>'Pr CF proj'!N47</f>
        <v>0</v>
      </c>
    </row>
    <row r="29" spans="1:14" s="44" customFormat="1" ht="15.6">
      <c r="A29" s="95" t="s">
        <v>462</v>
      </c>
      <c r="B29" s="42">
        <f>'Cons CF 2012'!B28</f>
        <v>-2970000</v>
      </c>
      <c r="C29" s="42">
        <f>'Cons CF 2012'!C28</f>
        <v>-4770000</v>
      </c>
      <c r="D29" s="42">
        <f>'Cons CF 2012'!D28</f>
        <v>-4470000</v>
      </c>
      <c r="E29" s="42">
        <f>'Pr CF proj'!E48</f>
        <v>-4170000</v>
      </c>
      <c r="F29" s="42">
        <f>'Pr CF proj'!F48</f>
        <v>-3870000</v>
      </c>
      <c r="G29" s="42">
        <f>'Pr CF proj'!G48</f>
        <v>-3084000</v>
      </c>
      <c r="H29" s="42">
        <f>'Pr CF proj'!H48</f>
        <v>-2280000</v>
      </c>
      <c r="I29" s="42">
        <f>'Pr CF proj'!I48</f>
        <v>-2928000</v>
      </c>
      <c r="J29" s="42">
        <f>'Pr CF proj'!J48</f>
        <v>-2736000</v>
      </c>
      <c r="K29" s="42">
        <f>'Pr CF proj'!K48</f>
        <v>-2544000</v>
      </c>
      <c r="L29" s="42">
        <f>'Pr CF proj'!L48</f>
        <v>-1248000</v>
      </c>
      <c r="M29" s="42">
        <f>'Pr CF proj'!M48</f>
        <v>-600000</v>
      </c>
      <c r="N29" s="42">
        <f>'Pr CF proj'!N48</f>
        <v>0</v>
      </c>
    </row>
    <row r="30" spans="1:14">
      <c r="A30" s="9" t="s">
        <v>627</v>
      </c>
      <c r="B30" s="54">
        <f>SUM(B24:B29)</f>
        <v>-2131467.9590625041</v>
      </c>
      <c r="C30" s="54">
        <f t="shared" ref="C30:N30" si="2">SUM(C24:C29)</f>
        <v>10989288.369543027</v>
      </c>
      <c r="D30" s="54">
        <f t="shared" si="2"/>
        <v>-7816607.7031472614</v>
      </c>
      <c r="E30" s="54">
        <f t="shared" si="2"/>
        <v>-8245944.4461991414</v>
      </c>
      <c r="F30" s="54">
        <f t="shared" si="2"/>
        <v>-6899123.6207043733</v>
      </c>
      <c r="G30" s="54">
        <f t="shared" si="2"/>
        <v>-261161.87252805196</v>
      </c>
      <c r="H30" s="54">
        <f t="shared" si="2"/>
        <v>-1678181.3640393834</v>
      </c>
      <c r="I30" s="54">
        <f t="shared" si="2"/>
        <v>-3233545.9130016984</v>
      </c>
      <c r="J30" s="54">
        <f t="shared" si="2"/>
        <v>-4691041.2426498942</v>
      </c>
      <c r="K30" s="54">
        <f t="shared" si="2"/>
        <v>-4539137.7930243229</v>
      </c>
      <c r="L30" s="54">
        <f t="shared" si="2"/>
        <v>-3284899.2734781355</v>
      </c>
      <c r="M30" s="54">
        <f t="shared" si="2"/>
        <v>-2680393.4308170918</v>
      </c>
      <c r="N30" s="54">
        <f t="shared" si="2"/>
        <v>-2125690.7145840074</v>
      </c>
    </row>
    <row r="31" spans="1:14">
      <c r="A31" s="2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s="148" customFormat="1" ht="21">
      <c r="A32" s="85" t="s">
        <v>628</v>
      </c>
      <c r="B32" s="86">
        <f t="shared" ref="B32:N32" si="3">B30+B21+B10</f>
        <v>4289907.3958012648</v>
      </c>
      <c r="C32" s="86">
        <f t="shared" si="3"/>
        <v>2851961.66528612</v>
      </c>
      <c r="D32" s="86">
        <f t="shared" si="3"/>
        <v>13808559.189043064</v>
      </c>
      <c r="E32" s="86">
        <f t="shared" si="3"/>
        <v>23254.016697185114</v>
      </c>
      <c r="F32" s="86">
        <f t="shared" si="3"/>
        <v>1712443.6663567834</v>
      </c>
      <c r="G32" s="86">
        <f t="shared" si="3"/>
        <v>-13084238.531397905</v>
      </c>
      <c r="H32" s="86">
        <f t="shared" si="3"/>
        <v>7568070.6353218146</v>
      </c>
      <c r="I32" s="86">
        <f t="shared" si="3"/>
        <v>12739101.128091268</v>
      </c>
      <c r="J32" s="86">
        <f t="shared" si="3"/>
        <v>29973490.886456445</v>
      </c>
      <c r="K32" s="86">
        <f t="shared" si="3"/>
        <v>32473907.325021747</v>
      </c>
      <c r="L32" s="86">
        <f t="shared" si="3"/>
        <v>36441814.470411852</v>
      </c>
      <c r="M32" s="86">
        <f t="shared" si="3"/>
        <v>39703029.504882053</v>
      </c>
      <c r="N32" s="86">
        <f t="shared" si="3"/>
        <v>43443646.16233997</v>
      </c>
    </row>
    <row r="33" spans="1:14">
      <c r="B33" s="41"/>
      <c r="C33" s="41"/>
      <c r="D33" s="41"/>
      <c r="E33" s="3"/>
      <c r="F33" s="3"/>
      <c r="G33" s="3"/>
      <c r="H33" s="3"/>
    </row>
    <row r="34" spans="1:14">
      <c r="A34" s="9" t="s">
        <v>629</v>
      </c>
      <c r="B34" s="54">
        <f>'Pr BS 2012'!B18</f>
        <v>2361724.0199521054</v>
      </c>
      <c r="C34" s="54">
        <f>B35</f>
        <v>6651631.4157533702</v>
      </c>
      <c r="D34" s="54">
        <f t="shared" ref="D34:N34" si="4">C35</f>
        <v>9503593.0810394902</v>
      </c>
      <c r="E34" s="54">
        <f t="shared" si="4"/>
        <v>23312152.270082556</v>
      </c>
      <c r="F34" s="54">
        <f t="shared" si="4"/>
        <v>23335406.286779739</v>
      </c>
      <c r="G34" s="54">
        <f t="shared" si="4"/>
        <v>25047849.953136522</v>
      </c>
      <c r="H34" s="54">
        <f t="shared" si="4"/>
        <v>11963611.421738617</v>
      </c>
      <c r="I34" s="54">
        <f t="shared" si="4"/>
        <v>19531682.057060432</v>
      </c>
      <c r="J34" s="54">
        <f t="shared" si="4"/>
        <v>32270783.1851517</v>
      </c>
      <c r="K34" s="54">
        <f t="shared" si="4"/>
        <v>62244274.071608141</v>
      </c>
      <c r="L34" s="54">
        <f t="shared" si="4"/>
        <v>94718181.396629885</v>
      </c>
      <c r="M34" s="54">
        <f t="shared" si="4"/>
        <v>131159995.86704174</v>
      </c>
      <c r="N34" s="54">
        <f t="shared" si="4"/>
        <v>170863025.3719238</v>
      </c>
    </row>
    <row r="35" spans="1:14">
      <c r="A35" s="9" t="s">
        <v>630</v>
      </c>
      <c r="B35" s="54">
        <f>B34+B32</f>
        <v>6651631.4157533702</v>
      </c>
      <c r="C35" s="54">
        <f>C34+C32</f>
        <v>9503593.0810394902</v>
      </c>
      <c r="D35" s="54">
        <f t="shared" ref="D35:N35" si="5">D34+D32</f>
        <v>23312152.270082556</v>
      </c>
      <c r="E35" s="54">
        <f t="shared" si="5"/>
        <v>23335406.286779739</v>
      </c>
      <c r="F35" s="54">
        <f t="shared" si="5"/>
        <v>25047849.953136522</v>
      </c>
      <c r="G35" s="54">
        <f t="shared" si="5"/>
        <v>11963611.421738617</v>
      </c>
      <c r="H35" s="54">
        <f t="shared" si="5"/>
        <v>19531682.057060432</v>
      </c>
      <c r="I35" s="54">
        <f t="shared" si="5"/>
        <v>32270783.1851517</v>
      </c>
      <c r="J35" s="54">
        <f t="shared" si="5"/>
        <v>62244274.071608141</v>
      </c>
      <c r="K35" s="54">
        <f t="shared" si="5"/>
        <v>94718181.396629885</v>
      </c>
      <c r="L35" s="54">
        <f t="shared" si="5"/>
        <v>131159995.86704174</v>
      </c>
      <c r="M35" s="54">
        <f t="shared" si="5"/>
        <v>170863025.3719238</v>
      </c>
      <c r="N35" s="54">
        <f t="shared" si="5"/>
        <v>214306671.53426379</v>
      </c>
    </row>
    <row r="36" spans="1:14">
      <c r="B36" s="41"/>
      <c r="C36" s="41"/>
      <c r="D36" s="41"/>
      <c r="E36" s="3"/>
      <c r="F36" s="3"/>
      <c r="G36" s="3"/>
      <c r="H36" s="3"/>
    </row>
    <row r="37" spans="1:14">
      <c r="B37" s="41"/>
      <c r="C37" s="41"/>
      <c r="D37" s="41"/>
    </row>
    <row r="38" spans="1:14">
      <c r="B38" s="41"/>
      <c r="C38" s="41"/>
      <c r="D38" s="41"/>
    </row>
    <row r="39" spans="1:14">
      <c r="B39" s="41"/>
      <c r="C39" s="41"/>
      <c r="D39" s="41"/>
    </row>
    <row r="40" spans="1:14">
      <c r="B40" s="41"/>
      <c r="C40" s="41"/>
      <c r="D40" s="41"/>
    </row>
    <row r="41" spans="1:14">
      <c r="B41" s="41"/>
      <c r="C41" s="41"/>
      <c r="D41" s="41"/>
    </row>
    <row r="42" spans="1:14">
      <c r="B42" s="41"/>
      <c r="C42" s="41"/>
      <c r="D42" s="41"/>
    </row>
    <row r="43" spans="1:14">
      <c r="B43" s="41"/>
      <c r="C43" s="41"/>
      <c r="D43" s="41"/>
    </row>
    <row r="44" spans="1:14">
      <c r="B44" s="41"/>
      <c r="C44" s="41"/>
      <c r="D44" s="41"/>
    </row>
    <row r="45" spans="1:14">
      <c r="B45" s="41"/>
      <c r="C45" s="41"/>
      <c r="D45" s="41"/>
    </row>
    <row r="46" spans="1:14">
      <c r="B46" s="41"/>
      <c r="C46" s="41"/>
      <c r="D46" s="41"/>
    </row>
    <row r="47" spans="1:14">
      <c r="B47" s="41"/>
      <c r="C47" s="41"/>
      <c r="D47" s="41"/>
    </row>
    <row r="48" spans="1:14">
      <c r="B48" s="41"/>
      <c r="C48" s="41"/>
      <c r="D48" s="41"/>
    </row>
    <row r="49" spans="1:4">
      <c r="B49" s="41"/>
      <c r="C49" s="41"/>
      <c r="D49" s="41"/>
    </row>
    <row r="50" spans="1:4" ht="14.4">
      <c r="A50" s="2"/>
      <c r="B50" s="41"/>
      <c r="C50" s="41"/>
      <c r="D50" s="41"/>
    </row>
    <row r="51" spans="1:4" ht="14.4">
      <c r="A51" s="2"/>
      <c r="B51" s="41"/>
      <c r="C51" s="41"/>
      <c r="D51" s="41"/>
    </row>
    <row r="52" spans="1:4" ht="14.4">
      <c r="A52" s="2"/>
      <c r="B52" s="41"/>
      <c r="C52" s="41"/>
      <c r="D52" s="41"/>
    </row>
    <row r="53" spans="1:4" ht="14.4">
      <c r="A53" s="2"/>
      <c r="B53" s="41"/>
      <c r="C53" s="41"/>
      <c r="D53" s="41"/>
    </row>
    <row r="54" spans="1:4" ht="14.4">
      <c r="A54" s="2"/>
      <c r="B54" s="41"/>
      <c r="C54" s="41"/>
      <c r="D54" s="41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O53"/>
  <sheetViews>
    <sheetView zoomScale="50" zoomScaleNormal="50" workbookViewId="0">
      <pane xSplit="1" ySplit="7" topLeftCell="D38" activePane="bottomRight" state="frozen"/>
      <selection pane="topRight" activeCell="B1" sqref="B1"/>
      <selection pane="bottomLeft" activeCell="A7" sqref="A7"/>
      <selection pane="bottomRight" activeCell="F54" sqref="F54"/>
    </sheetView>
  </sheetViews>
  <sheetFormatPr defaultRowHeight="14.4"/>
  <cols>
    <col min="1" max="1" width="53.33203125" customWidth="1"/>
    <col min="2" max="3" width="12.77734375" style="3" customWidth="1"/>
    <col min="4" max="14" width="12.77734375" customWidth="1"/>
    <col min="15" max="15" width="10.88671875" bestFit="1" customWidth="1"/>
  </cols>
  <sheetData>
    <row r="1" spans="1:15">
      <c r="A1" s="303" t="s">
        <v>740</v>
      </c>
    </row>
    <row r="2" spans="1:15" ht="21">
      <c r="A2" s="92" t="s">
        <v>540</v>
      </c>
    </row>
    <row r="3" spans="1:15" ht="21">
      <c r="A3" s="92" t="s">
        <v>550</v>
      </c>
    </row>
    <row r="4" spans="1:15">
      <c r="A4" s="179" t="s">
        <v>119</v>
      </c>
      <c r="D4" s="3"/>
    </row>
    <row r="5" spans="1:15" ht="1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5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5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5" ht="1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5" ht="28.8">
      <c r="A9" s="236" t="s">
        <v>556</v>
      </c>
      <c r="B9" s="158">
        <f t="shared" ref="B9:N9" si="0">SUM(B10:B11)</f>
        <v>104307117.84740248</v>
      </c>
      <c r="C9" s="158">
        <f t="shared" si="0"/>
        <v>152303356.80984259</v>
      </c>
      <c r="D9" s="158">
        <f t="shared" si="0"/>
        <v>147574734.54855472</v>
      </c>
      <c r="E9" s="158">
        <f t="shared" si="0"/>
        <v>145452415.71997416</v>
      </c>
      <c r="F9" s="158">
        <f t="shared" si="0"/>
        <v>135431335.78311098</v>
      </c>
      <c r="G9" s="158">
        <f t="shared" si="0"/>
        <v>176016208.45595711</v>
      </c>
      <c r="H9" s="158">
        <f t="shared" si="0"/>
        <v>183335886.142506</v>
      </c>
      <c r="I9" s="158">
        <f t="shared" si="0"/>
        <v>205227312.6156795</v>
      </c>
      <c r="J9" s="158">
        <f t="shared" si="0"/>
        <v>201198515.79346797</v>
      </c>
      <c r="K9" s="158">
        <f t="shared" si="0"/>
        <v>196808251.9194296</v>
      </c>
      <c r="L9" s="158">
        <f t="shared" si="0"/>
        <v>186117862.48595423</v>
      </c>
      <c r="M9" s="158">
        <f t="shared" si="0"/>
        <v>184193885.65177396</v>
      </c>
      <c r="N9" s="158">
        <f t="shared" si="0"/>
        <v>179106322.62319732</v>
      </c>
    </row>
    <row r="10" spans="1:15">
      <c r="A10" s="231" t="s">
        <v>496</v>
      </c>
      <c r="B10" s="159">
        <f>'Pr BS 2012'!B10</f>
        <v>60743253.369609617</v>
      </c>
      <c r="C10" s="159">
        <f>'Pr BS 2012'!C10</f>
        <v>85206824.09352015</v>
      </c>
      <c r="D10" s="159">
        <f>'Pr BS 2012'!D10</f>
        <v>84775633.702860162</v>
      </c>
      <c r="E10" s="160">
        <f>Предположения!F167</f>
        <v>85795614.916595906</v>
      </c>
      <c r="F10" s="160">
        <f>Предположения!G167</f>
        <v>79418619.494825825</v>
      </c>
      <c r="G10" s="160">
        <f>Предположения!H167</f>
        <v>103343046.10487223</v>
      </c>
      <c r="H10" s="160">
        <f>Предположения!I167</f>
        <v>104337840.38291822</v>
      </c>
      <c r="I10" s="160">
        <f>Предположения!J167</f>
        <v>120144627.73286134</v>
      </c>
      <c r="J10" s="160">
        <f>Предположения!K167</f>
        <v>121046289.89506069</v>
      </c>
      <c r="K10" s="160">
        <f>Предположения!L167</f>
        <v>121999507.74758279</v>
      </c>
      <c r="L10" s="160">
        <f>Предположения!M167</f>
        <v>116989810.05253825</v>
      </c>
      <c r="M10" s="160">
        <f>Предположения!N167</f>
        <v>121002895.22720253</v>
      </c>
      <c r="N10" s="160">
        <f>Предположения!O167</f>
        <v>122024817.11427015</v>
      </c>
    </row>
    <row r="11" spans="1:15">
      <c r="A11" s="237" t="s">
        <v>519</v>
      </c>
      <c r="B11" s="159">
        <f>'Pr BS 2012'!B11</f>
        <v>43563864.477792859</v>
      </c>
      <c r="C11" s="159">
        <f>'Pr BS 2012'!C11</f>
        <v>67096532.716322437</v>
      </c>
      <c r="D11" s="159">
        <f>'Pr BS 2012'!D11</f>
        <v>62799100.845694557</v>
      </c>
      <c r="E11" s="160">
        <f>Предположения!F47*Предположения!F34</f>
        <v>59656800.803378247</v>
      </c>
      <c r="F11" s="160">
        <f>Предположения!G47*Предположения!G34</f>
        <v>56012716.288285159</v>
      </c>
      <c r="G11" s="160">
        <f>Предположения!H47*Предположения!H34</f>
        <v>72673162.351084888</v>
      </c>
      <c r="H11" s="160">
        <f>Предположения!I47*Предположения!I34</f>
        <v>78998045.75958778</v>
      </c>
      <c r="I11" s="160">
        <f>Предположения!J47*Предположения!J34</f>
        <v>85082684.882818162</v>
      </c>
      <c r="J11" s="160">
        <f>Предположения!K47*Предположения!K34</f>
        <v>80152225.89840728</v>
      </c>
      <c r="K11" s="160">
        <f>Предположения!L47*Предположения!L34</f>
        <v>74808744.171846792</v>
      </c>
      <c r="L11" s="160">
        <f>Предположения!M47*Предположения!M34</f>
        <v>69128052.433415979</v>
      </c>
      <c r="M11" s="160">
        <f>Предположения!N47*Предположения!N34</f>
        <v>63190990.424571417</v>
      </c>
      <c r="N11" s="160">
        <f>Предположения!O47*Предположения!O34</f>
        <v>57081505.508927181</v>
      </c>
    </row>
    <row r="12" spans="1:15" ht="28.8">
      <c r="A12" s="238" t="s">
        <v>557</v>
      </c>
      <c r="B12" s="161">
        <f t="shared" ref="B12:N12" si="1">SUM(B13:B20)</f>
        <v>58418396.019952103</v>
      </c>
      <c r="C12" s="161">
        <f t="shared" si="1"/>
        <v>67130959.083363235</v>
      </c>
      <c r="D12" s="161">
        <f t="shared" si="1"/>
        <v>88295493.179107085</v>
      </c>
      <c r="E12" s="161">
        <f t="shared" si="1"/>
        <v>83864810.698450282</v>
      </c>
      <c r="F12" s="161">
        <f t="shared" si="1"/>
        <v>86369944.90103662</v>
      </c>
      <c r="G12" s="161">
        <f t="shared" si="1"/>
        <v>84042741.502729684</v>
      </c>
      <c r="H12" s="161">
        <f t="shared" si="1"/>
        <v>97352725.594101653</v>
      </c>
      <c r="I12" s="161">
        <f t="shared" si="1"/>
        <v>117840754.75288349</v>
      </c>
      <c r="J12" s="161">
        <f t="shared" si="1"/>
        <v>149968289.32490814</v>
      </c>
      <c r="K12" s="161">
        <f t="shared" si="1"/>
        <v>184786575.2075128</v>
      </c>
      <c r="L12" s="161">
        <f t="shared" si="1"/>
        <v>222839361.53319407</v>
      </c>
      <c r="M12" s="161">
        <f t="shared" si="1"/>
        <v>265116506.02570865</v>
      </c>
      <c r="N12" s="161">
        <f t="shared" si="1"/>
        <v>311285105.24771905</v>
      </c>
      <c r="O12" s="295"/>
    </row>
    <row r="13" spans="1:15">
      <c r="A13" s="231" t="s">
        <v>497</v>
      </c>
      <c r="B13" s="243">
        <f>'Pr BS 2012'!B13</f>
        <v>11020234</v>
      </c>
      <c r="C13" s="243">
        <f>'Pr BS 2012'!C13</f>
        <v>15470962</v>
      </c>
      <c r="D13" s="243">
        <f>'Pr BS 2012'!D13</f>
        <v>18912713</v>
      </c>
      <c r="E13" s="243">
        <f>Предположения!F179</f>
        <v>17239742.791083567</v>
      </c>
      <c r="F13" s="243">
        <f>Предположения!G179</f>
        <v>17749112.918630168</v>
      </c>
      <c r="G13" s="243">
        <f>Предположения!H179</f>
        <v>19210913.804805506</v>
      </c>
      <c r="H13" s="243">
        <f>Предположения!I179</f>
        <v>19964556.902193401</v>
      </c>
      <c r="I13" s="243">
        <f>Предположения!J179</f>
        <v>21379530.189340692</v>
      </c>
      <c r="J13" s="243">
        <f>Предположения!K179</f>
        <v>22001782.846001308</v>
      </c>
      <c r="K13" s="243">
        <f>Предположения!L179</f>
        <v>22611433.114184022</v>
      </c>
      <c r="L13" s="243">
        <f>Предположения!M179</f>
        <v>22785036.694398604</v>
      </c>
      <c r="M13" s="243">
        <f>Предположения!N179</f>
        <v>23277179.298027862</v>
      </c>
      <c r="N13" s="243">
        <f>Предположения!O179</f>
        <v>23713681.218501244</v>
      </c>
    </row>
    <row r="14" spans="1:15">
      <c r="A14" s="231" t="s">
        <v>539</v>
      </c>
      <c r="B14" s="243">
        <f>'Pr BS 2012'!B14</f>
        <v>0</v>
      </c>
      <c r="C14" s="243">
        <f>'Pr BS 2012'!C14</f>
        <v>0</v>
      </c>
      <c r="D14" s="243">
        <f>'Pr BS 2012'!D14</f>
        <v>0</v>
      </c>
      <c r="E14" s="243">
        <v>0</v>
      </c>
      <c r="F14" s="243">
        <v>0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</row>
    <row r="15" spans="1:15">
      <c r="A15" s="231" t="s">
        <v>498</v>
      </c>
      <c r="B15" s="243">
        <f>'Pr BS 2012'!B15</f>
        <v>9687689</v>
      </c>
      <c r="C15" s="243">
        <f>'Pr BS 2012'!C15</f>
        <v>10356036</v>
      </c>
      <c r="D15" s="243">
        <f>'Pr BS 2012'!D15</f>
        <v>11783905</v>
      </c>
      <c r="E15" s="160">
        <f>Предположения!F180</f>
        <v>12084865.971557096</v>
      </c>
      <c r="F15" s="160">
        <f>Предположения!G180</f>
        <v>12441928.707115967</v>
      </c>
      <c r="G15" s="160">
        <f>Предположения!H180</f>
        <v>13466634.701898504</v>
      </c>
      <c r="H15" s="160">
        <f>Предположения!I180</f>
        <v>13994930.044392385</v>
      </c>
      <c r="I15" s="160">
        <f>Предположения!J180</f>
        <v>14986810.418463428</v>
      </c>
      <c r="J15" s="160">
        <f>Предположения!K180</f>
        <v>15423002.538457129</v>
      </c>
      <c r="K15" s="160">
        <f>Предположения!L180</f>
        <v>15850360.525742326</v>
      </c>
      <c r="L15" s="160">
        <f>Предположения!M180</f>
        <v>15972054.68466915</v>
      </c>
      <c r="M15" s="160">
        <f>Предположения!N180</f>
        <v>16317041.119549651</v>
      </c>
      <c r="N15" s="160">
        <f>Предположения!O180</f>
        <v>16623024.060778702</v>
      </c>
    </row>
    <row r="16" spans="1:15">
      <c r="A16" s="231" t="s">
        <v>499</v>
      </c>
      <c r="B16" s="243">
        <f>'Pr BS 2012'!B16</f>
        <v>13606341</v>
      </c>
      <c r="C16" s="243">
        <f>'Pr BS 2012'!C16</f>
        <v>14149872</v>
      </c>
      <c r="D16" s="243">
        <f>'Pr BS 2012'!D16</f>
        <v>18536294</v>
      </c>
      <c r="E16" s="160">
        <f>Предположения!F177</f>
        <v>15830018.76971806</v>
      </c>
      <c r="F16" s="160">
        <f>Предположения!G177</f>
        <v>16269078.692250809</v>
      </c>
      <c r="G16" s="160">
        <f>Предположения!H177</f>
        <v>20346196.441699773</v>
      </c>
      <c r="H16" s="160">
        <f>Предположения!I177</f>
        <v>22859999.028682664</v>
      </c>
      <c r="I16" s="160">
        <f>Предположения!J177</f>
        <v>25611174.459806651</v>
      </c>
      <c r="J16" s="160">
        <f>Предположения!K177</f>
        <v>26554636.218147781</v>
      </c>
      <c r="K16" s="160">
        <f>Предположения!L177</f>
        <v>27533001.964120764</v>
      </c>
      <c r="L16" s="160">
        <f>Предположения!M177</f>
        <v>28547568.65033631</v>
      </c>
      <c r="M16" s="160">
        <f>Предположения!N177</f>
        <v>29599681.63526826</v>
      </c>
      <c r="N16" s="160">
        <f>Предположения!O177</f>
        <v>30690736.497959632</v>
      </c>
    </row>
    <row r="17" spans="1:14">
      <c r="A17" s="231" t="s">
        <v>538</v>
      </c>
      <c r="B17" s="243">
        <f>'Pr BS 2012'!B17</f>
        <v>7865432</v>
      </c>
      <c r="C17" s="243">
        <f>'Pr BS 2012'!C17</f>
        <v>9342651</v>
      </c>
      <c r="D17" s="243">
        <f>'Pr BS 2012'!D17</f>
        <v>6516903</v>
      </c>
      <c r="E17" s="160">
        <f>Предположения!F178</f>
        <v>9008313.7194653992</v>
      </c>
      <c r="F17" s="160">
        <f>Предположения!G178</f>
        <v>9274475.8057487924</v>
      </c>
      <c r="G17" s="160">
        <f>Предположения!H178</f>
        <v>10038313.244487768</v>
      </c>
      <c r="H17" s="160">
        <f>Предположения!I178</f>
        <v>10432115.723796861</v>
      </c>
      <c r="I17" s="160">
        <f>Предположения!J178</f>
        <v>11171484.253232144</v>
      </c>
      <c r="J17" s="160">
        <f>Предположения!K178</f>
        <v>11496631.049904121</v>
      </c>
      <c r="K17" s="160">
        <f>Предположения!L178</f>
        <v>11815192.697922822</v>
      </c>
      <c r="L17" s="160">
        <f>Предположения!M178</f>
        <v>11905906.088043943</v>
      </c>
      <c r="M17" s="160">
        <f>Предположения!N178</f>
        <v>12163066.24535788</v>
      </c>
      <c r="N17" s="160">
        <f>Предположения!O178</f>
        <v>12391152.376712872</v>
      </c>
    </row>
    <row r="18" spans="1:14">
      <c r="A18" s="231" t="s">
        <v>500</v>
      </c>
      <c r="B18" s="243">
        <f>'Pr BS 2012'!B18</f>
        <v>2361724.0199521054</v>
      </c>
      <c r="C18" s="243">
        <f>'Pr BS 2012'!C18</f>
        <v>2885407.0833632331</v>
      </c>
      <c r="D18" s="243">
        <f>'Pr BS 2012'!D18</f>
        <v>15796866.179107079</v>
      </c>
      <c r="E18" s="160">
        <f>'Pr CF proj'!E55</f>
        <v>16179818.901291348</v>
      </c>
      <c r="F18" s="160">
        <f>'Pr CF proj'!F55</f>
        <v>16738251.900597593</v>
      </c>
      <c r="G18" s="160">
        <f>'Pr CF proj'!G55</f>
        <v>3600899.9569422211</v>
      </c>
      <c r="H18" s="160">
        <f>'Pr CF proj'!H55</f>
        <v>10574042.66860914</v>
      </c>
      <c r="I18" s="160">
        <f>'Pr CF proj'!I55</f>
        <v>22814611.72117044</v>
      </c>
      <c r="J18" s="160">
        <f>'Pr CF proj'!J55</f>
        <v>51809185.036245614</v>
      </c>
      <c r="K18" s="160">
        <f>'Pr CF proj'!K55</f>
        <v>83457812.250907749</v>
      </c>
      <c r="L18" s="160">
        <f>'Pr CF proj'!L55</f>
        <v>119243374.78853235</v>
      </c>
      <c r="M18" s="160">
        <f>'Pr CF proj'!M55</f>
        <v>158475398.96428579</v>
      </c>
      <c r="N18" s="160">
        <f>'Pr CF proj'!N55</f>
        <v>201650389.92321962</v>
      </c>
    </row>
    <row r="19" spans="1:14" ht="15" thickBot="1">
      <c r="A19" s="231" t="s">
        <v>501</v>
      </c>
      <c r="B19" s="243">
        <f>'Pr BS 2012'!B19</f>
        <v>13876976</v>
      </c>
      <c r="C19" s="243">
        <f>'Pr BS 2012'!C19</f>
        <v>14926031</v>
      </c>
      <c r="D19" s="243">
        <f>'Pr BS 2012'!D19</f>
        <v>16748812</v>
      </c>
      <c r="E19" s="160">
        <f>AVERAGE(B19:D19)*Предположения!F182</f>
        <v>13522050.545334814</v>
      </c>
      <c r="F19" s="160">
        <f>E19*Предположения!G182</f>
        <v>13897096.876693292</v>
      </c>
      <c r="G19" s="160">
        <f>F19*Предположения!H182</f>
        <v>17379783.352895908</v>
      </c>
      <c r="H19" s="160">
        <f>G19*Предположения!I182</f>
        <v>19527081.226427201</v>
      </c>
      <c r="I19" s="160">
        <f>H19*Предположения!J182</f>
        <v>21877143.710870132</v>
      </c>
      <c r="J19" s="160">
        <f>I19*Предположения!K182</f>
        <v>22683051.636152171</v>
      </c>
      <c r="K19" s="160">
        <f>J19*Предположения!L182</f>
        <v>23518774.654635143</v>
      </c>
      <c r="L19" s="160">
        <f>K19*Предположения!M182</f>
        <v>24385420.62721372</v>
      </c>
      <c r="M19" s="160">
        <f>L19*Предположения!N182</f>
        <v>25284138.763219208</v>
      </c>
      <c r="N19" s="160">
        <f>M19*Предположения!O182</f>
        <v>26216121.170547009</v>
      </c>
    </row>
    <row r="20" spans="1:14" ht="15" thickBot="1">
      <c r="A20" s="236" t="s">
        <v>670</v>
      </c>
      <c r="B20" s="243"/>
      <c r="C20" s="243"/>
      <c r="D20" s="243"/>
      <c r="E20" s="268">
        <f>IF(E42&gt;0,E42,0)</f>
        <v>0</v>
      </c>
      <c r="F20" s="268">
        <f t="shared" ref="F20:N20" si="2">IF(F42&gt;0,F42,0)</f>
        <v>0</v>
      </c>
      <c r="G20" s="268">
        <f t="shared" si="2"/>
        <v>0</v>
      </c>
      <c r="H20" s="268">
        <f t="shared" si="2"/>
        <v>0</v>
      </c>
      <c r="I20" s="268">
        <f t="shared" si="2"/>
        <v>0</v>
      </c>
      <c r="J20" s="268">
        <f t="shared" si="2"/>
        <v>0</v>
      </c>
      <c r="K20" s="268">
        <f t="shared" si="2"/>
        <v>0</v>
      </c>
      <c r="L20" s="268">
        <f t="shared" si="2"/>
        <v>0</v>
      </c>
      <c r="M20" s="268">
        <f t="shared" si="2"/>
        <v>0</v>
      </c>
      <c r="N20" s="268">
        <f t="shared" si="2"/>
        <v>0</v>
      </c>
    </row>
    <row r="21" spans="1:14" ht="18.600000000000001" thickBot="1">
      <c r="A21" s="267" t="s">
        <v>502</v>
      </c>
      <c r="B21" s="165">
        <f t="shared" ref="B21:N21" si="3">B12+B9</f>
        <v>162725513.86735457</v>
      </c>
      <c r="C21" s="165">
        <f t="shared" si="3"/>
        <v>219434315.89320582</v>
      </c>
      <c r="D21" s="165">
        <f t="shared" si="3"/>
        <v>235870227.72766179</v>
      </c>
      <c r="E21" s="165">
        <f t="shared" si="3"/>
        <v>229317226.41842443</v>
      </c>
      <c r="F21" s="165">
        <f t="shared" si="3"/>
        <v>221801280.6841476</v>
      </c>
      <c r="G21" s="165">
        <f t="shared" si="3"/>
        <v>260058949.9586868</v>
      </c>
      <c r="H21" s="165">
        <f t="shared" si="3"/>
        <v>280688611.73660767</v>
      </c>
      <c r="I21" s="165">
        <f t="shared" si="3"/>
        <v>323068067.368563</v>
      </c>
      <c r="J21" s="165">
        <f t="shared" si="3"/>
        <v>351166805.11837614</v>
      </c>
      <c r="K21" s="165">
        <f t="shared" si="3"/>
        <v>381594827.1269424</v>
      </c>
      <c r="L21" s="165">
        <f t="shared" si="3"/>
        <v>408957224.01914829</v>
      </c>
      <c r="M21" s="165">
        <f t="shared" si="3"/>
        <v>449310391.6774826</v>
      </c>
      <c r="N21" s="165">
        <f t="shared" si="3"/>
        <v>490391427.87091637</v>
      </c>
    </row>
    <row r="22" spans="1:14" ht="15" thickBot="1">
      <c r="A22" s="235" t="s">
        <v>503</v>
      </c>
      <c r="B22" s="157"/>
      <c r="C22" s="157"/>
    </row>
    <row r="23" spans="1:14" ht="28.8">
      <c r="A23" s="238" t="s">
        <v>558</v>
      </c>
      <c r="B23" s="158">
        <f t="shared" ref="B23:N23" si="4">SUM(B24:B28)</f>
        <v>109947317.72724617</v>
      </c>
      <c r="C23" s="158">
        <f t="shared" si="4"/>
        <v>147825181.22471994</v>
      </c>
      <c r="D23" s="158">
        <f t="shared" si="4"/>
        <v>158978141.2941182</v>
      </c>
      <c r="E23" s="158">
        <f t="shared" si="4"/>
        <v>158866129.74792489</v>
      </c>
      <c r="F23" s="158">
        <f t="shared" si="4"/>
        <v>159248738.48056042</v>
      </c>
      <c r="G23" s="158">
        <f t="shared" si="4"/>
        <v>169491178.82017112</v>
      </c>
      <c r="H23" s="158">
        <f t="shared" si="4"/>
        <v>186653319.10055363</v>
      </c>
      <c r="I23" s="158">
        <f t="shared" si="4"/>
        <v>209726075.7618058</v>
      </c>
      <c r="J23" s="158">
        <f t="shared" si="4"/>
        <v>235121904.23175055</v>
      </c>
      <c r="K23" s="158">
        <f t="shared" si="4"/>
        <v>263149293.43237925</v>
      </c>
      <c r="L23" s="158">
        <f t="shared" si="4"/>
        <v>295375047.38482487</v>
      </c>
      <c r="M23" s="158">
        <f t="shared" si="4"/>
        <v>331035305.20959008</v>
      </c>
      <c r="N23" s="158">
        <f t="shared" si="4"/>
        <v>370548150.61840516</v>
      </c>
    </row>
    <row r="24" spans="1:14">
      <c r="A24" s="231" t="s">
        <v>504</v>
      </c>
      <c r="B24" s="159">
        <f>'Pr BS 2012'!B23</f>
        <v>33128927.848508041</v>
      </c>
      <c r="C24" s="159">
        <f>'Pr BS 2012'!C23</f>
        <v>33128927.848508041</v>
      </c>
      <c r="D24" s="159">
        <f>'Pr BS 2012'!D23</f>
        <v>33128927.848508041</v>
      </c>
      <c r="E24" s="159">
        <f t="shared" ref="E24:N26" si="5">D24</f>
        <v>33128927.848508041</v>
      </c>
      <c r="F24" s="159">
        <f t="shared" si="5"/>
        <v>33128927.848508041</v>
      </c>
      <c r="G24" s="159">
        <f t="shared" si="5"/>
        <v>33128927.848508041</v>
      </c>
      <c r="H24" s="159">
        <f t="shared" si="5"/>
        <v>33128927.848508041</v>
      </c>
      <c r="I24" s="159">
        <f t="shared" si="5"/>
        <v>33128927.848508041</v>
      </c>
      <c r="J24" s="159">
        <f t="shared" si="5"/>
        <v>33128927.848508041</v>
      </c>
      <c r="K24" s="159">
        <f t="shared" si="5"/>
        <v>33128927.848508041</v>
      </c>
      <c r="L24" s="159">
        <f t="shared" si="5"/>
        <v>33128927.848508041</v>
      </c>
      <c r="M24" s="159">
        <f t="shared" si="5"/>
        <v>33128927.848508041</v>
      </c>
      <c r="N24" s="159">
        <f t="shared" si="5"/>
        <v>33128927.848508041</v>
      </c>
    </row>
    <row r="25" spans="1:14">
      <c r="A25" s="231" t="s">
        <v>505</v>
      </c>
      <c r="B25" s="159">
        <f>'Pr BS 2012'!B24</f>
        <v>0</v>
      </c>
      <c r="C25" s="159">
        <f>'Pr BS 2012'!C24</f>
        <v>0</v>
      </c>
      <c r="D25" s="159">
        <f>'Pr BS 2012'!D24</f>
        <v>0</v>
      </c>
      <c r="E25" s="159">
        <f t="shared" si="5"/>
        <v>0</v>
      </c>
      <c r="F25" s="159">
        <f t="shared" si="5"/>
        <v>0</v>
      </c>
      <c r="G25" s="159">
        <f t="shared" si="5"/>
        <v>0</v>
      </c>
      <c r="H25" s="159">
        <f t="shared" si="5"/>
        <v>0</v>
      </c>
      <c r="I25" s="159">
        <f t="shared" si="5"/>
        <v>0</v>
      </c>
      <c r="J25" s="159">
        <f t="shared" si="5"/>
        <v>0</v>
      </c>
      <c r="K25" s="159">
        <f t="shared" si="5"/>
        <v>0</v>
      </c>
      <c r="L25" s="159">
        <f t="shared" si="5"/>
        <v>0</v>
      </c>
      <c r="M25" s="159">
        <f t="shared" si="5"/>
        <v>0</v>
      </c>
      <c r="N25" s="159">
        <f t="shared" si="5"/>
        <v>0</v>
      </c>
    </row>
    <row r="26" spans="1:14" s="186" customFormat="1">
      <c r="A26" s="228" t="s">
        <v>564</v>
      </c>
      <c r="B26" s="159">
        <f>'Pr BS 2012'!B25</f>
        <v>76004535</v>
      </c>
      <c r="C26" s="159">
        <f>'Pr BS 2012'!C25</f>
        <v>103528525</v>
      </c>
      <c r="D26" s="159">
        <f>'Pr BS 2012'!D25</f>
        <v>103528525</v>
      </c>
      <c r="E26" s="159">
        <f>D26</f>
        <v>103528525</v>
      </c>
      <c r="F26" s="159">
        <f t="shared" si="5"/>
        <v>103528525</v>
      </c>
      <c r="G26" s="159">
        <f t="shared" si="5"/>
        <v>103528525</v>
      </c>
      <c r="H26" s="159">
        <f t="shared" si="5"/>
        <v>103528525</v>
      </c>
      <c r="I26" s="159">
        <f t="shared" si="5"/>
        <v>103528525</v>
      </c>
      <c r="J26" s="159">
        <f t="shared" si="5"/>
        <v>103528525</v>
      </c>
      <c r="K26" s="159">
        <f t="shared" si="5"/>
        <v>103528525</v>
      </c>
      <c r="L26" s="159">
        <f t="shared" si="5"/>
        <v>103528525</v>
      </c>
      <c r="M26" s="159">
        <f t="shared" si="5"/>
        <v>103528525</v>
      </c>
      <c r="N26" s="159">
        <f t="shared" si="5"/>
        <v>103528525</v>
      </c>
    </row>
    <row r="27" spans="1:14" ht="28.8">
      <c r="A27" s="240" t="s">
        <v>506</v>
      </c>
      <c r="B27" s="159">
        <f>'Pr BS 2012'!B26</f>
        <v>0</v>
      </c>
      <c r="C27" s="159">
        <f>B27+B28</f>
        <v>813854.87873812451</v>
      </c>
      <c r="D27" s="159">
        <f t="shared" ref="D27:N27" si="6">C27+C28</f>
        <v>11167728.376211891</v>
      </c>
      <c r="E27" s="159">
        <f t="shared" si="6"/>
        <v>22320688.445610177</v>
      </c>
      <c r="F27" s="159">
        <f t="shared" si="6"/>
        <v>22208676.899416871</v>
      </c>
      <c r="G27" s="159">
        <f t="shared" si="6"/>
        <v>22591285.632052392</v>
      </c>
      <c r="H27" s="159">
        <f t="shared" si="6"/>
        <v>32833725.971663073</v>
      </c>
      <c r="I27" s="159">
        <f t="shared" si="6"/>
        <v>49995866.252045587</v>
      </c>
      <c r="J27" s="159">
        <f t="shared" si="6"/>
        <v>73068622.913297772</v>
      </c>
      <c r="K27" s="159">
        <f t="shared" si="6"/>
        <v>98464451.383242518</v>
      </c>
      <c r="L27" s="159">
        <f t="shared" si="6"/>
        <v>126491840.58387122</v>
      </c>
      <c r="M27" s="159">
        <f t="shared" si="6"/>
        <v>158717594.53631684</v>
      </c>
      <c r="N27" s="159">
        <f t="shared" si="6"/>
        <v>194377852.36108202</v>
      </c>
    </row>
    <row r="28" spans="1:14" ht="28.8">
      <c r="A28" s="240" t="s">
        <v>507</v>
      </c>
      <c r="B28" s="159">
        <f>'Pr P&amp;L proj'!B46</f>
        <v>813854.87873812451</v>
      </c>
      <c r="C28" s="159">
        <f>'Pr P&amp;L proj'!C46</f>
        <v>10353873.497473767</v>
      </c>
      <c r="D28" s="159">
        <f>'Pr P&amp;L proj'!D46</f>
        <v>11152960.069398286</v>
      </c>
      <c r="E28" s="159">
        <f>'Pr P&amp;L proj'!E46</f>
        <v>-112011.54619330645</v>
      </c>
      <c r="F28" s="159">
        <f>'Pr P&amp;L proj'!F46</f>
        <v>382608.73263552028</v>
      </c>
      <c r="G28" s="159">
        <f>'Pr P&amp;L proj'!G46</f>
        <v>10242440.339610681</v>
      </c>
      <c r="H28" s="159">
        <f>'Pr P&amp;L proj'!H46</f>
        <v>17162140.28038251</v>
      </c>
      <c r="I28" s="159">
        <f>'Pr P&amp;L proj'!I46</f>
        <v>23072756.661252178</v>
      </c>
      <c r="J28" s="159">
        <f>'Pr P&amp;L proj'!J46</f>
        <v>25395828.469944738</v>
      </c>
      <c r="K28" s="159">
        <f>'Pr P&amp;L proj'!K46</f>
        <v>28027389.200628698</v>
      </c>
      <c r="L28" s="159">
        <f>'Pr P&amp;L proj'!L46</f>
        <v>32225753.952445626</v>
      </c>
      <c r="M28" s="159">
        <f>'Pr P&amp;L proj'!M46</f>
        <v>35660257.824765183</v>
      </c>
      <c r="N28" s="159">
        <f>'Pr P&amp;L proj'!N46</f>
        <v>39512845.408815108</v>
      </c>
    </row>
    <row r="29" spans="1:14" ht="28.8">
      <c r="A29" s="238" t="s">
        <v>559</v>
      </c>
      <c r="B29" s="161">
        <f>B30+B32+B31</f>
        <v>7620000</v>
      </c>
      <c r="C29" s="161">
        <f t="shared" ref="C29:N29" si="7">C30+C32+C31</f>
        <v>11596131</v>
      </c>
      <c r="D29" s="161">
        <f t="shared" si="7"/>
        <v>8078393</v>
      </c>
      <c r="E29" s="161">
        <f t="shared" si="7"/>
        <v>4060066.7906108275</v>
      </c>
      <c r="F29" s="161">
        <f t="shared" si="7"/>
        <v>1368666.7741639733</v>
      </c>
      <c r="G29" s="161">
        <f t="shared" si="7"/>
        <v>5648526.3645980908</v>
      </c>
      <c r="H29" s="161">
        <f t="shared" si="7"/>
        <v>6297764.8848875314</v>
      </c>
      <c r="I29" s="161">
        <f t="shared" si="7"/>
        <v>6951652.8902490791</v>
      </c>
      <c r="J29" s="161">
        <f t="shared" si="7"/>
        <v>4570132.7268006625</v>
      </c>
      <c r="K29" s="161">
        <f t="shared" si="7"/>
        <v>3389296.2370472653</v>
      </c>
      <c r="L29" s="161">
        <f t="shared" si="7"/>
        <v>2809168.8247448425</v>
      </c>
      <c r="M29" s="161">
        <f t="shared" si="7"/>
        <v>2829776.8417878719</v>
      </c>
      <c r="N29" s="161">
        <f t="shared" si="7"/>
        <v>2851147.623754486</v>
      </c>
    </row>
    <row r="30" spans="1:14">
      <c r="A30" s="240" t="s">
        <v>508</v>
      </c>
      <c r="B30" s="159">
        <f>'Pr BS 2012'!B29</f>
        <v>0</v>
      </c>
      <c r="C30" s="159">
        <f>'Pr BS 2012'!C29</f>
        <v>0</v>
      </c>
      <c r="D30" s="159">
        <f>'Pr BS 2012'!D29</f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</row>
    <row r="31" spans="1:14">
      <c r="A31" s="240" t="s">
        <v>523</v>
      </c>
      <c r="B31" s="159">
        <f>'Pr BS 2012'!B30</f>
        <v>7500000</v>
      </c>
      <c r="C31" s="159">
        <f>'Pr BS 2012'!C30</f>
        <v>11250000</v>
      </c>
      <c r="D31" s="159">
        <f>'Pr BS 2012'!D30</f>
        <v>7500000</v>
      </c>
      <c r="E31" s="159">
        <f>Лизинг!F39</f>
        <v>3750000</v>
      </c>
      <c r="F31" s="159">
        <f>Лизинг!G39</f>
        <v>1050000</v>
      </c>
      <c r="G31" s="159">
        <f>Лизинг!H39</f>
        <v>5250000</v>
      </c>
      <c r="H31" s="159">
        <f>Лизинг!I39</f>
        <v>5850000</v>
      </c>
      <c r="I31" s="159">
        <f>Лизинг!J39</f>
        <v>6450000</v>
      </c>
      <c r="J31" s="159">
        <f>Лизинг!K39</f>
        <v>4050000</v>
      </c>
      <c r="K31" s="159">
        <f>Лизинг!L39</f>
        <v>2850000</v>
      </c>
      <c r="L31" s="159">
        <f>Лизинг!M39</f>
        <v>2250000</v>
      </c>
      <c r="M31" s="159">
        <f>Лизинг!N39</f>
        <v>2250000</v>
      </c>
      <c r="N31" s="159">
        <f>Лизинг!O39</f>
        <v>2250000</v>
      </c>
    </row>
    <row r="32" spans="1:14">
      <c r="A32" s="240" t="s">
        <v>509</v>
      </c>
      <c r="B32" s="159">
        <f>'Pr BS 2012'!B31</f>
        <v>120000</v>
      </c>
      <c r="C32" s="159">
        <f>'Pr BS 2012'!C31</f>
        <v>346131</v>
      </c>
      <c r="D32" s="159">
        <f>'Pr BS 2012'!D31</f>
        <v>578393</v>
      </c>
      <c r="E32" s="159">
        <f>AVERAGE(B32:D32)*Предположения!F182</f>
        <v>310066.79061082727</v>
      </c>
      <c r="F32" s="159">
        <f>E32*Предположения!G182</f>
        <v>318666.77416397323</v>
      </c>
      <c r="G32" s="159">
        <f>F32*Предположения!H182</f>
        <v>398526.36459809094</v>
      </c>
      <c r="H32" s="159">
        <f>G32*Предположения!I182</f>
        <v>447764.88488753099</v>
      </c>
      <c r="I32" s="159">
        <f>H32*Предположения!J182</f>
        <v>501652.89024907904</v>
      </c>
      <c r="J32" s="159">
        <f>I32*Предположения!K182</f>
        <v>520132.72680066206</v>
      </c>
      <c r="K32" s="159">
        <f>J32*Предположения!L182</f>
        <v>539296.23704726505</v>
      </c>
      <c r="L32" s="159">
        <f>K32*Предположения!M182</f>
        <v>559168.82474484236</v>
      </c>
      <c r="M32" s="159">
        <f>L32*Предположения!N182</f>
        <v>579776.8417878719</v>
      </c>
      <c r="N32" s="159">
        <f>M32*Предположения!O182</f>
        <v>601147.62375448586</v>
      </c>
    </row>
    <row r="33" spans="1:14" ht="28.8">
      <c r="A33" s="238" t="s">
        <v>560</v>
      </c>
      <c r="B33" s="161">
        <f>SUM(B34:B39)</f>
        <v>45158196.140108407</v>
      </c>
      <c r="C33" s="161">
        <f>SUM(C34:C39)</f>
        <v>60013003.66848588</v>
      </c>
      <c r="D33" s="161">
        <f t="shared" ref="D33:K33" si="8">SUM(D34:D39)</f>
        <v>68813693.433543593</v>
      </c>
      <c r="E33" s="161">
        <f t="shared" si="8"/>
        <v>66391029.879888713</v>
      </c>
      <c r="F33" s="161">
        <f t="shared" si="8"/>
        <v>61183875.429423191</v>
      </c>
      <c r="G33" s="161">
        <f t="shared" si="8"/>
        <v>84919244.773917601</v>
      </c>
      <c r="H33" s="161">
        <f t="shared" si="8"/>
        <v>87737527.751166508</v>
      </c>
      <c r="I33" s="161">
        <f t="shared" si="8"/>
        <v>106390338.71650812</v>
      </c>
      <c r="J33" s="161">
        <f t="shared" si="8"/>
        <v>111474768.15982491</v>
      </c>
      <c r="K33" s="161">
        <f t="shared" si="8"/>
        <v>115056237.4575159</v>
      </c>
      <c r="L33" s="161">
        <f>SUM(L34:L39)</f>
        <v>110773007.80957857</v>
      </c>
      <c r="M33" s="161">
        <f>SUM(M34:M39)</f>
        <v>115445309.62610465</v>
      </c>
      <c r="N33" s="161">
        <f>SUM(N34:N39)</f>
        <v>116992129.62875672</v>
      </c>
    </row>
    <row r="34" spans="1:14">
      <c r="A34" s="240" t="s">
        <v>508</v>
      </c>
      <c r="B34" s="159">
        <f>'Pr BS 2012'!B33</f>
        <v>0</v>
      </c>
      <c r="C34" s="159">
        <f>'Pr BS 2012'!C33</f>
        <v>10207900.915308449</v>
      </c>
      <c r="D34" s="159">
        <f>'Pr BS 2012'!D33</f>
        <v>8051166.775089046</v>
      </c>
      <c r="E34" s="160">
        <f>'Pr Fin'!E29+'Pr Fin'!E36+'Pr Fin'!E40</f>
        <v>5315333.4049131563</v>
      </c>
      <c r="F34" s="160">
        <f>'Pr Fin'!F29+'Pr Fin'!F36+'Pr Fin'!F40</f>
        <v>3642718.4956572172</v>
      </c>
      <c r="G34" s="160">
        <f>'Pr Fin'!G29+'Pr Fin'!G36+'Pr Fin'!G40</f>
        <v>2063028.2742395243</v>
      </c>
      <c r="H34" s="160">
        <f>'Pr Fin'!H29+'Pr Fin'!H36+'Pr Fin'!H40</f>
        <v>1430671.4800551487</v>
      </c>
      <c r="I34" s="160">
        <f>'Pr Fin'!I29+'Pr Fin'!I36+'Pr Fin'!I40</f>
        <v>0</v>
      </c>
      <c r="J34" s="160">
        <f>'Pr Fin'!J29+'Pr Fin'!J36+'Pr Fin'!J40</f>
        <v>0</v>
      </c>
      <c r="K34" s="160">
        <f>'Pr Fin'!K29+'Pr Fin'!K36+'Pr Fin'!K40</f>
        <v>0</v>
      </c>
      <c r="L34" s="160">
        <f>'Pr Fin'!L29+'Pr Fin'!L36+'Pr Fin'!L40</f>
        <v>0</v>
      </c>
      <c r="M34" s="160">
        <f>'Pr Fin'!M29+'Pr Fin'!M36+'Pr Fin'!M40</f>
        <v>0</v>
      </c>
      <c r="N34" s="160">
        <f>'Pr Fin'!N29+'Pr Fin'!N36+'Pr Fin'!N40</f>
        <v>0</v>
      </c>
    </row>
    <row r="35" spans="1:14">
      <c r="A35" s="240" t="s">
        <v>537</v>
      </c>
      <c r="B35" s="159">
        <f>'Pr BS 2012'!B34</f>
        <v>3750000</v>
      </c>
      <c r="C35" s="159">
        <f>'Pr BS 2012'!C34</f>
        <v>3750000</v>
      </c>
      <c r="D35" s="159">
        <f>'Pr BS 2012'!D34</f>
        <v>3750000</v>
      </c>
      <c r="E35" s="160">
        <f>Лизинг!F38</f>
        <v>3750000</v>
      </c>
      <c r="F35" s="160">
        <f>Лизинг!G38</f>
        <v>2700000</v>
      </c>
      <c r="G35" s="160">
        <f>Лизинг!H38</f>
        <v>1800000</v>
      </c>
      <c r="H35" s="160">
        <f>Лизинг!I38</f>
        <v>2400000</v>
      </c>
      <c r="I35" s="160">
        <f>Лизинг!J38</f>
        <v>2400000</v>
      </c>
      <c r="J35" s="160">
        <f>Лизинг!K38</f>
        <v>2400000</v>
      </c>
      <c r="K35" s="160">
        <f>Лизинг!L38</f>
        <v>1200000</v>
      </c>
      <c r="L35" s="160">
        <f>Лизинг!M38</f>
        <v>600000</v>
      </c>
      <c r="M35" s="160">
        <f>Лизинг!N38</f>
        <v>0</v>
      </c>
      <c r="N35" s="160">
        <f>Лизинг!O38</f>
        <v>0</v>
      </c>
    </row>
    <row r="36" spans="1:14">
      <c r="A36" s="240" t="s">
        <v>510</v>
      </c>
      <c r="B36" s="159">
        <f>'Pr BS 2012'!B35</f>
        <v>25857742</v>
      </c>
      <c r="C36" s="159">
        <f>'Pr BS 2012'!C35</f>
        <v>32275091</v>
      </c>
      <c r="D36" s="159">
        <f>'Pr BS 2012'!D35</f>
        <v>34113784</v>
      </c>
      <c r="E36" s="160">
        <f>Предположения!F181</f>
        <v>35025793.713655725</v>
      </c>
      <c r="F36" s="160">
        <f>Предположения!G181</f>
        <v>36060675.337328978</v>
      </c>
      <c r="G36" s="160">
        <f>Предположения!H181</f>
        <v>39030599.94177828</v>
      </c>
      <c r="H36" s="160">
        <f>Предположения!I181</f>
        <v>40561768.241834447</v>
      </c>
      <c r="I36" s="160">
        <f>Предположения!J181</f>
        <v>43436553.73408594</v>
      </c>
      <c r="J36" s="160">
        <f>Предположения!K181</f>
        <v>44700777.536847159</v>
      </c>
      <c r="K36" s="160">
        <f>Предположения!L181</f>
        <v>45939397.207083002</v>
      </c>
      <c r="L36" s="160">
        <f>Предположения!M181</f>
        <v>46292105.67044203</v>
      </c>
      <c r="M36" s="160">
        <f>Предположения!N181</f>
        <v>47291986.325351521</v>
      </c>
      <c r="N36" s="160">
        <f>Предположения!O181</f>
        <v>48178822.42304682</v>
      </c>
    </row>
    <row r="37" spans="1:14">
      <c r="A37" s="240" t="s">
        <v>511</v>
      </c>
      <c r="B37" s="159">
        <f>'Pr BS 2012'!B36</f>
        <v>0</v>
      </c>
      <c r="C37" s="159">
        <f>'Pr BS 2012'!C36</f>
        <v>0</v>
      </c>
      <c r="D37" s="159">
        <f>'Pr BS 2012'!D36</f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</row>
    <row r="38" spans="1:14" ht="15" thickBot="1">
      <c r="A38" s="240" t="s">
        <v>512</v>
      </c>
      <c r="B38" s="159">
        <f>'Pr BS 2012'!B37</f>
        <v>15550454.140108407</v>
      </c>
      <c r="C38" s="159">
        <f>'Pr BS 2012'!C37</f>
        <v>13780011.753177434</v>
      </c>
      <c r="D38" s="159">
        <f>'Pr BS 2012'!D37</f>
        <v>22898742.658454537</v>
      </c>
      <c r="E38" s="160">
        <f>AVERAGE(B38:D38)*Предположения!F183</f>
        <v>17608673.19577156</v>
      </c>
      <c r="F38" s="160">
        <f>E38*Предположения!G183</f>
        <v>18128943.84135773</v>
      </c>
      <c r="G38" s="160">
        <f>F38*Предположения!H183</f>
        <v>19622027.258777611</v>
      </c>
      <c r="H38" s="160">
        <f>G38*Предположения!I183</f>
        <v>20391798.314469703</v>
      </c>
      <c r="I38" s="160">
        <f>H38*Предположения!J183</f>
        <v>21837052.022489622</v>
      </c>
      <c r="J38" s="160">
        <f>I38*Предположения!K183</f>
        <v>22472620.882716727</v>
      </c>
      <c r="K38" s="160">
        <f>J38*Предположения!L183</f>
        <v>23095317.663419057</v>
      </c>
      <c r="L38" s="160">
        <f>K38*Предположения!M183</f>
        <v>23272636.359333448</v>
      </c>
      <c r="M38" s="160">
        <f>L38*Предположения!N183</f>
        <v>23775310.812081419</v>
      </c>
      <c r="N38" s="160">
        <f>M38*Предположения!O183</f>
        <v>24221153.871347811</v>
      </c>
    </row>
    <row r="39" spans="1:14" ht="15" thickBot="1">
      <c r="A39" s="236" t="s">
        <v>669</v>
      </c>
      <c r="B39" s="159"/>
      <c r="C39" s="159"/>
      <c r="D39" s="159"/>
      <c r="E39" s="157">
        <f>IF(E42&lt;0,-E42,0)</f>
        <v>4691229.5655482709</v>
      </c>
      <c r="F39" s="157">
        <f t="shared" ref="F39:N39" si="9">IF(F42&lt;0,-F42,0)</f>
        <v>651537.75507926941</v>
      </c>
      <c r="G39" s="157">
        <f t="shared" si="9"/>
        <v>22403589.299122185</v>
      </c>
      <c r="H39" s="157">
        <f t="shared" si="9"/>
        <v>22953289.714807212</v>
      </c>
      <c r="I39" s="157">
        <f t="shared" si="9"/>
        <v>38716732.959932566</v>
      </c>
      <c r="J39" s="157">
        <f t="shared" si="9"/>
        <v>41901369.740261018</v>
      </c>
      <c r="K39" s="157">
        <f t="shared" si="9"/>
        <v>44821522.587013841</v>
      </c>
      <c r="L39" s="157">
        <f t="shared" si="9"/>
        <v>40608265.779803097</v>
      </c>
      <c r="M39" s="157">
        <f t="shared" si="9"/>
        <v>44378012.48867172</v>
      </c>
      <c r="N39" s="157">
        <f t="shared" si="9"/>
        <v>44592153.33436209</v>
      </c>
    </row>
    <row r="40" spans="1:14" ht="36.6" thickBot="1">
      <c r="A40" s="267" t="s">
        <v>513</v>
      </c>
      <c r="B40" s="165">
        <f t="shared" ref="B40:N40" si="10">B33+B29+B23</f>
        <v>162725513.86735457</v>
      </c>
      <c r="C40" s="165">
        <f t="shared" si="10"/>
        <v>219434315.89320582</v>
      </c>
      <c r="D40" s="165">
        <f t="shared" si="10"/>
        <v>235870227.72766179</v>
      </c>
      <c r="E40" s="165">
        <f t="shared" si="10"/>
        <v>229317226.41842443</v>
      </c>
      <c r="F40" s="165">
        <f t="shared" si="10"/>
        <v>221801280.6841476</v>
      </c>
      <c r="G40" s="165">
        <f t="shared" si="10"/>
        <v>260058949.95868683</v>
      </c>
      <c r="H40" s="165">
        <f t="shared" si="10"/>
        <v>280688611.73660767</v>
      </c>
      <c r="I40" s="165">
        <f t="shared" si="10"/>
        <v>323068067.368563</v>
      </c>
      <c r="J40" s="165">
        <f t="shared" si="10"/>
        <v>351166805.11837614</v>
      </c>
      <c r="K40" s="165">
        <f t="shared" si="10"/>
        <v>381594827.1269424</v>
      </c>
      <c r="L40" s="165">
        <f t="shared" si="10"/>
        <v>408957224.01914829</v>
      </c>
      <c r="M40" s="165">
        <f t="shared" si="10"/>
        <v>449310391.6774826</v>
      </c>
      <c r="N40" s="165">
        <f t="shared" si="10"/>
        <v>490391427.87091637</v>
      </c>
    </row>
    <row r="41" spans="1:14" s="168" customFormat="1">
      <c r="A41" s="166"/>
      <c r="B41" s="167">
        <f t="shared" ref="B41:N41" si="11">B40-B21</f>
        <v>0</v>
      </c>
      <c r="C41" s="167">
        <f t="shared" si="11"/>
        <v>0</v>
      </c>
      <c r="D41" s="167">
        <f t="shared" si="11"/>
        <v>0</v>
      </c>
      <c r="E41" s="167">
        <f t="shared" si="11"/>
        <v>0</v>
      </c>
      <c r="F41" s="167">
        <f t="shared" si="11"/>
        <v>0</v>
      </c>
      <c r="G41" s="167">
        <f t="shared" si="11"/>
        <v>0</v>
      </c>
      <c r="H41" s="167">
        <f t="shared" si="11"/>
        <v>0</v>
      </c>
      <c r="I41" s="167">
        <f t="shared" si="11"/>
        <v>0</v>
      </c>
      <c r="J41" s="167">
        <f t="shared" si="11"/>
        <v>0</v>
      </c>
      <c r="K41" s="167">
        <f t="shared" si="11"/>
        <v>0</v>
      </c>
      <c r="L41" s="167">
        <f t="shared" si="11"/>
        <v>0</v>
      </c>
      <c r="M41" s="167">
        <f t="shared" si="11"/>
        <v>0</v>
      </c>
      <c r="N41" s="167">
        <f t="shared" si="11"/>
        <v>0</v>
      </c>
    </row>
    <row r="42" spans="1:14" hidden="1">
      <c r="D42" s="167"/>
      <c r="E42" s="167">
        <v>-4691229.5655482709</v>
      </c>
      <c r="F42" s="167">
        <v>-651537.75507926941</v>
      </c>
      <c r="G42" s="167">
        <v>-22403589.299122185</v>
      </c>
      <c r="H42" s="167">
        <v>-22953289.714807212</v>
      </c>
      <c r="I42" s="167">
        <v>-38716732.959932566</v>
      </c>
      <c r="J42" s="167">
        <v>-41901369.740261018</v>
      </c>
      <c r="K42" s="167">
        <v>-44821522.587013841</v>
      </c>
      <c r="L42" s="167">
        <v>-40608265.779803097</v>
      </c>
      <c r="M42" s="167">
        <v>-44378012.48867172</v>
      </c>
      <c r="N42" s="167">
        <v>-44592153.33436209</v>
      </c>
    </row>
    <row r="43" spans="1:14" ht="15" thickBot="1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</row>
    <row r="44" spans="1:14" ht="18">
      <c r="A44" s="169" t="s">
        <v>595</v>
      </c>
      <c r="B44" s="170">
        <v>2011</v>
      </c>
      <c r="C44" s="170">
        <v>2011</v>
      </c>
      <c r="D44" s="170">
        <v>2012</v>
      </c>
      <c r="E44" s="170">
        <v>2013</v>
      </c>
      <c r="F44" s="170">
        <v>2014</v>
      </c>
      <c r="G44" s="170">
        <v>2015</v>
      </c>
      <c r="H44" s="170">
        <v>2016</v>
      </c>
      <c r="I44" s="170">
        <v>2017</v>
      </c>
      <c r="J44" s="170">
        <v>2018</v>
      </c>
      <c r="K44" s="170">
        <v>2019</v>
      </c>
      <c r="L44" s="170">
        <v>2020</v>
      </c>
      <c r="M44" s="170">
        <v>2021</v>
      </c>
      <c r="N44" s="170">
        <v>2022</v>
      </c>
    </row>
    <row r="45" spans="1:14">
      <c r="A45" s="171" t="s">
        <v>514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1:14" s="186" customFormat="1">
      <c r="A46" s="246" t="s">
        <v>515</v>
      </c>
      <c r="B46" s="247">
        <f t="shared" ref="B46:N46" si="12">B15+B13</f>
        <v>20707923</v>
      </c>
      <c r="C46" s="247">
        <f t="shared" si="12"/>
        <v>25826998</v>
      </c>
      <c r="D46" s="247">
        <f t="shared" si="12"/>
        <v>30696618</v>
      </c>
      <c r="E46" s="247">
        <f t="shared" si="12"/>
        <v>29324608.762640662</v>
      </c>
      <c r="F46" s="247">
        <f t="shared" si="12"/>
        <v>30191041.625746135</v>
      </c>
      <c r="G46" s="247">
        <f t="shared" si="12"/>
        <v>32677548.50670401</v>
      </c>
      <c r="H46" s="247">
        <f t="shared" si="12"/>
        <v>33959486.946585789</v>
      </c>
      <c r="I46" s="247">
        <f t="shared" si="12"/>
        <v>36366340.60780412</v>
      </c>
      <c r="J46" s="247">
        <f t="shared" si="12"/>
        <v>37424785.384458438</v>
      </c>
      <c r="K46" s="247">
        <f t="shared" si="12"/>
        <v>38461793.639926344</v>
      </c>
      <c r="L46" s="247">
        <f t="shared" si="12"/>
        <v>38757091.379067756</v>
      </c>
      <c r="M46" s="247">
        <f t="shared" si="12"/>
        <v>39594220.417577513</v>
      </c>
      <c r="N46" s="247">
        <f t="shared" si="12"/>
        <v>40336705.279279947</v>
      </c>
    </row>
    <row r="47" spans="1:14" s="186" customFormat="1">
      <c r="A47" s="246" t="s">
        <v>538</v>
      </c>
      <c r="B47" s="247">
        <f t="shared" ref="B47:N47" si="13">B17</f>
        <v>7865432</v>
      </c>
      <c r="C47" s="247">
        <f t="shared" si="13"/>
        <v>9342651</v>
      </c>
      <c r="D47" s="247">
        <f t="shared" si="13"/>
        <v>6516903</v>
      </c>
      <c r="E47" s="247">
        <f t="shared" si="13"/>
        <v>9008313.7194653992</v>
      </c>
      <c r="F47" s="247">
        <f t="shared" si="13"/>
        <v>9274475.8057487924</v>
      </c>
      <c r="G47" s="247">
        <f t="shared" si="13"/>
        <v>10038313.244487768</v>
      </c>
      <c r="H47" s="247">
        <f t="shared" si="13"/>
        <v>10432115.723796861</v>
      </c>
      <c r="I47" s="247">
        <f t="shared" si="13"/>
        <v>11171484.253232144</v>
      </c>
      <c r="J47" s="247">
        <f t="shared" si="13"/>
        <v>11496631.049904121</v>
      </c>
      <c r="K47" s="247">
        <f t="shared" si="13"/>
        <v>11815192.697922822</v>
      </c>
      <c r="L47" s="247">
        <f t="shared" si="13"/>
        <v>11905906.088043943</v>
      </c>
      <c r="M47" s="247">
        <f t="shared" si="13"/>
        <v>12163066.24535788</v>
      </c>
      <c r="N47" s="247">
        <f t="shared" si="13"/>
        <v>12391152.376712872</v>
      </c>
    </row>
    <row r="48" spans="1:14" s="186" customFormat="1">
      <c r="A48" s="248" t="s">
        <v>596</v>
      </c>
      <c r="B48" s="247">
        <f t="shared" ref="B48:N48" si="14">B16+B17</f>
        <v>21471773</v>
      </c>
      <c r="C48" s="247">
        <f t="shared" si="14"/>
        <v>23492523</v>
      </c>
      <c r="D48" s="247">
        <f t="shared" si="14"/>
        <v>25053197</v>
      </c>
      <c r="E48" s="247">
        <f t="shared" si="14"/>
        <v>24838332.489183459</v>
      </c>
      <c r="F48" s="247">
        <f t="shared" si="14"/>
        <v>25543554.497999601</v>
      </c>
      <c r="G48" s="247">
        <f t="shared" si="14"/>
        <v>30384509.686187543</v>
      </c>
      <c r="H48" s="247">
        <f t="shared" si="14"/>
        <v>33292114.752479523</v>
      </c>
      <c r="I48" s="247">
        <f t="shared" si="14"/>
        <v>36782658.713038795</v>
      </c>
      <c r="J48" s="247">
        <f t="shared" si="14"/>
        <v>38051267.2680519</v>
      </c>
      <c r="K48" s="247">
        <f t="shared" si="14"/>
        <v>39348194.662043586</v>
      </c>
      <c r="L48" s="247">
        <f t="shared" si="14"/>
        <v>40453474.738380253</v>
      </c>
      <c r="M48" s="247">
        <f t="shared" si="14"/>
        <v>41762747.880626142</v>
      </c>
      <c r="N48" s="247">
        <f t="shared" si="14"/>
        <v>43081888.874672502</v>
      </c>
    </row>
    <row r="49" spans="1:14" s="186" customFormat="1">
      <c r="A49" s="248" t="s">
        <v>662</v>
      </c>
      <c r="B49" s="247">
        <f t="shared" ref="B49:N49" si="15">B36</f>
        <v>25857742</v>
      </c>
      <c r="C49" s="247">
        <f t="shared" si="15"/>
        <v>32275091</v>
      </c>
      <c r="D49" s="247">
        <f t="shared" si="15"/>
        <v>34113784</v>
      </c>
      <c r="E49" s="249">
        <f t="shared" si="15"/>
        <v>35025793.713655725</v>
      </c>
      <c r="F49" s="249">
        <f t="shared" si="15"/>
        <v>36060675.337328978</v>
      </c>
      <c r="G49" s="249">
        <f t="shared" si="15"/>
        <v>39030599.94177828</v>
      </c>
      <c r="H49" s="249">
        <f t="shared" si="15"/>
        <v>40561768.241834447</v>
      </c>
      <c r="I49" s="249">
        <f t="shared" si="15"/>
        <v>43436553.73408594</v>
      </c>
      <c r="J49" s="249">
        <f t="shared" si="15"/>
        <v>44700777.536847159</v>
      </c>
      <c r="K49" s="249">
        <f t="shared" si="15"/>
        <v>45939397.207083002</v>
      </c>
      <c r="L49" s="249">
        <f t="shared" si="15"/>
        <v>46292105.67044203</v>
      </c>
      <c r="M49" s="249">
        <f t="shared" si="15"/>
        <v>47291986.325351521</v>
      </c>
      <c r="N49" s="249">
        <f t="shared" si="15"/>
        <v>48178822.42304682</v>
      </c>
    </row>
    <row r="50" spans="1:14" s="186" customFormat="1">
      <c r="A50" s="250" t="s">
        <v>516</v>
      </c>
      <c r="B50" s="251">
        <f>B46++B47+B48-B49</f>
        <v>24187386</v>
      </c>
      <c r="C50" s="251">
        <f t="shared" ref="C50:N50" si="16">C46++C47+C48-C49</f>
        <v>26387081</v>
      </c>
      <c r="D50" s="251">
        <f t="shared" si="16"/>
        <v>28152934</v>
      </c>
      <c r="E50" s="251">
        <f t="shared" si="16"/>
        <v>28145461.25763379</v>
      </c>
      <c r="F50" s="251">
        <f t="shared" si="16"/>
        <v>28948396.592165552</v>
      </c>
      <c r="G50" s="251">
        <f t="shared" si="16"/>
        <v>34069771.495601051</v>
      </c>
      <c r="H50" s="251">
        <f t="shared" si="16"/>
        <v>37121949.181027725</v>
      </c>
      <c r="I50" s="251">
        <f t="shared" si="16"/>
        <v>40883929.839989118</v>
      </c>
      <c r="J50" s="251">
        <f t="shared" si="16"/>
        <v>42271906.165567294</v>
      </c>
      <c r="K50" s="251">
        <f t="shared" si="16"/>
        <v>43685783.792809755</v>
      </c>
      <c r="L50" s="251">
        <f t="shared" si="16"/>
        <v>44824366.53504993</v>
      </c>
      <c r="M50" s="251">
        <f t="shared" si="16"/>
        <v>46228048.218210012</v>
      </c>
      <c r="N50" s="251">
        <f t="shared" si="16"/>
        <v>47630924.107618503</v>
      </c>
    </row>
    <row r="51" spans="1:14" s="186" customFormat="1" ht="15" thickBot="1">
      <c r="A51" s="244" t="s">
        <v>517</v>
      </c>
      <c r="B51" s="245">
        <v>0</v>
      </c>
      <c r="C51" s="245">
        <f t="shared" ref="C51" si="17">C50-B50</f>
        <v>2199695</v>
      </c>
      <c r="D51" s="245">
        <f>D50-C50</f>
        <v>1765853</v>
      </c>
      <c r="E51" s="245">
        <f t="shared" ref="E51:K51" si="18">E50-D50</f>
        <v>-7472.7423662096262</v>
      </c>
      <c r="F51" s="245">
        <f t="shared" si="18"/>
        <v>802935.33453176171</v>
      </c>
      <c r="G51" s="245">
        <f t="shared" si="18"/>
        <v>5121374.9034354985</v>
      </c>
      <c r="H51" s="245">
        <f t="shared" si="18"/>
        <v>3052177.6854266748</v>
      </c>
      <c r="I51" s="245">
        <f t="shared" si="18"/>
        <v>3761980.6589613929</v>
      </c>
      <c r="J51" s="245">
        <f t="shared" si="18"/>
        <v>1387976.3255781755</v>
      </c>
      <c r="K51" s="245">
        <f t="shared" si="18"/>
        <v>1413877.6272424608</v>
      </c>
      <c r="L51" s="245">
        <f>L50-K50</f>
        <v>1138582.7422401756</v>
      </c>
      <c r="M51" s="245">
        <f>M50-L50</f>
        <v>1403681.6831600815</v>
      </c>
      <c r="N51" s="245">
        <f>N50-M50</f>
        <v>1402875.8894084916</v>
      </c>
    </row>
    <row r="52" spans="1:14">
      <c r="D52" s="3"/>
      <c r="E52" s="3"/>
      <c r="F52" s="3"/>
      <c r="G52" s="3"/>
      <c r="H52" s="3"/>
      <c r="I52" s="3"/>
      <c r="J52" s="3"/>
      <c r="K52" s="3"/>
    </row>
    <row r="53" spans="1:14">
      <c r="D53" s="3"/>
      <c r="E53" s="3"/>
      <c r="F53" s="3"/>
      <c r="G53" s="3"/>
      <c r="H53" s="3"/>
      <c r="I53" s="3"/>
      <c r="J53" s="3"/>
      <c r="K53" s="3"/>
    </row>
  </sheetData>
  <mergeCells count="14">
    <mergeCell ref="N6:N7"/>
    <mergeCell ref="C6:C7"/>
    <mergeCell ref="H6:H7"/>
    <mergeCell ref="I6:I7"/>
    <mergeCell ref="J6:J7"/>
    <mergeCell ref="K6:K7"/>
    <mergeCell ref="L6:L7"/>
    <mergeCell ref="M6:M7"/>
    <mergeCell ref="G6:G7"/>
    <mergeCell ref="A6:A7"/>
    <mergeCell ref="B6:B7"/>
    <mergeCell ref="D6:D7"/>
    <mergeCell ref="E6:E7"/>
    <mergeCell ref="F6:F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"/>
  <sheetViews>
    <sheetView zoomScaleNormal="100" workbookViewId="0"/>
  </sheetViews>
  <sheetFormatPr defaultRowHeight="14.4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379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403860</xdr:colOff>
                <xdr:row>31</xdr:row>
                <xdr:rowOff>129540</xdr:rowOff>
              </to>
            </anchor>
          </objectPr>
        </oleObject>
      </mc:Choice>
      <mc:Fallback>
        <oleObject progId="Visio.Drawing.11" shapeId="33795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N53"/>
  <sheetViews>
    <sheetView workbookViewId="0">
      <pane xSplit="1" ySplit="7" topLeftCell="D26" activePane="bottomRight" state="frozen"/>
      <selection pane="topRight" activeCell="B1" sqref="B1"/>
      <selection pane="bottomLeft" activeCell="A7" sqref="A7"/>
      <selection pane="bottomRight" activeCell="D33" sqref="D33:F33"/>
    </sheetView>
  </sheetViews>
  <sheetFormatPr defaultRowHeight="14.4"/>
  <cols>
    <col min="1" max="1" width="53.33203125" customWidth="1"/>
    <col min="2" max="3" width="12.77734375" style="3" customWidth="1"/>
    <col min="4" max="14" width="12.77734375" customWidth="1"/>
  </cols>
  <sheetData>
    <row r="1" spans="1:14">
      <c r="A1" s="303" t="s">
        <v>740</v>
      </c>
    </row>
    <row r="2" spans="1:14" ht="21">
      <c r="A2" s="92" t="s">
        <v>540</v>
      </c>
    </row>
    <row r="3" spans="1:14" ht="21">
      <c r="A3" s="92" t="s">
        <v>551</v>
      </c>
    </row>
    <row r="4" spans="1:14">
      <c r="A4" s="179" t="s">
        <v>119</v>
      </c>
    </row>
    <row r="5" spans="1:14" ht="1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4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4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4" ht="1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4" ht="28.8">
      <c r="A9" s="236" t="s">
        <v>556</v>
      </c>
      <c r="B9" s="158">
        <f t="shared" ref="B9:N9" si="0">SUM(B10:B11)</f>
        <v>6050</v>
      </c>
      <c r="C9" s="158">
        <f t="shared" si="0"/>
        <v>12280</v>
      </c>
      <c r="D9" s="158">
        <f t="shared" si="0"/>
        <v>18750</v>
      </c>
      <c r="E9" s="158">
        <f t="shared" si="0"/>
        <v>21181.875</v>
      </c>
      <c r="F9" s="158">
        <f t="shared" si="0"/>
        <v>23975.764312500003</v>
      </c>
      <c r="G9" s="158">
        <f t="shared" si="0"/>
        <v>27190.914306806255</v>
      </c>
      <c r="H9" s="158">
        <f t="shared" si="0"/>
        <v>30897.035926823944</v>
      </c>
      <c r="I9" s="158">
        <f t="shared" si="0"/>
        <v>35176.275402689062</v>
      </c>
      <c r="J9" s="158">
        <f t="shared" si="0"/>
        <v>40125.577351847409</v>
      </c>
      <c r="K9" s="158">
        <f t="shared" si="0"/>
        <v>45859.522355426408</v>
      </c>
      <c r="L9" s="158">
        <f t="shared" si="0"/>
        <v>52513.739049198783</v>
      </c>
      <c r="M9" s="158">
        <f t="shared" si="0"/>
        <v>60249.012811145767</v>
      </c>
      <c r="N9" s="158">
        <f t="shared" si="0"/>
        <v>69256.240226412061</v>
      </c>
    </row>
    <row r="10" spans="1:14">
      <c r="A10" s="231" t="s">
        <v>496</v>
      </c>
      <c r="B10" s="159">
        <f>'Tr BS 2012'!B10</f>
        <v>6050</v>
      </c>
      <c r="C10" s="159">
        <f>'Tr BS 2012'!C10</f>
        <v>12280</v>
      </c>
      <c r="D10" s="159">
        <f>'Tr BS 2012'!D10</f>
        <v>18750</v>
      </c>
      <c r="E10" s="160">
        <f>Предположения!F186</f>
        <v>21181.875</v>
      </c>
      <c r="F10" s="160">
        <f>Предположения!G186</f>
        <v>23975.764312500003</v>
      </c>
      <c r="G10" s="160">
        <f>Предположения!H186</f>
        <v>27190.914306806255</v>
      </c>
      <c r="H10" s="160">
        <f>Предположения!I186</f>
        <v>30897.035926823944</v>
      </c>
      <c r="I10" s="160">
        <f>Предположения!J186</f>
        <v>35176.275402689062</v>
      </c>
      <c r="J10" s="160">
        <f>Предположения!K186</f>
        <v>40125.577351847409</v>
      </c>
      <c r="K10" s="160">
        <f>Предположения!L186</f>
        <v>45859.522355426408</v>
      </c>
      <c r="L10" s="160">
        <f>Предположения!M186</f>
        <v>52513.739049198783</v>
      </c>
      <c r="M10" s="160">
        <f>Предположения!N186</f>
        <v>60249.012811145767</v>
      </c>
      <c r="N10" s="160">
        <f>Предположения!O186</f>
        <v>69256.240226412061</v>
      </c>
    </row>
    <row r="11" spans="1:14">
      <c r="A11" s="237" t="s">
        <v>519</v>
      </c>
      <c r="B11" s="159">
        <f>'Tr BS 2012'!B11</f>
        <v>0</v>
      </c>
      <c r="C11" s="159">
        <f>'Tr BS 2012'!C11</f>
        <v>0</v>
      </c>
      <c r="D11" s="159">
        <f>'Tr BS 2012'!D11</f>
        <v>0</v>
      </c>
      <c r="E11" s="160">
        <v>0</v>
      </c>
      <c r="F11" s="160">
        <f>E11</f>
        <v>0</v>
      </c>
      <c r="G11" s="160">
        <f t="shared" ref="G11:N11" si="1">F11</f>
        <v>0</v>
      </c>
      <c r="H11" s="160">
        <f t="shared" si="1"/>
        <v>0</v>
      </c>
      <c r="I11" s="160">
        <f t="shared" si="1"/>
        <v>0</v>
      </c>
      <c r="J11" s="160">
        <f t="shared" si="1"/>
        <v>0</v>
      </c>
      <c r="K11" s="160">
        <f t="shared" si="1"/>
        <v>0</v>
      </c>
      <c r="L11" s="160">
        <f t="shared" si="1"/>
        <v>0</v>
      </c>
      <c r="M11" s="160">
        <f t="shared" si="1"/>
        <v>0</v>
      </c>
      <c r="N11" s="160">
        <f t="shared" si="1"/>
        <v>0</v>
      </c>
    </row>
    <row r="12" spans="1:14" ht="28.8">
      <c r="A12" s="238" t="s">
        <v>557</v>
      </c>
      <c r="B12" s="161">
        <f t="shared" ref="B12:D12" si="2">SUM(B13:B19)</f>
        <v>14820337.622724142</v>
      </c>
      <c r="C12" s="161">
        <f t="shared" si="2"/>
        <v>23150237.224599142</v>
      </c>
      <c r="D12" s="161">
        <f t="shared" si="2"/>
        <v>18551739.942898363</v>
      </c>
      <c r="E12" s="161">
        <f>SUM(E13:E20)</f>
        <v>22265654.734612837</v>
      </c>
      <c r="F12" s="161">
        <f t="shared" ref="F12:N12" si="3">SUM(F13:F20)</f>
        <v>24300060.659570288</v>
      </c>
      <c r="G12" s="161">
        <f t="shared" si="3"/>
        <v>27060228.480137415</v>
      </c>
      <c r="H12" s="161">
        <f t="shared" si="3"/>
        <v>29621407.444080021</v>
      </c>
      <c r="I12" s="161">
        <f t="shared" si="3"/>
        <v>32250966.62117371</v>
      </c>
      <c r="J12" s="161">
        <f t="shared" si="3"/>
        <v>34520348.552341655</v>
      </c>
      <c r="K12" s="161">
        <f t="shared" si="3"/>
        <v>36696311.129958294</v>
      </c>
      <c r="L12" s="161">
        <f t="shared" si="3"/>
        <v>38766035.082587264</v>
      </c>
      <c r="M12" s="161">
        <f t="shared" si="3"/>
        <v>40715962.920351371</v>
      </c>
      <c r="N12" s="161">
        <f t="shared" si="3"/>
        <v>42531741.303209662</v>
      </c>
    </row>
    <row r="13" spans="1:14">
      <c r="A13" s="231" t="s">
        <v>497</v>
      </c>
      <c r="B13" s="243">
        <v>0</v>
      </c>
      <c r="C13" s="243">
        <v>0</v>
      </c>
      <c r="D13" s="243">
        <v>0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3">
        <v>0</v>
      </c>
      <c r="N13" s="243">
        <v>0</v>
      </c>
    </row>
    <row r="14" spans="1:14">
      <c r="A14" s="231" t="s">
        <v>539</v>
      </c>
      <c r="B14" s="243">
        <v>0</v>
      </c>
      <c r="C14" s="243">
        <v>0</v>
      </c>
      <c r="D14" s="243">
        <v>0</v>
      </c>
      <c r="E14" s="243">
        <v>0</v>
      </c>
      <c r="F14" s="243">
        <v>0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</row>
    <row r="15" spans="1:14">
      <c r="A15" s="231" t="s">
        <v>498</v>
      </c>
      <c r="B15" s="159">
        <v>0</v>
      </c>
      <c r="C15" s="159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</row>
    <row r="16" spans="1:14">
      <c r="A16" s="231" t="s">
        <v>499</v>
      </c>
      <c r="B16" s="159">
        <f>'Tr BS 2012'!B16</f>
        <v>2804603</v>
      </c>
      <c r="C16" s="159">
        <f>'Tr BS 2012'!C16</f>
        <v>3983811.0795454546</v>
      </c>
      <c r="D16" s="159">
        <f>'Tr BS 2012'!D16</f>
        <v>2549639.0909090908</v>
      </c>
      <c r="E16" s="160">
        <f>Предположения!F194</f>
        <v>3364291.3127164557</v>
      </c>
      <c r="F16" s="160">
        <f>Предположения!G194</f>
        <v>3550426.2569274548</v>
      </c>
      <c r="G16" s="160">
        <f>Предположения!H194</f>
        <v>4087002.5403275327</v>
      </c>
      <c r="H16" s="160">
        <f>Предположения!I194</f>
        <v>4484711.9844587566</v>
      </c>
      <c r="I16" s="160">
        <f>Предположения!J194</f>
        <v>4916082.742696193</v>
      </c>
      <c r="J16" s="160">
        <f>Предположения!K194</f>
        <v>5189000.8889493551</v>
      </c>
      <c r="K16" s="160">
        <f>Предположения!L194</f>
        <v>5474982.7854575291</v>
      </c>
      <c r="L16" s="160">
        <f>Предположения!M194</f>
        <v>5774613.0218341658</v>
      </c>
      <c r="M16" s="160">
        <f>Предположения!N194</f>
        <v>6088501.1058715936</v>
      </c>
      <c r="N16" s="160">
        <f>Предположения!O194</f>
        <v>6417282.4916912643</v>
      </c>
    </row>
    <row r="17" spans="1:14">
      <c r="A17" s="231" t="s">
        <v>538</v>
      </c>
      <c r="B17" s="159">
        <f>'Tr BS 2012'!B17</f>
        <v>11637712</v>
      </c>
      <c r="C17" s="159">
        <f>'Tr BS 2012'!C17</f>
        <v>16530840.909090908</v>
      </c>
      <c r="D17" s="159">
        <f>'Tr BS 2012'!D17</f>
        <v>10579738.181818182</v>
      </c>
      <c r="E17" s="160">
        <f>Предположения!F195</f>
        <v>13960141.018709615</v>
      </c>
      <c r="F17" s="160">
        <f>Предположения!G195</f>
        <v>14732508.756269503</v>
      </c>
      <c r="G17" s="160">
        <f>Предположения!H195</f>
        <v>16959034.311665572</v>
      </c>
      <c r="H17" s="160">
        <f>Предположения!I195</f>
        <v>18609331.330701523</v>
      </c>
      <c r="I17" s="160">
        <f>Предположения!J195</f>
        <v>20399306.114864878</v>
      </c>
      <c r="J17" s="160">
        <f>Предположения!K195</f>
        <v>25838137.339225508</v>
      </c>
      <c r="K17" s="160">
        <f>Предположения!L195</f>
        <v>27262157.044877648</v>
      </c>
      <c r="L17" s="160">
        <f>Предположения!M195</f>
        <v>28754137.36327989</v>
      </c>
      <c r="M17" s="160">
        <f>Предположения!N195</f>
        <v>30317113.280624073</v>
      </c>
      <c r="N17" s="160">
        <f>Предположения!O195</f>
        <v>31954248.980384879</v>
      </c>
    </row>
    <row r="18" spans="1:14">
      <c r="A18" s="231" t="s">
        <v>500</v>
      </c>
      <c r="B18" s="159">
        <f>'Tr BS 2012'!B18</f>
        <v>56238</v>
      </c>
      <c r="C18" s="159">
        <f>'Tr BS 2012'!C18</f>
        <v>2257872.3758491445</v>
      </c>
      <c r="D18" s="159">
        <f>'Tr BS 2012'!D18</f>
        <v>4586150.9777241219</v>
      </c>
      <c r="E18" s="160"/>
      <c r="F18" s="160"/>
      <c r="G18" s="160"/>
      <c r="H18" s="160"/>
      <c r="I18" s="160"/>
      <c r="J18" s="160"/>
      <c r="K18" s="160"/>
      <c r="L18" s="160"/>
      <c r="M18" s="160"/>
      <c r="N18" s="160"/>
    </row>
    <row r="19" spans="1:14" ht="15" thickBot="1">
      <c r="A19" s="231" t="s">
        <v>501</v>
      </c>
      <c r="B19" s="159">
        <f>'Tr BS 2012'!B19</f>
        <v>321784.62272414193</v>
      </c>
      <c r="C19" s="159">
        <f>'Tr BS 2012'!C19</f>
        <v>377712.86011363193</v>
      </c>
      <c r="D19" s="159">
        <f>'Tr BS 2012'!D19</f>
        <v>836211.69244696945</v>
      </c>
      <c r="E19" s="164">
        <f>AVERAGE(B19:D19)*Предположения!F197</f>
        <v>637273.35853655078</v>
      </c>
      <c r="F19" s="164">
        <f>E19*Предположения!G197</f>
        <v>672531.55410065001</v>
      </c>
      <c r="G19" s="164">
        <f>F19*Предположения!H197</f>
        <v>774171.31666845444</v>
      </c>
      <c r="H19" s="164">
        <f>G19*Предположения!I197</f>
        <v>849506.53874783055</v>
      </c>
      <c r="I19" s="164">
        <f>H19*Предположения!J197</f>
        <v>931217.97997687897</v>
      </c>
      <c r="J19" s="164">
        <f>I19*Предположения!K197</f>
        <v>982914.88951943873</v>
      </c>
      <c r="K19" s="164">
        <f>J19*Предположения!L197</f>
        <v>1037086.3707403267</v>
      </c>
      <c r="L19" s="164">
        <f>K19*Предположения!M197</f>
        <v>1093843.1582197864</v>
      </c>
      <c r="M19" s="164">
        <f>L19*Предположения!N197</f>
        <v>1153300.7066083713</v>
      </c>
      <c r="N19" s="164">
        <f>M19*Предположения!O197</f>
        <v>1215579.3853820073</v>
      </c>
    </row>
    <row r="20" spans="1:14" ht="15" thickBot="1">
      <c r="A20" s="236" t="s">
        <v>670</v>
      </c>
      <c r="B20" s="243"/>
      <c r="C20" s="243"/>
      <c r="D20" s="243"/>
      <c r="E20" s="164">
        <f>IF(E42&gt;0,E42,0)</f>
        <v>4303949.0446502194</v>
      </c>
      <c r="F20" s="164">
        <f t="shared" ref="F20:N20" si="4">IF(F42&gt;0,F42,0)</f>
        <v>5344594.0922726765</v>
      </c>
      <c r="G20" s="164">
        <f t="shared" si="4"/>
        <v>5240020.3114758544</v>
      </c>
      <c r="H20" s="164">
        <f t="shared" si="4"/>
        <v>5677857.5901719108</v>
      </c>
      <c r="I20" s="164">
        <f t="shared" si="4"/>
        <v>6004359.7836357616</v>
      </c>
      <c r="J20" s="164">
        <f t="shared" si="4"/>
        <v>2510295.4346473515</v>
      </c>
      <c r="K20" s="164">
        <f t="shared" si="4"/>
        <v>2922084.9288827926</v>
      </c>
      <c r="L20" s="164">
        <f t="shared" si="4"/>
        <v>3143441.5392534211</v>
      </c>
      <c r="M20" s="164">
        <f t="shared" si="4"/>
        <v>3157047.8272473365</v>
      </c>
      <c r="N20" s="164">
        <f t="shared" si="4"/>
        <v>2944630.445751518</v>
      </c>
    </row>
    <row r="21" spans="1:14" ht="18.600000000000001" thickBot="1">
      <c r="A21" s="267" t="s">
        <v>502</v>
      </c>
      <c r="B21" s="165">
        <f t="shared" ref="B21:N21" si="5">B12+B9</f>
        <v>14826387.622724142</v>
      </c>
      <c r="C21" s="165">
        <f t="shared" si="5"/>
        <v>23162517.224599142</v>
      </c>
      <c r="D21" s="165">
        <f t="shared" si="5"/>
        <v>18570489.942898363</v>
      </c>
      <c r="E21" s="165">
        <f t="shared" si="5"/>
        <v>22286836.609612837</v>
      </c>
      <c r="F21" s="165">
        <f t="shared" si="5"/>
        <v>24324036.423882786</v>
      </c>
      <c r="G21" s="165">
        <f t="shared" si="5"/>
        <v>27087419.39444422</v>
      </c>
      <c r="H21" s="165">
        <f t="shared" si="5"/>
        <v>29652304.480006844</v>
      </c>
      <c r="I21" s="165">
        <f t="shared" si="5"/>
        <v>32286142.896576397</v>
      </c>
      <c r="J21" s="165">
        <f t="shared" si="5"/>
        <v>34560474.129693501</v>
      </c>
      <c r="K21" s="165">
        <f t="shared" si="5"/>
        <v>36742170.652313724</v>
      </c>
      <c r="L21" s="165">
        <f t="shared" si="5"/>
        <v>38818548.821636461</v>
      </c>
      <c r="M21" s="165">
        <f t="shared" si="5"/>
        <v>40776211.933162518</v>
      </c>
      <c r="N21" s="165">
        <f t="shared" si="5"/>
        <v>42600997.543436073</v>
      </c>
    </row>
    <row r="22" spans="1:14" ht="15" thickBot="1">
      <c r="A22" s="235" t="s">
        <v>503</v>
      </c>
      <c r="B22" s="157"/>
      <c r="C22" s="157"/>
    </row>
    <row r="23" spans="1:14" ht="28.8">
      <c r="A23" s="238" t="s">
        <v>558</v>
      </c>
      <c r="B23" s="158">
        <f t="shared" ref="B23:N23" si="6">SUM(B24:B28)</f>
        <v>12132975.622724142</v>
      </c>
      <c r="C23" s="158">
        <f t="shared" si="6"/>
        <v>14367623.224599142</v>
      </c>
      <c r="D23" s="158">
        <f t="shared" si="6"/>
        <v>15048946.942898361</v>
      </c>
      <c r="E23" s="158">
        <f t="shared" si="6"/>
        <v>16830637.831698135</v>
      </c>
      <c r="F23" s="158">
        <f t="shared" si="6"/>
        <v>18556679.651122481</v>
      </c>
      <c r="G23" s="158">
        <f t="shared" si="6"/>
        <v>20437383.972062457</v>
      </c>
      <c r="H23" s="158">
        <f t="shared" si="6"/>
        <v>22343796.497427844</v>
      </c>
      <c r="I23" s="158">
        <f t="shared" si="6"/>
        <v>24262597.685251717</v>
      </c>
      <c r="J23" s="158">
        <f t="shared" si="6"/>
        <v>26079471.489164662</v>
      </c>
      <c r="K23" s="158">
        <f t="shared" si="6"/>
        <v>27781442.844970033</v>
      </c>
      <c r="L23" s="158">
        <f t="shared" si="6"/>
        <v>29354830.827840235</v>
      </c>
      <c r="M23" s="158">
        <f t="shared" si="6"/>
        <v>30785198.783326637</v>
      </c>
      <c r="N23" s="158">
        <f t="shared" si="6"/>
        <v>32057299.85750021</v>
      </c>
    </row>
    <row r="24" spans="1:14">
      <c r="A24" s="231" t="s">
        <v>504</v>
      </c>
      <c r="B24" s="159">
        <f>'Tr BS 2012'!B23</f>
        <v>10000000</v>
      </c>
      <c r="C24" s="159">
        <f>'Tr BS 2012'!C23</f>
        <v>10000000</v>
      </c>
      <c r="D24" s="159">
        <f>'Tr BS 2012'!D23</f>
        <v>10000000</v>
      </c>
      <c r="E24" s="159">
        <f t="shared" ref="E24:N24" si="7">D24</f>
        <v>10000000</v>
      </c>
      <c r="F24" s="159">
        <f t="shared" si="7"/>
        <v>10000000</v>
      </c>
      <c r="G24" s="159">
        <f t="shared" si="7"/>
        <v>10000000</v>
      </c>
      <c r="H24" s="159">
        <f t="shared" si="7"/>
        <v>10000000</v>
      </c>
      <c r="I24" s="159">
        <f t="shared" si="7"/>
        <v>10000000</v>
      </c>
      <c r="J24" s="159">
        <f t="shared" si="7"/>
        <v>10000000</v>
      </c>
      <c r="K24" s="159">
        <f t="shared" si="7"/>
        <v>10000000</v>
      </c>
      <c r="L24" s="159">
        <f t="shared" si="7"/>
        <v>10000000</v>
      </c>
      <c r="M24" s="159">
        <f t="shared" si="7"/>
        <v>10000000</v>
      </c>
      <c r="N24" s="159">
        <f t="shared" si="7"/>
        <v>10000000</v>
      </c>
    </row>
    <row r="25" spans="1:14">
      <c r="A25" s="231" t="s">
        <v>505</v>
      </c>
      <c r="B25" s="159">
        <f>'Tr BS 2012'!B24</f>
        <v>0</v>
      </c>
      <c r="C25" s="159">
        <f>'Tr BS 2012'!C24</f>
        <v>0</v>
      </c>
      <c r="D25" s="159">
        <f>'Tr BS 2012'!D24</f>
        <v>0</v>
      </c>
      <c r="E25" s="159">
        <f t="shared" ref="E25:N25" si="8">D25</f>
        <v>0</v>
      </c>
      <c r="F25" s="159">
        <f t="shared" si="8"/>
        <v>0</v>
      </c>
      <c r="G25" s="159">
        <f t="shared" si="8"/>
        <v>0</v>
      </c>
      <c r="H25" s="159">
        <f t="shared" si="8"/>
        <v>0</v>
      </c>
      <c r="I25" s="159">
        <f t="shared" si="8"/>
        <v>0</v>
      </c>
      <c r="J25" s="159">
        <f t="shared" si="8"/>
        <v>0</v>
      </c>
      <c r="K25" s="159">
        <f t="shared" si="8"/>
        <v>0</v>
      </c>
      <c r="L25" s="159">
        <f t="shared" si="8"/>
        <v>0</v>
      </c>
      <c r="M25" s="159">
        <f t="shared" si="8"/>
        <v>0</v>
      </c>
      <c r="N25" s="159">
        <f t="shared" si="8"/>
        <v>0</v>
      </c>
    </row>
    <row r="26" spans="1:14" s="186" customFormat="1">
      <c r="A26" s="228" t="s">
        <v>564</v>
      </c>
      <c r="B26" s="159">
        <f>'Tr BS 2012'!B25</f>
        <v>0</v>
      </c>
      <c r="C26" s="159">
        <f>'Tr BS 2012'!C25</f>
        <v>0</v>
      </c>
      <c r="D26" s="159">
        <f>'Tr BS 2012'!D25</f>
        <v>0</v>
      </c>
      <c r="E26" s="159">
        <f t="shared" ref="E26:N26" si="9">D26</f>
        <v>0</v>
      </c>
      <c r="F26" s="159">
        <f t="shared" si="9"/>
        <v>0</v>
      </c>
      <c r="G26" s="159">
        <f t="shared" si="9"/>
        <v>0</v>
      </c>
      <c r="H26" s="159">
        <f t="shared" si="9"/>
        <v>0</v>
      </c>
      <c r="I26" s="159">
        <f t="shared" si="9"/>
        <v>0</v>
      </c>
      <c r="J26" s="159">
        <f t="shared" si="9"/>
        <v>0</v>
      </c>
      <c r="K26" s="159">
        <f t="shared" si="9"/>
        <v>0</v>
      </c>
      <c r="L26" s="159">
        <f t="shared" si="9"/>
        <v>0</v>
      </c>
      <c r="M26" s="159">
        <f t="shared" si="9"/>
        <v>0</v>
      </c>
      <c r="N26" s="159">
        <f t="shared" si="9"/>
        <v>0</v>
      </c>
    </row>
    <row r="27" spans="1:14" ht="28.8">
      <c r="A27" s="240" t="s">
        <v>506</v>
      </c>
      <c r="B27" s="159">
        <f>'Tr BS 2012'!B26</f>
        <v>0</v>
      </c>
      <c r="C27" s="159">
        <f>'Tr BS 2012'!C26</f>
        <v>2132975.6227241415</v>
      </c>
      <c r="D27" s="159">
        <f>'Tr BS 2012'!D26</f>
        <v>4367623.2245991416</v>
      </c>
      <c r="E27" s="159">
        <f>D27+D28</f>
        <v>5048946.942898361</v>
      </c>
      <c r="F27" s="159">
        <f t="shared" ref="F27:N27" si="10">E27+E28</f>
        <v>6830637.8316981327</v>
      </c>
      <c r="G27" s="159">
        <f t="shared" si="10"/>
        <v>8556679.6511224769</v>
      </c>
      <c r="H27" s="159">
        <f t="shared" si="10"/>
        <v>10437383.972062457</v>
      </c>
      <c r="I27" s="159">
        <f t="shared" si="10"/>
        <v>12343796.497427844</v>
      </c>
      <c r="J27" s="159">
        <f t="shared" si="10"/>
        <v>14262597.685251717</v>
      </c>
      <c r="K27" s="159">
        <f t="shared" si="10"/>
        <v>16079471.489164663</v>
      </c>
      <c r="L27" s="159">
        <f t="shared" si="10"/>
        <v>17781442.844970029</v>
      </c>
      <c r="M27" s="159">
        <f t="shared" si="10"/>
        <v>19354830.827840235</v>
      </c>
      <c r="N27" s="159">
        <f t="shared" si="10"/>
        <v>20785198.783326637</v>
      </c>
    </row>
    <row r="28" spans="1:14" ht="28.8">
      <c r="A28" s="240" t="s">
        <v>507</v>
      </c>
      <c r="B28" s="159">
        <f>'Tr BS 2012'!B27</f>
        <v>2132975.6227241415</v>
      </c>
      <c r="C28" s="159">
        <f>'Tr BS 2012'!C27</f>
        <v>2234647.6018749997</v>
      </c>
      <c r="D28" s="159">
        <f>'Tr BS 2012'!D27</f>
        <v>681323.71829921904</v>
      </c>
      <c r="E28" s="159">
        <f>'Tr P&amp;L proj'!E37</f>
        <v>1781690.8887997717</v>
      </c>
      <c r="F28" s="159">
        <f>'Tr P&amp;L proj'!F37</f>
        <v>1726041.8194243445</v>
      </c>
      <c r="G28" s="159">
        <f>'Tr P&amp;L proj'!G37</f>
        <v>1880704.32093998</v>
      </c>
      <c r="H28" s="159">
        <f>'Tr P&amp;L proj'!H37</f>
        <v>1906412.5253653866</v>
      </c>
      <c r="I28" s="159">
        <f>'Tr P&amp;L proj'!I37</f>
        <v>1918801.1878238723</v>
      </c>
      <c r="J28" s="159">
        <f>'Tr P&amp;L proj'!J37</f>
        <v>1816873.8039129465</v>
      </c>
      <c r="K28" s="159">
        <f>'Tr P&amp;L proj'!K37</f>
        <v>1701971.3558053668</v>
      </c>
      <c r="L28" s="159">
        <f>'Tr P&amp;L proj'!L37</f>
        <v>1573387.9828702062</v>
      </c>
      <c r="M28" s="159">
        <f>'Tr P&amp;L proj'!M37</f>
        <v>1430367.9554864005</v>
      </c>
      <c r="N28" s="159">
        <f>'Tr P&amp;L proj'!N37</f>
        <v>1272101.0741735748</v>
      </c>
    </row>
    <row r="29" spans="1:14" ht="28.8">
      <c r="A29" s="238" t="s">
        <v>559</v>
      </c>
      <c r="B29" s="161">
        <f t="shared" ref="B29:N29" si="11">B30+B32+B31</f>
        <v>17832</v>
      </c>
      <c r="C29" s="161">
        <f t="shared" si="11"/>
        <v>254098</v>
      </c>
      <c r="D29" s="161">
        <f t="shared" si="11"/>
        <v>363075</v>
      </c>
      <c r="E29" s="161">
        <f t="shared" si="11"/>
        <v>263508.07532452897</v>
      </c>
      <c r="F29" s="161">
        <f t="shared" si="11"/>
        <v>278087.09252030076</v>
      </c>
      <c r="G29" s="161">
        <f t="shared" si="11"/>
        <v>320114.42325979553</v>
      </c>
      <c r="H29" s="161">
        <f t="shared" si="11"/>
        <v>351265.01053661131</v>
      </c>
      <c r="I29" s="161">
        <f t="shared" si="11"/>
        <v>385052.11982312793</v>
      </c>
      <c r="J29" s="161">
        <f t="shared" si="11"/>
        <v>406428.4302420498</v>
      </c>
      <c r="K29" s="161">
        <f t="shared" si="11"/>
        <v>428827.95873760094</v>
      </c>
      <c r="L29" s="161">
        <f t="shared" si="11"/>
        <v>452296.49328400142</v>
      </c>
      <c r="M29" s="161">
        <f t="shared" si="11"/>
        <v>476881.77357152256</v>
      </c>
      <c r="N29" s="161">
        <f t="shared" si="11"/>
        <v>502633.57153634238</v>
      </c>
    </row>
    <row r="30" spans="1:14">
      <c r="A30" s="240" t="s">
        <v>508</v>
      </c>
      <c r="B30" s="159">
        <f>'Tr BS 2012'!B29</f>
        <v>0</v>
      </c>
      <c r="C30" s="159">
        <f>'Tr BS 2012'!C29</f>
        <v>0</v>
      </c>
      <c r="D30" s="159">
        <f>'Tr BS 2012'!D29</f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</row>
    <row r="31" spans="1:14">
      <c r="A31" s="240" t="s">
        <v>523</v>
      </c>
      <c r="B31" s="159">
        <f>'Tr BS 2012'!B30</f>
        <v>0</v>
      </c>
      <c r="C31" s="159">
        <f>'Tr BS 2012'!C30</f>
        <v>0</v>
      </c>
      <c r="D31" s="159">
        <f>'Tr BS 2012'!D30</f>
        <v>0</v>
      </c>
      <c r="E31" s="159">
        <v>0</v>
      </c>
      <c r="F31" s="159">
        <v>0</v>
      </c>
      <c r="G31" s="159">
        <v>0</v>
      </c>
      <c r="H31" s="159">
        <v>0</v>
      </c>
      <c r="I31" s="159">
        <v>0</v>
      </c>
      <c r="J31" s="159">
        <v>0</v>
      </c>
      <c r="K31" s="159">
        <v>0</v>
      </c>
      <c r="L31" s="159">
        <v>0</v>
      </c>
      <c r="M31" s="159">
        <v>0</v>
      </c>
      <c r="N31" s="159">
        <v>0</v>
      </c>
    </row>
    <row r="32" spans="1:14">
      <c r="A32" s="240" t="s">
        <v>509</v>
      </c>
      <c r="B32" s="159">
        <f>'Tr BS 2012'!B31</f>
        <v>17832</v>
      </c>
      <c r="C32" s="159">
        <f>'Tr BS 2012'!C31</f>
        <v>254098</v>
      </c>
      <c r="D32" s="159">
        <f>'Tr BS 2012'!D31</f>
        <v>363075</v>
      </c>
      <c r="E32" s="159">
        <f>AVERAGE(B32:D32)*Предположения!F197</f>
        <v>263508.07532452897</v>
      </c>
      <c r="F32" s="159">
        <f>E32*Предположения!G197</f>
        <v>278087.09252030076</v>
      </c>
      <c r="G32" s="159">
        <f>F32*Предположения!H197</f>
        <v>320114.42325979553</v>
      </c>
      <c r="H32" s="159">
        <f>G32*Предположения!I197</f>
        <v>351265.01053661131</v>
      </c>
      <c r="I32" s="159">
        <f>H32*Предположения!J197</f>
        <v>385052.11982312793</v>
      </c>
      <c r="J32" s="159">
        <f>I32*Предположения!K197</f>
        <v>406428.4302420498</v>
      </c>
      <c r="K32" s="159">
        <f>J32*Предположения!L197</f>
        <v>428827.95873760094</v>
      </c>
      <c r="L32" s="159">
        <f>K32*Предположения!M197</f>
        <v>452296.49328400142</v>
      </c>
      <c r="M32" s="159">
        <f>L32*Предположения!N197</f>
        <v>476881.77357152256</v>
      </c>
      <c r="N32" s="159">
        <f>M32*Предположения!O197</f>
        <v>502633.57153634238</v>
      </c>
    </row>
    <row r="33" spans="1:14" ht="28.8">
      <c r="A33" s="238" t="s">
        <v>560</v>
      </c>
      <c r="B33" s="161">
        <f t="shared" ref="B33:D33" si="12">SUM(B34:B38)</f>
        <v>2675580</v>
      </c>
      <c r="C33" s="161">
        <f t="shared" si="12"/>
        <v>8540796</v>
      </c>
      <c r="D33" s="161">
        <f t="shared" si="12"/>
        <v>3158468</v>
      </c>
      <c r="E33" s="161">
        <f>SUM(E34:E39)</f>
        <v>5192690.7025901731</v>
      </c>
      <c r="F33" s="161">
        <f t="shared" ref="F33:N33" si="13">SUM(F34:F39)</f>
        <v>5489269.6802400053</v>
      </c>
      <c r="G33" s="161">
        <f t="shared" si="13"/>
        <v>6329920.9991219686</v>
      </c>
      <c r="H33" s="161">
        <f t="shared" si="13"/>
        <v>6957242.9720423892</v>
      </c>
      <c r="I33" s="161">
        <f t="shared" si="13"/>
        <v>7638493.0915015517</v>
      </c>
      <c r="J33" s="161">
        <f t="shared" si="13"/>
        <v>8074574.2102867914</v>
      </c>
      <c r="K33" s="161">
        <f t="shared" si="13"/>
        <v>8531899.8486060929</v>
      </c>
      <c r="L33" s="161">
        <f t="shared" si="13"/>
        <v>9011421.5005122256</v>
      </c>
      <c r="M33" s="161">
        <f t="shared" si="13"/>
        <v>9514131.3762643561</v>
      </c>
      <c r="N33" s="161">
        <f t="shared" si="13"/>
        <v>10041064.114399521</v>
      </c>
    </row>
    <row r="34" spans="1:14">
      <c r="A34" s="240" t="s">
        <v>508</v>
      </c>
      <c r="B34" s="159">
        <f>'Tr BS 2012'!B33</f>
        <v>0</v>
      </c>
      <c r="C34" s="159">
        <f>'Tr BS 2012'!C33</f>
        <v>0</v>
      </c>
      <c r="D34" s="159">
        <f>'Tr BS 2012'!D33</f>
        <v>0</v>
      </c>
      <c r="E34" s="160">
        <f>'Tr Fin'!E26</f>
        <v>0</v>
      </c>
      <c r="F34" s="160">
        <f>'Tr Fin'!F26</f>
        <v>0</v>
      </c>
      <c r="G34" s="160">
        <f>'Tr Fin'!G26</f>
        <v>0</v>
      </c>
      <c r="H34" s="160">
        <f>'Tr Fin'!H26</f>
        <v>0</v>
      </c>
      <c r="I34" s="160">
        <f>'Tr Fin'!I26</f>
        <v>0</v>
      </c>
      <c r="J34" s="160">
        <f>'Tr Fin'!J26</f>
        <v>0</v>
      </c>
      <c r="K34" s="160">
        <f>'Tr Fin'!K26</f>
        <v>0</v>
      </c>
      <c r="L34" s="160">
        <f>'Tr Fin'!L26</f>
        <v>0</v>
      </c>
      <c r="M34" s="160">
        <f>'Tr Fin'!M26</f>
        <v>0</v>
      </c>
      <c r="N34" s="160">
        <f>'Tr Fin'!N26</f>
        <v>0</v>
      </c>
    </row>
    <row r="35" spans="1:14">
      <c r="A35" s="240" t="s">
        <v>537</v>
      </c>
      <c r="B35" s="159">
        <f>'Tr BS 2012'!B34</f>
        <v>0</v>
      </c>
      <c r="C35" s="159">
        <f>'Tr BS 2012'!C34</f>
        <v>0</v>
      </c>
      <c r="D35" s="159">
        <f>'Tr BS 2012'!D34</f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</row>
    <row r="36" spans="1:14">
      <c r="A36" s="240" t="s">
        <v>510</v>
      </c>
      <c r="B36" s="159">
        <f>'Tr BS 2012'!B35</f>
        <v>2578381</v>
      </c>
      <c r="C36" s="159">
        <f>'Tr BS 2012'!C35</f>
        <v>8440716</v>
      </c>
      <c r="D36" s="159">
        <f>'Tr BS 2012'!D35</f>
        <v>3138962</v>
      </c>
      <c r="E36" s="160">
        <f>Предположения!F196</f>
        <v>5102731.4139086222</v>
      </c>
      <c r="F36" s="160">
        <f>Предположения!G196</f>
        <v>5394333.2461142689</v>
      </c>
      <c r="G36" s="160">
        <f>Предположения!H196</f>
        <v>6220636.811995293</v>
      </c>
      <c r="H36" s="160">
        <f>Предположения!I196</f>
        <v>6837324.2543800408</v>
      </c>
      <c r="I36" s="160">
        <f>Предположения!J196</f>
        <v>7507039.7583847148</v>
      </c>
      <c r="J36" s="160">
        <f>Предположения!K196</f>
        <v>7935823.196908908</v>
      </c>
      <c r="K36" s="160">
        <f>Предположения!L196</f>
        <v>8385501.8375118002</v>
      </c>
      <c r="L36" s="160">
        <f>Предположения!M196</f>
        <v>8857011.542643277</v>
      </c>
      <c r="M36" s="160">
        <f>Предположения!N196</f>
        <v>9351328.2246612944</v>
      </c>
      <c r="N36" s="160">
        <f>Предположения!O196</f>
        <v>9869469.5304111969</v>
      </c>
    </row>
    <row r="37" spans="1:14">
      <c r="A37" s="240" t="s">
        <v>511</v>
      </c>
      <c r="B37" s="159">
        <f>'Tr BS 2012'!B36</f>
        <v>0</v>
      </c>
      <c r="C37" s="159">
        <f>'Tr BS 2012'!C36</f>
        <v>0</v>
      </c>
      <c r="D37" s="159">
        <f>'Tr BS 2012'!D36</f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</row>
    <row r="38" spans="1:14" ht="15" thickBot="1">
      <c r="A38" s="241" t="s">
        <v>512</v>
      </c>
      <c r="B38" s="159">
        <f>'Tr BS 2012'!B37</f>
        <v>97199</v>
      </c>
      <c r="C38" s="159">
        <f>'Tr BS 2012'!C37</f>
        <v>100080</v>
      </c>
      <c r="D38" s="159">
        <f>'Tr BS 2012'!D37</f>
        <v>19506</v>
      </c>
      <c r="E38" s="163">
        <f>AVERAGE(B38:D38)*Предположения!F197</f>
        <v>89959.288681550563</v>
      </c>
      <c r="F38" s="163">
        <f>E38*Предположения!G197</f>
        <v>94936.434125736661</v>
      </c>
      <c r="G38" s="163">
        <f>F38*Предположения!H197</f>
        <v>109284.18712667582</v>
      </c>
      <c r="H38" s="163">
        <f>G38*Предположения!I197</f>
        <v>119918.717662348</v>
      </c>
      <c r="I38" s="163">
        <f>H38*Предположения!J197</f>
        <v>131453.33311683655</v>
      </c>
      <c r="J38" s="163">
        <f>I38*Предположения!K197</f>
        <v>138751.01337788327</v>
      </c>
      <c r="K38" s="163">
        <f>J38*Предположения!L197</f>
        <v>146398.01109429187</v>
      </c>
      <c r="L38" s="163">
        <f>K38*Предположения!M197</f>
        <v>154409.95786894945</v>
      </c>
      <c r="M38" s="163">
        <f>L38*Предположения!N197</f>
        <v>162803.1516030622</v>
      </c>
      <c r="N38" s="163">
        <f>M38*Предположения!O197</f>
        <v>171594.58398832445</v>
      </c>
    </row>
    <row r="39" spans="1:14" ht="15" thickBot="1">
      <c r="A39" s="236" t="s">
        <v>669</v>
      </c>
      <c r="B39" s="159"/>
      <c r="C39" s="159"/>
      <c r="D39" s="159"/>
      <c r="E39" s="163">
        <f>IF(E42&lt;0,-E42,0)</f>
        <v>0</v>
      </c>
      <c r="F39" s="163">
        <f t="shared" ref="F39:N39" si="14">IF(F42&lt;0,-F42,0)</f>
        <v>0</v>
      </c>
      <c r="G39" s="163">
        <f t="shared" si="14"/>
        <v>0</v>
      </c>
      <c r="H39" s="163">
        <f t="shared" si="14"/>
        <v>0</v>
      </c>
      <c r="I39" s="163">
        <f t="shared" si="14"/>
        <v>0</v>
      </c>
      <c r="J39" s="163">
        <f t="shared" si="14"/>
        <v>0</v>
      </c>
      <c r="K39" s="163">
        <f t="shared" si="14"/>
        <v>0</v>
      </c>
      <c r="L39" s="163">
        <f t="shared" si="14"/>
        <v>0</v>
      </c>
      <c r="M39" s="163">
        <f t="shared" si="14"/>
        <v>0</v>
      </c>
      <c r="N39" s="163">
        <f t="shared" si="14"/>
        <v>0</v>
      </c>
    </row>
    <row r="40" spans="1:14" ht="36.6" thickBot="1">
      <c r="A40" s="267" t="s">
        <v>513</v>
      </c>
      <c r="B40" s="165">
        <f t="shared" ref="B40:N40" si="15">B33+B29+B23</f>
        <v>14826387.622724142</v>
      </c>
      <c r="C40" s="165">
        <f t="shared" si="15"/>
        <v>23162517.224599142</v>
      </c>
      <c r="D40" s="165">
        <f t="shared" si="15"/>
        <v>18570489.942898363</v>
      </c>
      <c r="E40" s="165">
        <f t="shared" si="15"/>
        <v>22286836.609612837</v>
      </c>
      <c r="F40" s="165">
        <f t="shared" si="15"/>
        <v>24324036.423882786</v>
      </c>
      <c r="G40" s="165">
        <f t="shared" si="15"/>
        <v>27087419.39444422</v>
      </c>
      <c r="H40" s="165">
        <f t="shared" si="15"/>
        <v>29652304.480006844</v>
      </c>
      <c r="I40" s="165">
        <f t="shared" si="15"/>
        <v>32286142.896576397</v>
      </c>
      <c r="J40" s="165">
        <f t="shared" si="15"/>
        <v>34560474.129693501</v>
      </c>
      <c r="K40" s="165">
        <f t="shared" si="15"/>
        <v>36742170.652313724</v>
      </c>
      <c r="L40" s="165">
        <f t="shared" si="15"/>
        <v>38818548.821636461</v>
      </c>
      <c r="M40" s="165">
        <f t="shared" si="15"/>
        <v>40776211.933162518</v>
      </c>
      <c r="N40" s="165">
        <f t="shared" si="15"/>
        <v>42600997.543436073</v>
      </c>
    </row>
    <row r="41" spans="1:14" s="168" customFormat="1">
      <c r="A41" s="166"/>
      <c r="B41" s="167">
        <f t="shared" ref="B41" si="16">B40-B21</f>
        <v>0</v>
      </c>
      <c r="C41" s="167">
        <f t="shared" ref="C41" si="17">C40-C21</f>
        <v>0</v>
      </c>
      <c r="D41" s="167">
        <f t="shared" ref="D41:N41" si="18">D40-D21</f>
        <v>0</v>
      </c>
      <c r="E41" s="167">
        <f t="shared" si="18"/>
        <v>0</v>
      </c>
      <c r="F41" s="167">
        <f t="shared" si="18"/>
        <v>0</v>
      </c>
      <c r="G41" s="167">
        <f t="shared" si="18"/>
        <v>0</v>
      </c>
      <c r="H41" s="167">
        <f t="shared" si="18"/>
        <v>0</v>
      </c>
      <c r="I41" s="167">
        <f t="shared" si="18"/>
        <v>0</v>
      </c>
      <c r="J41" s="167">
        <f t="shared" si="18"/>
        <v>0</v>
      </c>
      <c r="K41" s="167">
        <f t="shared" si="18"/>
        <v>0</v>
      </c>
      <c r="L41" s="167">
        <f t="shared" si="18"/>
        <v>0</v>
      </c>
      <c r="M41" s="167">
        <f t="shared" si="18"/>
        <v>0</v>
      </c>
      <c r="N41" s="167">
        <f t="shared" si="18"/>
        <v>0</v>
      </c>
    </row>
    <row r="42" spans="1:14" hidden="1">
      <c r="D42" s="167"/>
      <c r="E42" s="167">
        <v>4303949.0446502194</v>
      </c>
      <c r="F42" s="167">
        <v>5344594.0922726765</v>
      </c>
      <c r="G42" s="167">
        <v>5240020.3114758544</v>
      </c>
      <c r="H42" s="167">
        <v>5677857.5901719108</v>
      </c>
      <c r="I42" s="167">
        <v>6004359.7836357616</v>
      </c>
      <c r="J42" s="167">
        <v>2510295.4346473515</v>
      </c>
      <c r="K42" s="167">
        <v>2922084.9288827926</v>
      </c>
      <c r="L42" s="167">
        <v>3143441.5392534211</v>
      </c>
      <c r="M42" s="167">
        <v>3157047.8272473365</v>
      </c>
      <c r="N42" s="167">
        <v>2944630.445751518</v>
      </c>
    </row>
    <row r="43" spans="1:14" ht="15" thickBot="1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</row>
    <row r="44" spans="1:14" ht="18">
      <c r="A44" s="169" t="s">
        <v>595</v>
      </c>
      <c r="B44" s="170">
        <v>2011</v>
      </c>
      <c r="C44" s="170">
        <v>2011</v>
      </c>
      <c r="D44" s="170">
        <v>2012</v>
      </c>
      <c r="E44" s="170">
        <v>2013</v>
      </c>
      <c r="F44" s="170">
        <v>2014</v>
      </c>
      <c r="G44" s="170">
        <v>2015</v>
      </c>
      <c r="H44" s="170">
        <v>2016</v>
      </c>
      <c r="I44" s="170">
        <v>2017</v>
      </c>
      <c r="J44" s="170">
        <v>2018</v>
      </c>
      <c r="K44" s="170">
        <v>2019</v>
      </c>
      <c r="L44" s="170">
        <v>2020</v>
      </c>
      <c r="M44" s="170">
        <v>2021</v>
      </c>
      <c r="N44" s="170">
        <v>2022</v>
      </c>
    </row>
    <row r="45" spans="1:14">
      <c r="A45" s="171" t="s">
        <v>514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1:14">
      <c r="A46" s="173" t="s">
        <v>538</v>
      </c>
      <c r="B46" s="172">
        <f>B17</f>
        <v>11637712</v>
      </c>
      <c r="C46" s="172">
        <f>C17</f>
        <v>16530840.909090908</v>
      </c>
      <c r="D46" s="172">
        <f>D17</f>
        <v>10579738.181818182</v>
      </c>
      <c r="E46" s="172">
        <f>E17</f>
        <v>13960141.018709615</v>
      </c>
      <c r="F46" s="172">
        <f>Предположения!G200</f>
        <v>14732508.756269503</v>
      </c>
      <c r="G46" s="172">
        <f>Предположения!H200</f>
        <v>16959034.311665572</v>
      </c>
      <c r="H46" s="172">
        <f>Предположения!I200</f>
        <v>18609331.330701523</v>
      </c>
      <c r="I46" s="172">
        <f>Предположения!J200</f>
        <v>20399306.114864878</v>
      </c>
      <c r="J46" s="172">
        <f>Предположения!K200</f>
        <v>21531781.116021257</v>
      </c>
      <c r="K46" s="172">
        <f>Предположения!L200</f>
        <v>22718464.204064708</v>
      </c>
      <c r="L46" s="172">
        <f>Предположения!M200</f>
        <v>23961781.136066575</v>
      </c>
      <c r="M46" s="172">
        <f>Предположения!N200</f>
        <v>25264261.067186728</v>
      </c>
      <c r="N46" s="172">
        <f>Предположения!O200</f>
        <v>26628540.816987399</v>
      </c>
    </row>
    <row r="47" spans="1:14">
      <c r="A47" s="174" t="s">
        <v>596</v>
      </c>
      <c r="B47" s="172">
        <f>B16</f>
        <v>2804603</v>
      </c>
      <c r="C47" s="172">
        <f>C16</f>
        <v>3983811.0795454546</v>
      </c>
      <c r="D47" s="172">
        <f>D16</f>
        <v>2549639.0909090908</v>
      </c>
      <c r="E47" s="172">
        <f>E16</f>
        <v>3364291.3127164557</v>
      </c>
      <c r="F47" s="172">
        <f>Предположения!G194</f>
        <v>3550426.2569274548</v>
      </c>
      <c r="G47" s="172">
        <f>Предположения!H194</f>
        <v>4087002.5403275327</v>
      </c>
      <c r="H47" s="172">
        <f>Предположения!I194</f>
        <v>4484711.9844587566</v>
      </c>
      <c r="I47" s="172">
        <f>Предположения!J194</f>
        <v>4916082.742696193</v>
      </c>
      <c r="J47" s="172">
        <f>Предположения!K194</f>
        <v>5189000.8889493551</v>
      </c>
      <c r="K47" s="172">
        <f>Предположения!L194</f>
        <v>5474982.7854575291</v>
      </c>
      <c r="L47" s="172">
        <f>Предположения!M194</f>
        <v>5774613.0218341658</v>
      </c>
      <c r="M47" s="172">
        <f>Предположения!N194</f>
        <v>6088501.1058715936</v>
      </c>
      <c r="N47" s="172">
        <f>Предположения!O194</f>
        <v>6417282.4916912643</v>
      </c>
    </row>
    <row r="48" spans="1:14">
      <c r="A48" s="174" t="s">
        <v>662</v>
      </c>
      <c r="B48" s="172">
        <f>B36</f>
        <v>2578381</v>
      </c>
      <c r="C48" s="172">
        <f>C36</f>
        <v>8440716</v>
      </c>
      <c r="D48" s="172">
        <f>D36</f>
        <v>3138962</v>
      </c>
      <c r="E48" s="172">
        <f>E36</f>
        <v>5102731.4139086222</v>
      </c>
      <c r="F48" s="172">
        <f>Предположения!G196</f>
        <v>5394333.2461142689</v>
      </c>
      <c r="G48" s="172">
        <f>Предположения!H196</f>
        <v>6220636.811995293</v>
      </c>
      <c r="H48" s="172">
        <f>Предположения!I196</f>
        <v>6837324.2543800408</v>
      </c>
      <c r="I48" s="172">
        <f>Предположения!J196</f>
        <v>7507039.7583847148</v>
      </c>
      <c r="J48" s="172">
        <f>Предположения!K196</f>
        <v>7935823.196908908</v>
      </c>
      <c r="K48" s="172">
        <f>Предположения!L196</f>
        <v>8385501.8375118002</v>
      </c>
      <c r="L48" s="172">
        <f>Предположения!M196</f>
        <v>8857011.542643277</v>
      </c>
      <c r="M48" s="172">
        <f>Предположения!N196</f>
        <v>9351328.2246612944</v>
      </c>
      <c r="N48" s="172">
        <f>Предположения!O196</f>
        <v>9869469.5304111969</v>
      </c>
    </row>
    <row r="49" spans="1:14">
      <c r="A49" s="171" t="s">
        <v>516</v>
      </c>
      <c r="B49" s="175">
        <f>B46+B47-B48</f>
        <v>11863934</v>
      </c>
      <c r="C49" s="175">
        <f t="shared" ref="C49:N49" si="19">C46+C47-C48</f>
        <v>12073935.988636363</v>
      </c>
      <c r="D49" s="175">
        <f t="shared" si="19"/>
        <v>9990415.2727272734</v>
      </c>
      <c r="E49" s="175">
        <f t="shared" si="19"/>
        <v>12221700.917517446</v>
      </c>
      <c r="F49" s="175">
        <f t="shared" si="19"/>
        <v>12888601.767082691</v>
      </c>
      <c r="G49" s="175">
        <f t="shared" si="19"/>
        <v>14825400.039997812</v>
      </c>
      <c r="H49" s="175">
        <f t="shared" si="19"/>
        <v>16256719.060780238</v>
      </c>
      <c r="I49" s="175">
        <f t="shared" si="19"/>
        <v>17808349.099176355</v>
      </c>
      <c r="J49" s="175">
        <f t="shared" si="19"/>
        <v>18784958.808061704</v>
      </c>
      <c r="K49" s="175">
        <f t="shared" si="19"/>
        <v>19807945.152010437</v>
      </c>
      <c r="L49" s="175">
        <f t="shared" si="19"/>
        <v>20879382.615257464</v>
      </c>
      <c r="M49" s="175">
        <f t="shared" si="19"/>
        <v>22001433.948397029</v>
      </c>
      <c r="N49" s="175">
        <f t="shared" si="19"/>
        <v>23176353.778267466</v>
      </c>
    </row>
    <row r="50" spans="1:14" s="186" customFormat="1" ht="15" thickBot="1">
      <c r="A50" s="244" t="s">
        <v>517</v>
      </c>
      <c r="B50" s="245">
        <v>0</v>
      </c>
      <c r="C50" s="245">
        <f>C49-B49</f>
        <v>210001.9886363633</v>
      </c>
      <c r="D50" s="245">
        <f>D49-C49</f>
        <v>-2083520.7159090899</v>
      </c>
      <c r="E50" s="245">
        <f t="shared" ref="E50:N50" si="20">E49-D49</f>
        <v>2231285.6447901726</v>
      </c>
      <c r="F50" s="245">
        <f t="shared" si="20"/>
        <v>666900.84956524521</v>
      </c>
      <c r="G50" s="245">
        <f t="shared" si="20"/>
        <v>1936798.2729151212</v>
      </c>
      <c r="H50" s="245">
        <f t="shared" si="20"/>
        <v>1431319.020782426</v>
      </c>
      <c r="I50" s="245">
        <f t="shared" si="20"/>
        <v>1551630.0383961163</v>
      </c>
      <c r="J50" s="245">
        <f t="shared" si="20"/>
        <v>976609.70888534933</v>
      </c>
      <c r="K50" s="245">
        <f t="shared" si="20"/>
        <v>1022986.3439487331</v>
      </c>
      <c r="L50" s="245">
        <f t="shared" si="20"/>
        <v>1071437.4632470272</v>
      </c>
      <c r="M50" s="245">
        <f t="shared" si="20"/>
        <v>1122051.3331395648</v>
      </c>
      <c r="N50" s="245">
        <f t="shared" si="20"/>
        <v>1174919.8298704363</v>
      </c>
    </row>
    <row r="51" spans="1:14" ht="29.4" hidden="1" thickBot="1">
      <c r="A51" s="176" t="s">
        <v>518</v>
      </c>
      <c r="B51" s="177">
        <v>0</v>
      </c>
      <c r="C51" s="177">
        <v>-9093182.2937601134</v>
      </c>
      <c r="D51" s="177">
        <v>10791680.635859001</v>
      </c>
      <c r="E51" s="177">
        <v>-990209.96198125556</v>
      </c>
      <c r="F51" s="177">
        <v>-705902.78793294728</v>
      </c>
      <c r="G51" s="177">
        <v>-738493.28457412124</v>
      </c>
      <c r="H51" s="177">
        <v>-1351807.5009119548</v>
      </c>
      <c r="I51" s="177">
        <v>-2278644.4639291689</v>
      </c>
      <c r="J51" s="177">
        <v>-1091373.706931591</v>
      </c>
      <c r="K51" s="178">
        <v>-1191945.0425033122</v>
      </c>
    </row>
    <row r="52" spans="1:14">
      <c r="D52" s="3"/>
      <c r="E52" s="3"/>
      <c r="F52" s="3"/>
      <c r="G52" s="3"/>
      <c r="H52" s="3"/>
      <c r="I52" s="3"/>
      <c r="J52" s="3"/>
      <c r="K52" s="3"/>
    </row>
    <row r="53" spans="1:14">
      <c r="D53" s="3"/>
      <c r="E53" s="3"/>
      <c r="F53" s="3"/>
      <c r="G53" s="3"/>
      <c r="H53" s="3"/>
      <c r="I53" s="3"/>
      <c r="J53" s="3"/>
      <c r="K53" s="3"/>
    </row>
  </sheetData>
  <mergeCells count="14">
    <mergeCell ref="F6:F7"/>
    <mergeCell ref="A6:A7"/>
    <mergeCell ref="B6:B7"/>
    <mergeCell ref="C6:C7"/>
    <mergeCell ref="D6:D7"/>
    <mergeCell ref="E6:E7"/>
    <mergeCell ref="M6:M7"/>
    <mergeCell ref="N6:N7"/>
    <mergeCell ref="G6:G7"/>
    <mergeCell ref="H6:H7"/>
    <mergeCell ref="I6:I7"/>
    <mergeCell ref="J6:J7"/>
    <mergeCell ref="K6:K7"/>
    <mergeCell ref="L6:L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N4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defaultRowHeight="14.4"/>
  <cols>
    <col min="1" max="1" width="53.33203125" customWidth="1"/>
    <col min="2" max="3" width="12.77734375" style="3" customWidth="1"/>
    <col min="4" max="14" width="12.77734375" customWidth="1"/>
  </cols>
  <sheetData>
    <row r="1" spans="1:14">
      <c r="A1" s="303" t="s">
        <v>740</v>
      </c>
    </row>
    <row r="2" spans="1:14" ht="21">
      <c r="A2" s="92" t="s">
        <v>542</v>
      </c>
    </row>
    <row r="3" spans="1:14" ht="21">
      <c r="A3" s="92" t="s">
        <v>549</v>
      </c>
    </row>
    <row r="4" spans="1:14">
      <c r="A4" s="179" t="s">
        <v>119</v>
      </c>
    </row>
    <row r="5" spans="1:14" ht="1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4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4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4" ht="1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4" ht="28.8">
      <c r="A9" s="236" t="s">
        <v>556</v>
      </c>
      <c r="B9" s="158">
        <f t="shared" ref="B9:N9" si="0">SUM(B10:B11)</f>
        <v>104313167.84740248</v>
      </c>
      <c r="C9" s="158">
        <f t="shared" si="0"/>
        <v>152315636.80984259</v>
      </c>
      <c r="D9" s="158">
        <f t="shared" si="0"/>
        <v>147593484.54855472</v>
      </c>
      <c r="E9" s="158">
        <f t="shared" si="0"/>
        <v>145473597.59497416</v>
      </c>
      <c r="F9" s="158">
        <f t="shared" si="0"/>
        <v>135455311.54742348</v>
      </c>
      <c r="G9" s="158">
        <f t="shared" si="0"/>
        <v>176043399.37026393</v>
      </c>
      <c r="H9" s="158">
        <f t="shared" si="0"/>
        <v>183366783.17843282</v>
      </c>
      <c r="I9" s="158">
        <f t="shared" si="0"/>
        <v>205262488.8910822</v>
      </c>
      <c r="J9" s="158">
        <f t="shared" si="0"/>
        <v>201238641.37081981</v>
      </c>
      <c r="K9" s="158">
        <f t="shared" si="0"/>
        <v>196854111.44178501</v>
      </c>
      <c r="L9" s="158">
        <f t="shared" si="0"/>
        <v>186170376.22500342</v>
      </c>
      <c r="M9" s="158">
        <f t="shared" si="0"/>
        <v>184254134.66458508</v>
      </c>
      <c r="N9" s="158">
        <f t="shared" si="0"/>
        <v>179175578.86342376</v>
      </c>
    </row>
    <row r="10" spans="1:14">
      <c r="A10" s="231" t="s">
        <v>496</v>
      </c>
      <c r="B10" s="159">
        <f>'Cons BS 2012'!B10</f>
        <v>60749303.369609617</v>
      </c>
      <c r="C10" s="159">
        <f>'Cons BS 2012'!C10</f>
        <v>85219104.09352015</v>
      </c>
      <c r="D10" s="159">
        <f>'Cons BS 2012'!D10</f>
        <v>84794383.702860162</v>
      </c>
      <c r="E10" s="160">
        <f>'Pr BS proj'!E10+'Tr BS proj'!E10</f>
        <v>85816796.791595906</v>
      </c>
      <c r="F10" s="160">
        <f>'Pr BS proj'!F10+'Tr BS proj'!F10</f>
        <v>79442595.259138331</v>
      </c>
      <c r="G10" s="160">
        <f>'Pr BS proj'!G10+'Tr BS proj'!G10</f>
        <v>103370237.01917903</v>
      </c>
      <c r="H10" s="160">
        <f>'Pr BS proj'!H10+'Tr BS proj'!H10</f>
        <v>104368737.41884504</v>
      </c>
      <c r="I10" s="160">
        <f>'Pr BS proj'!I10+'Tr BS proj'!I10</f>
        <v>120179804.00826403</v>
      </c>
      <c r="J10" s="160">
        <f>'Pr BS proj'!J10+'Tr BS proj'!J10</f>
        <v>121086415.47241254</v>
      </c>
      <c r="K10" s="160">
        <f>'Pr BS proj'!K10+'Tr BS proj'!K10</f>
        <v>122045367.26993822</v>
      </c>
      <c r="L10" s="160">
        <f>'Pr BS proj'!L10+'Tr BS proj'!L10</f>
        <v>117042323.79158744</v>
      </c>
      <c r="M10" s="160">
        <f>'Pr BS proj'!M10+'Tr BS proj'!M10</f>
        <v>121063144.24001367</v>
      </c>
      <c r="N10" s="160">
        <f>'Pr BS proj'!N10+'Tr BS proj'!N10</f>
        <v>122094073.35449657</v>
      </c>
    </row>
    <row r="11" spans="1:14">
      <c r="A11" s="237" t="s">
        <v>519</v>
      </c>
      <c r="B11" s="159">
        <f>'Cons BS 2012'!B11</f>
        <v>43563864.477792859</v>
      </c>
      <c r="C11" s="159">
        <f>'Cons BS 2012'!C11</f>
        <v>67096532.716322437</v>
      </c>
      <c r="D11" s="159">
        <f>'Cons BS 2012'!D11</f>
        <v>62799100.845694557</v>
      </c>
      <c r="E11" s="160">
        <f>'Pr BS proj'!E11+'Tr BS proj'!E11</f>
        <v>59656800.803378247</v>
      </c>
      <c r="F11" s="160">
        <f>'Pr BS proj'!F11+'Tr BS proj'!F11</f>
        <v>56012716.288285159</v>
      </c>
      <c r="G11" s="160">
        <f>'Pr BS proj'!G11+'Tr BS proj'!G11</f>
        <v>72673162.351084888</v>
      </c>
      <c r="H11" s="160">
        <f>'Pr BS proj'!H11+'Tr BS proj'!H11</f>
        <v>78998045.75958778</v>
      </c>
      <c r="I11" s="160">
        <f>'Pr BS proj'!I11+'Tr BS proj'!I11</f>
        <v>85082684.882818162</v>
      </c>
      <c r="J11" s="160">
        <f>'Pr BS proj'!J11+'Tr BS proj'!J11</f>
        <v>80152225.89840728</v>
      </c>
      <c r="K11" s="160">
        <f>'Pr BS proj'!K11+'Tr BS proj'!K11</f>
        <v>74808744.171846792</v>
      </c>
      <c r="L11" s="160">
        <f>'Pr BS proj'!L11+'Tr BS proj'!L11</f>
        <v>69128052.433415979</v>
      </c>
      <c r="M11" s="160">
        <f>'Pr BS proj'!M11+'Tr BS proj'!M11</f>
        <v>63190990.424571417</v>
      </c>
      <c r="N11" s="160">
        <f>'Pr BS proj'!N11+'Tr BS proj'!N11</f>
        <v>57081505.508927181</v>
      </c>
    </row>
    <row r="12" spans="1:14" ht="28.8">
      <c r="A12" s="238" t="s">
        <v>557</v>
      </c>
      <c r="B12" s="161">
        <f>SUM(B13:B19)</f>
        <v>73238733.642676249</v>
      </c>
      <c r="C12" s="161">
        <f t="shared" ref="C12:D12" si="1">SUM(C13:C19)</f>
        <v>90281196.307962373</v>
      </c>
      <c r="D12" s="161">
        <f t="shared" si="1"/>
        <v>106847233.12200546</v>
      </c>
      <c r="E12" s="161">
        <f>SUM(E13:E20)</f>
        <v>106130465.43306312</v>
      </c>
      <c r="F12" s="161">
        <f t="shared" ref="F12:N12" si="2">SUM(F13:F20)</f>
        <v>110670005.5606069</v>
      </c>
      <c r="G12" s="161">
        <f t="shared" si="2"/>
        <v>111102969.98286709</v>
      </c>
      <c r="H12" s="161">
        <f t="shared" si="2"/>
        <v>126974133.03818169</v>
      </c>
      <c r="I12" s="161">
        <f t="shared" si="2"/>
        <v>150091721.3740572</v>
      </c>
      <c r="J12" s="161">
        <f t="shared" si="2"/>
        <v>184488637.87724978</v>
      </c>
      <c r="K12" s="161">
        <f t="shared" si="2"/>
        <v>221482886.33747113</v>
      </c>
      <c r="L12" s="161">
        <f t="shared" si="2"/>
        <v>261605396.61578134</v>
      </c>
      <c r="M12" s="161">
        <f t="shared" si="2"/>
        <v>305832468.94606006</v>
      </c>
      <c r="N12" s="161">
        <f t="shared" si="2"/>
        <v>353816846.55092871</v>
      </c>
    </row>
    <row r="13" spans="1:14">
      <c r="A13" s="231" t="s">
        <v>497</v>
      </c>
      <c r="B13" s="159">
        <f>'Cons BS 2012'!B13</f>
        <v>11020234</v>
      </c>
      <c r="C13" s="159">
        <f>'Cons BS 2012'!C13</f>
        <v>15470962</v>
      </c>
      <c r="D13" s="159">
        <f>'Cons BS 2012'!D13</f>
        <v>18912713</v>
      </c>
      <c r="E13" s="160">
        <f>'Pr BS proj'!E13+'Tr BS proj'!E13</f>
        <v>17239742.791083567</v>
      </c>
      <c r="F13" s="160">
        <f>'Pr BS proj'!F13+'Tr BS proj'!F13</f>
        <v>17749112.918630168</v>
      </c>
      <c r="G13" s="160">
        <f>'Pr BS proj'!G13+'Tr BS proj'!G13</f>
        <v>19210913.804805506</v>
      </c>
      <c r="H13" s="160">
        <f>'Pr BS proj'!H13+'Tr BS proj'!H13</f>
        <v>19964556.902193401</v>
      </c>
      <c r="I13" s="160">
        <f>'Pr BS proj'!I13+'Tr BS proj'!I13</f>
        <v>21379530.189340692</v>
      </c>
      <c r="J13" s="160">
        <f>'Pr BS proj'!J13+'Tr BS proj'!J13</f>
        <v>22001782.846001308</v>
      </c>
      <c r="K13" s="160">
        <f>'Pr BS proj'!K13+'Tr BS proj'!K13</f>
        <v>22611433.114184022</v>
      </c>
      <c r="L13" s="160">
        <f>'Pr BS proj'!L13+'Tr BS proj'!L13</f>
        <v>22785036.694398604</v>
      </c>
      <c r="M13" s="160">
        <f>'Pr BS proj'!M13+'Tr BS proj'!M13</f>
        <v>23277179.298027862</v>
      </c>
      <c r="N13" s="160">
        <f>'Pr BS proj'!N13+'Tr BS proj'!N13</f>
        <v>23713681.218501244</v>
      </c>
    </row>
    <row r="14" spans="1:14">
      <c r="A14" s="231" t="s">
        <v>539</v>
      </c>
      <c r="B14" s="159">
        <f>'Cons BS 2012'!B14</f>
        <v>0</v>
      </c>
      <c r="C14" s="159">
        <f>'Cons BS 2012'!C14</f>
        <v>0</v>
      </c>
      <c r="D14" s="159">
        <f>'Cons BS 2012'!D14</f>
        <v>0</v>
      </c>
      <c r="E14" s="160">
        <f>'Pr BS proj'!E14+'Tr BS proj'!E14</f>
        <v>0</v>
      </c>
      <c r="F14" s="160">
        <f>'Pr BS proj'!F14+'Tr BS proj'!F14</f>
        <v>0</v>
      </c>
      <c r="G14" s="160">
        <f>'Pr BS proj'!G14+'Tr BS proj'!G14</f>
        <v>0</v>
      </c>
      <c r="H14" s="160">
        <f>'Pr BS proj'!H14+'Tr BS proj'!H14</f>
        <v>0</v>
      </c>
      <c r="I14" s="160">
        <f>'Pr BS proj'!I14+'Tr BS proj'!I14</f>
        <v>0</v>
      </c>
      <c r="J14" s="160">
        <f>'Pr BS proj'!J14+'Tr BS proj'!J14</f>
        <v>0</v>
      </c>
      <c r="K14" s="160">
        <f>'Pr BS proj'!K14+'Tr BS proj'!K14</f>
        <v>0</v>
      </c>
      <c r="L14" s="160">
        <f>'Pr BS proj'!L14+'Tr BS proj'!L14</f>
        <v>0</v>
      </c>
      <c r="M14" s="160">
        <f>'Pr BS proj'!M14+'Tr BS proj'!M14</f>
        <v>0</v>
      </c>
      <c r="N14" s="160">
        <f>'Pr BS proj'!N14+'Tr BS proj'!N14</f>
        <v>0</v>
      </c>
    </row>
    <row r="15" spans="1:14">
      <c r="A15" s="231" t="s">
        <v>498</v>
      </c>
      <c r="B15" s="159">
        <f>'Cons BS 2012'!B15</f>
        <v>9687689</v>
      </c>
      <c r="C15" s="159">
        <f>'Cons BS 2012'!C15</f>
        <v>10356036</v>
      </c>
      <c r="D15" s="159">
        <f>'Cons BS 2012'!D15</f>
        <v>11783905</v>
      </c>
      <c r="E15" s="160">
        <f>'Pr BS proj'!E15+'Tr BS proj'!E15</f>
        <v>12084865.971557096</v>
      </c>
      <c r="F15" s="160">
        <f>'Pr BS proj'!F15+'Tr BS proj'!F15</f>
        <v>12441928.707115967</v>
      </c>
      <c r="G15" s="160">
        <f>'Pr BS proj'!G15+'Tr BS proj'!G15</f>
        <v>13466634.701898504</v>
      </c>
      <c r="H15" s="160">
        <f>'Pr BS proj'!H15+'Tr BS proj'!H15</f>
        <v>13994930.044392385</v>
      </c>
      <c r="I15" s="160">
        <f>'Pr BS proj'!I15+'Tr BS proj'!I15</f>
        <v>14986810.418463428</v>
      </c>
      <c r="J15" s="160">
        <f>'Pr BS proj'!J15+'Tr BS proj'!J15</f>
        <v>15423002.538457129</v>
      </c>
      <c r="K15" s="160">
        <f>'Pr BS proj'!K15+'Tr BS proj'!K15</f>
        <v>15850360.525742326</v>
      </c>
      <c r="L15" s="160">
        <f>'Pr BS proj'!L15+'Tr BS proj'!L15</f>
        <v>15972054.68466915</v>
      </c>
      <c r="M15" s="160">
        <f>'Pr BS proj'!M15+'Tr BS proj'!M15</f>
        <v>16317041.119549651</v>
      </c>
      <c r="N15" s="160">
        <f>'Pr BS proj'!N15+'Tr BS proj'!N15</f>
        <v>16623024.060778702</v>
      </c>
    </row>
    <row r="16" spans="1:14">
      <c r="A16" s="231" t="s">
        <v>499</v>
      </c>
      <c r="B16" s="159">
        <f>'Cons BS 2012'!B16</f>
        <v>16410944</v>
      </c>
      <c r="C16" s="159">
        <f>'Cons BS 2012'!C16</f>
        <v>18133683.079545453</v>
      </c>
      <c r="D16" s="159">
        <f>'Cons BS 2012'!D16</f>
        <v>21085933.09090909</v>
      </c>
      <c r="E16" s="160">
        <f>'Pr BS proj'!E16+'Tr BS proj'!E16</f>
        <v>19194310.082434516</v>
      </c>
      <c r="F16" s="160">
        <f>'Pr BS proj'!F16+'Tr BS proj'!F16</f>
        <v>19819504.949178264</v>
      </c>
      <c r="G16" s="160">
        <f>'Pr BS proj'!G16+'Tr BS proj'!G16</f>
        <v>24433198.982027307</v>
      </c>
      <c r="H16" s="160">
        <f>'Pr BS proj'!H16+'Tr BS proj'!H16</f>
        <v>27344711.01314142</v>
      </c>
      <c r="I16" s="160">
        <f>'Pr BS proj'!I16+'Tr BS proj'!I16</f>
        <v>30527257.202502843</v>
      </c>
      <c r="J16" s="160">
        <f>'Pr BS proj'!J16+'Tr BS proj'!J16</f>
        <v>31743637.107097134</v>
      </c>
      <c r="K16" s="160">
        <f>'Pr BS proj'!K16+'Tr BS proj'!K16</f>
        <v>33007984.749578293</v>
      </c>
      <c r="L16" s="160">
        <f>'Pr BS proj'!L16+'Tr BS proj'!L16</f>
        <v>34322181.672170475</v>
      </c>
      <c r="M16" s="160">
        <f>'Pr BS proj'!M16+'Tr BS proj'!M16</f>
        <v>35688182.741139852</v>
      </c>
      <c r="N16" s="160">
        <f>'Pr BS proj'!N16+'Tr BS proj'!N16</f>
        <v>37108018.989650898</v>
      </c>
    </row>
    <row r="17" spans="1:14">
      <c r="A17" s="231" t="s">
        <v>538</v>
      </c>
      <c r="B17" s="159">
        <f>'Cons BS 2012'!B17</f>
        <v>19503144</v>
      </c>
      <c r="C17" s="159">
        <f>'Cons BS 2012'!C17</f>
        <v>25873491.909090906</v>
      </c>
      <c r="D17" s="159">
        <f>'Cons BS 2012'!D17</f>
        <v>17096641.18181818</v>
      </c>
      <c r="E17" s="160">
        <f>'Pr BS proj'!E17+'Tr BS proj'!E17</f>
        <v>22968454.738175012</v>
      </c>
      <c r="F17" s="160">
        <f>'Pr BS proj'!F17+'Tr BS proj'!F17</f>
        <v>24006984.562018298</v>
      </c>
      <c r="G17" s="160">
        <f>'Pr BS proj'!G17+'Tr BS proj'!G17</f>
        <v>26997347.556153342</v>
      </c>
      <c r="H17" s="160">
        <f>'Pr BS proj'!H17+'Tr BS proj'!H17</f>
        <v>29041447.054498382</v>
      </c>
      <c r="I17" s="160">
        <f>'Pr BS proj'!I17+'Tr BS proj'!I17</f>
        <v>31570790.368097022</v>
      </c>
      <c r="J17" s="160">
        <f>'Pr BS proj'!J17+'Tr BS proj'!J17</f>
        <v>37334768.389129631</v>
      </c>
      <c r="K17" s="160">
        <f>'Pr BS proj'!K17+'Tr BS proj'!K17</f>
        <v>39077349.742800474</v>
      </c>
      <c r="L17" s="160">
        <f>'Pr BS proj'!L17+'Tr BS proj'!L17</f>
        <v>40660043.451323837</v>
      </c>
      <c r="M17" s="160">
        <f>'Pr BS proj'!M17+'Tr BS proj'!M17</f>
        <v>42480179.525981955</v>
      </c>
      <c r="N17" s="160">
        <f>'Pr BS proj'!N17+'Tr BS proj'!N17</f>
        <v>44345401.357097752</v>
      </c>
    </row>
    <row r="18" spans="1:14">
      <c r="A18" s="231" t="s">
        <v>500</v>
      </c>
      <c r="B18" s="159">
        <f>'Cons BS 2012'!B18</f>
        <v>2417962.0199521054</v>
      </c>
      <c r="C18" s="159">
        <f>'Cons BS 2012'!C18</f>
        <v>5143279.4592123777</v>
      </c>
      <c r="D18" s="159">
        <f>'Cons BS 2012'!D18</f>
        <v>20383017.156831201</v>
      </c>
      <c r="E18" s="160">
        <f>'Pr BS proj'!E18+'Tr BS proj'!E18</f>
        <v>16179818.901291348</v>
      </c>
      <c r="F18" s="160">
        <f>'Pr BS proj'!F18+'Tr BS proj'!F18</f>
        <v>16738251.900597593</v>
      </c>
      <c r="G18" s="160">
        <f>'Pr BS proj'!G18+'Tr BS proj'!G18</f>
        <v>3600899.9569422211</v>
      </c>
      <c r="H18" s="160">
        <f>'Pr BS proj'!H18+'Tr BS proj'!H18</f>
        <v>10574042.66860914</v>
      </c>
      <c r="I18" s="160">
        <f>'Pr BS proj'!I18+'Tr BS proj'!I18</f>
        <v>22814611.72117044</v>
      </c>
      <c r="J18" s="160">
        <f>'Pr BS proj'!J18+'Tr BS proj'!J18</f>
        <v>51809185.036245614</v>
      </c>
      <c r="K18" s="160">
        <f>'Pr BS proj'!K18+'Tr BS proj'!K18</f>
        <v>83457812.250907749</v>
      </c>
      <c r="L18" s="160">
        <f>'Pr BS proj'!L18+'Tr BS proj'!L18</f>
        <v>119243374.78853235</v>
      </c>
      <c r="M18" s="160">
        <f>'Pr BS proj'!M18+'Tr BS proj'!M18</f>
        <v>158475398.96428579</v>
      </c>
      <c r="N18" s="160">
        <f>'Pr BS proj'!N18+'Tr BS proj'!N18</f>
        <v>201650389.92321962</v>
      </c>
    </row>
    <row r="19" spans="1:14" ht="15" thickBot="1">
      <c r="A19" s="231" t="s">
        <v>501</v>
      </c>
      <c r="B19" s="159">
        <f>'Cons BS 2012'!B19</f>
        <v>14198760.622724142</v>
      </c>
      <c r="C19" s="159">
        <f>'Cons BS 2012'!C19</f>
        <v>15303743.860113632</v>
      </c>
      <c r="D19" s="159">
        <f>'Cons BS 2012'!D19</f>
        <v>17585023.692446969</v>
      </c>
      <c r="E19" s="160">
        <f>'Pr BS proj'!E19+'Tr BS proj'!E19</f>
        <v>14159323.903871365</v>
      </c>
      <c r="F19" s="160">
        <f>'Pr BS proj'!F19+'Tr BS proj'!F19</f>
        <v>14569628.430793941</v>
      </c>
      <c r="G19" s="160">
        <f>'Pr BS proj'!G19+'Tr BS proj'!G19</f>
        <v>18153954.669564363</v>
      </c>
      <c r="H19" s="160">
        <f>'Pr BS proj'!H19+'Tr BS proj'!H19</f>
        <v>20376587.765175033</v>
      </c>
      <c r="I19" s="160">
        <f>'Pr BS proj'!I19+'Tr BS proj'!I19</f>
        <v>22808361.690847009</v>
      </c>
      <c r="J19" s="160">
        <f>'Pr BS proj'!J19+'Tr BS proj'!J19</f>
        <v>23665966.525671609</v>
      </c>
      <c r="K19" s="160">
        <f>'Pr BS proj'!K19+'Tr BS proj'!K19</f>
        <v>24555861.025375471</v>
      </c>
      <c r="L19" s="160">
        <f>'Pr BS proj'!L19+'Tr BS proj'!L19</f>
        <v>25479263.785433508</v>
      </c>
      <c r="M19" s="160">
        <f>'Pr BS proj'!M19+'Tr BS proj'!M19</f>
        <v>26437439.469827577</v>
      </c>
      <c r="N19" s="160">
        <f>'Pr BS proj'!N19+'Tr BS proj'!N19</f>
        <v>27431700.555929016</v>
      </c>
    </row>
    <row r="20" spans="1:14" ht="15" thickBot="1">
      <c r="A20" s="236" t="s">
        <v>670</v>
      </c>
      <c r="B20" s="243"/>
      <c r="C20" s="243"/>
      <c r="D20" s="243"/>
      <c r="E20" s="268">
        <f>'Pr BS proj'!E20+'Tr BS proj'!E20</f>
        <v>4303949.0446502194</v>
      </c>
      <c r="F20" s="268">
        <f>'Pr BS proj'!F20+'Tr BS proj'!F20</f>
        <v>5344594.0922726765</v>
      </c>
      <c r="G20" s="268">
        <f>'Pr BS proj'!G20+'Tr BS proj'!G20</f>
        <v>5240020.3114758544</v>
      </c>
      <c r="H20" s="268">
        <f>'Pr BS proj'!H20+'Tr BS proj'!H20</f>
        <v>5677857.5901719108</v>
      </c>
      <c r="I20" s="268">
        <f>'Pr BS proj'!I20+'Tr BS proj'!I20</f>
        <v>6004359.7836357616</v>
      </c>
      <c r="J20" s="268">
        <f>'Pr BS proj'!J20+'Tr BS proj'!J20</f>
        <v>2510295.4346473515</v>
      </c>
      <c r="K20" s="268">
        <f>'Pr BS proj'!K20+'Tr BS proj'!K20</f>
        <v>2922084.9288827926</v>
      </c>
      <c r="L20" s="268">
        <f>'Pr BS proj'!L20+'Tr BS proj'!L20</f>
        <v>3143441.5392534211</v>
      </c>
      <c r="M20" s="268">
        <f>'Pr BS proj'!M20+'Tr BS proj'!M20</f>
        <v>3157047.8272473365</v>
      </c>
      <c r="N20" s="268">
        <f>'Pr BS proj'!N20+'Tr BS proj'!N20</f>
        <v>2944630.445751518</v>
      </c>
    </row>
    <row r="21" spans="1:14" ht="16.2" thickBot="1">
      <c r="A21" s="239" t="s">
        <v>502</v>
      </c>
      <c r="B21" s="165">
        <f t="shared" ref="B21:N21" si="3">B12+B9</f>
        <v>177551901.49007875</v>
      </c>
      <c r="C21" s="165">
        <f t="shared" si="3"/>
        <v>242596833.11780494</v>
      </c>
      <c r="D21" s="165">
        <f t="shared" si="3"/>
        <v>254440717.67056018</v>
      </c>
      <c r="E21" s="165">
        <f t="shared" si="3"/>
        <v>251604063.02803728</v>
      </c>
      <c r="F21" s="165">
        <f t="shared" si="3"/>
        <v>246125317.10803038</v>
      </c>
      <c r="G21" s="165">
        <f t="shared" si="3"/>
        <v>287146369.35313106</v>
      </c>
      <c r="H21" s="165">
        <f t="shared" si="3"/>
        <v>310340916.21661448</v>
      </c>
      <c r="I21" s="165">
        <f t="shared" si="3"/>
        <v>355354210.2651394</v>
      </c>
      <c r="J21" s="165">
        <f t="shared" si="3"/>
        <v>385727279.24806958</v>
      </c>
      <c r="K21" s="165">
        <f t="shared" si="3"/>
        <v>418336997.77925611</v>
      </c>
      <c r="L21" s="165">
        <f t="shared" si="3"/>
        <v>447775772.84078479</v>
      </c>
      <c r="M21" s="165">
        <f t="shared" si="3"/>
        <v>490086603.61064517</v>
      </c>
      <c r="N21" s="165">
        <f t="shared" si="3"/>
        <v>532992425.41435248</v>
      </c>
    </row>
    <row r="22" spans="1:14" ht="15" thickBot="1">
      <c r="A22" s="235" t="s">
        <v>503</v>
      </c>
      <c r="B22" s="157"/>
      <c r="C22" s="157"/>
    </row>
    <row r="23" spans="1:14" ht="28.8">
      <c r="A23" s="238" t="s">
        <v>558</v>
      </c>
      <c r="B23" s="158">
        <f t="shared" ref="B23:N23" si="4">SUM(B24:B28)</f>
        <v>122080293.34997031</v>
      </c>
      <c r="C23" s="158">
        <f t="shared" si="4"/>
        <v>162192804.44931909</v>
      </c>
      <c r="D23" s="158">
        <f t="shared" si="4"/>
        <v>174027088.23701659</v>
      </c>
      <c r="E23" s="158">
        <f t="shared" si="4"/>
        <v>175696767.57962304</v>
      </c>
      <c r="F23" s="158">
        <f t="shared" si="4"/>
        <v>177805418.13168293</v>
      </c>
      <c r="G23" s="158">
        <f t="shared" si="4"/>
        <v>189928562.79223359</v>
      </c>
      <c r="H23" s="158">
        <f t="shared" si="4"/>
        <v>208997115.59798148</v>
      </c>
      <c r="I23" s="158">
        <f t="shared" si="4"/>
        <v>233988673.44705755</v>
      </c>
      <c r="J23" s="158">
        <f t="shared" si="4"/>
        <v>261201375.72091523</v>
      </c>
      <c r="K23" s="158">
        <f t="shared" si="4"/>
        <v>290930736.27734935</v>
      </c>
      <c r="L23" s="158">
        <f t="shared" si="4"/>
        <v>324729878.21266514</v>
      </c>
      <c r="M23" s="158">
        <f t="shared" si="4"/>
        <v>361820503.9929167</v>
      </c>
      <c r="N23" s="158">
        <f t="shared" si="4"/>
        <v>402605450.47590542</v>
      </c>
    </row>
    <row r="24" spans="1:14">
      <c r="A24" s="231" t="s">
        <v>504</v>
      </c>
      <c r="B24" s="159">
        <f>'Cons BS 2012'!B23</f>
        <v>43128927.848508045</v>
      </c>
      <c r="C24" s="159">
        <f>'Cons BS 2012'!C23</f>
        <v>43128927.848508045</v>
      </c>
      <c r="D24" s="159">
        <f>'Cons BS 2012'!D23</f>
        <v>43128927.848508045</v>
      </c>
      <c r="E24" s="159">
        <f>'Pr BS proj'!E24+'Tr BS proj'!E24</f>
        <v>43128927.848508045</v>
      </c>
      <c r="F24" s="159">
        <f>'Pr BS proj'!F24+'Tr BS proj'!F24</f>
        <v>43128927.848508045</v>
      </c>
      <c r="G24" s="159">
        <f>'Pr BS proj'!G24+'Tr BS proj'!G24</f>
        <v>43128927.848508045</v>
      </c>
      <c r="H24" s="159">
        <f>'Pr BS proj'!H24+'Tr BS proj'!H24</f>
        <v>43128927.848508045</v>
      </c>
      <c r="I24" s="159">
        <f>'Pr BS proj'!I24+'Tr BS proj'!I24</f>
        <v>43128927.848508045</v>
      </c>
      <c r="J24" s="159">
        <f>'Pr BS proj'!J24+'Tr BS proj'!J24</f>
        <v>43128927.848508045</v>
      </c>
      <c r="K24" s="159">
        <f>'Pr BS proj'!K24+'Tr BS proj'!K24</f>
        <v>43128927.848508045</v>
      </c>
      <c r="L24" s="159">
        <f>'Pr BS proj'!L24+'Tr BS proj'!L24</f>
        <v>43128927.848508045</v>
      </c>
      <c r="M24" s="159">
        <f>'Pr BS proj'!M24+'Tr BS proj'!M24</f>
        <v>43128927.848508045</v>
      </c>
      <c r="N24" s="159">
        <f>'Pr BS proj'!N24+'Tr BS proj'!N24</f>
        <v>43128927.848508045</v>
      </c>
    </row>
    <row r="25" spans="1:14">
      <c r="A25" s="231" t="s">
        <v>505</v>
      </c>
      <c r="B25" s="159">
        <f>'Cons BS 2012'!B24</f>
        <v>0</v>
      </c>
      <c r="C25" s="159">
        <f>'Cons BS 2012'!C24</f>
        <v>0</v>
      </c>
      <c r="D25" s="159">
        <f>'Cons BS 2012'!D24</f>
        <v>0</v>
      </c>
      <c r="E25" s="159">
        <f>'Pr BS proj'!E25+'Tr BS proj'!E25</f>
        <v>0</v>
      </c>
      <c r="F25" s="159">
        <f>'Pr BS proj'!F25+'Tr BS proj'!F25</f>
        <v>0</v>
      </c>
      <c r="G25" s="159">
        <f>'Pr BS proj'!G25+'Tr BS proj'!G25</f>
        <v>0</v>
      </c>
      <c r="H25" s="159">
        <f>'Pr BS proj'!H25+'Tr BS proj'!H25</f>
        <v>0</v>
      </c>
      <c r="I25" s="159">
        <f>'Pr BS proj'!I25+'Tr BS proj'!I25</f>
        <v>0</v>
      </c>
      <c r="J25" s="159">
        <f>'Pr BS proj'!J25+'Tr BS proj'!J25</f>
        <v>0</v>
      </c>
      <c r="K25" s="159">
        <f>'Pr BS proj'!K25+'Tr BS proj'!K25</f>
        <v>0</v>
      </c>
      <c r="L25" s="159">
        <f>'Pr BS proj'!L25+'Tr BS proj'!L25</f>
        <v>0</v>
      </c>
      <c r="M25" s="159">
        <f>'Pr BS proj'!M25+'Tr BS proj'!M25</f>
        <v>0</v>
      </c>
      <c r="N25" s="159">
        <f>'Pr BS proj'!N25+'Tr BS proj'!N25</f>
        <v>0</v>
      </c>
    </row>
    <row r="26" spans="1:14" s="186" customFormat="1">
      <c r="A26" s="228" t="s">
        <v>564</v>
      </c>
      <c r="B26" s="159">
        <f>'Cons BS 2012'!B25</f>
        <v>76004535</v>
      </c>
      <c r="C26" s="159">
        <f>'Cons BS 2012'!C25</f>
        <v>103528525</v>
      </c>
      <c r="D26" s="159">
        <f>'Cons BS 2012'!D25</f>
        <v>103528525</v>
      </c>
      <c r="E26" s="159">
        <f>'Pr BS proj'!E26+'Tr BS proj'!E26</f>
        <v>103528525</v>
      </c>
      <c r="F26" s="159">
        <f>'Pr BS proj'!F26+'Tr BS proj'!F26</f>
        <v>103528525</v>
      </c>
      <c r="G26" s="159">
        <f>'Pr BS proj'!G26+'Tr BS proj'!G26</f>
        <v>103528525</v>
      </c>
      <c r="H26" s="159">
        <f>'Pr BS proj'!H26+'Tr BS proj'!H26</f>
        <v>103528525</v>
      </c>
      <c r="I26" s="159">
        <f>'Pr BS proj'!I26+'Tr BS proj'!I26</f>
        <v>103528525</v>
      </c>
      <c r="J26" s="159">
        <f>'Pr BS proj'!J26+'Tr BS proj'!J26</f>
        <v>103528525</v>
      </c>
      <c r="K26" s="159">
        <f>'Pr BS proj'!K26+'Tr BS proj'!K26</f>
        <v>103528525</v>
      </c>
      <c r="L26" s="159">
        <f>'Pr BS proj'!L26+'Tr BS proj'!L26</f>
        <v>103528525</v>
      </c>
      <c r="M26" s="159">
        <f>'Pr BS proj'!M26+'Tr BS proj'!M26</f>
        <v>103528525</v>
      </c>
      <c r="N26" s="159">
        <f>'Pr BS proj'!N26+'Tr BS proj'!N26</f>
        <v>103528525</v>
      </c>
    </row>
    <row r="27" spans="1:14" ht="28.8">
      <c r="A27" s="240" t="s">
        <v>506</v>
      </c>
      <c r="B27" s="159">
        <f>'Cons BS 2012'!B26</f>
        <v>0</v>
      </c>
      <c r="C27" s="159">
        <f>'Cons BS 2012'!C26</f>
        <v>2946830.5014622658</v>
      </c>
      <c r="D27" s="159">
        <f>'Cons BS 2012'!D26</f>
        <v>15535351.600811033</v>
      </c>
      <c r="E27" s="159">
        <f>'Pr BS proj'!E27+'Tr BS proj'!E27</f>
        <v>27369635.388508536</v>
      </c>
      <c r="F27" s="159">
        <f>'Pr BS proj'!F27+'Tr BS proj'!F27</f>
        <v>29039314.731115006</v>
      </c>
      <c r="G27" s="159">
        <f>'Pr BS proj'!G27+'Tr BS proj'!G27</f>
        <v>31147965.283174869</v>
      </c>
      <c r="H27" s="159">
        <f>'Pr BS proj'!H27+'Tr BS proj'!H27</f>
        <v>43271109.943725526</v>
      </c>
      <c r="I27" s="159">
        <f>'Pr BS proj'!I27+'Tr BS proj'!I27</f>
        <v>62339662.74947343</v>
      </c>
      <c r="J27" s="159">
        <f>'Pr BS proj'!J27+'Tr BS proj'!J27</f>
        <v>87331220.598549485</v>
      </c>
      <c r="K27" s="159">
        <f>'Pr BS proj'!K27+'Tr BS proj'!K27</f>
        <v>114543922.87240718</v>
      </c>
      <c r="L27" s="159">
        <f>'Pr BS proj'!L27+'Tr BS proj'!L27</f>
        <v>144273283.42884123</v>
      </c>
      <c r="M27" s="159">
        <f>'Pr BS proj'!M27+'Tr BS proj'!M27</f>
        <v>178072425.36415708</v>
      </c>
      <c r="N27" s="159">
        <f>'Pr BS proj'!N27+'Tr BS proj'!N27</f>
        <v>215163051.14440864</v>
      </c>
    </row>
    <row r="28" spans="1:14" ht="28.8">
      <c r="A28" s="240" t="s">
        <v>507</v>
      </c>
      <c r="B28" s="159">
        <f>'Cons BS 2012'!B27</f>
        <v>2946830.5014622658</v>
      </c>
      <c r="C28" s="159">
        <f>'Cons BS 2012'!C27</f>
        <v>12588521.099348767</v>
      </c>
      <c r="D28" s="159">
        <f>'Cons BS 2012'!D27</f>
        <v>11834283.787697505</v>
      </c>
      <c r="E28" s="159">
        <f>'Pr BS proj'!E28+'Tr BS proj'!E28</f>
        <v>1669679.3426064653</v>
      </c>
      <c r="F28" s="159">
        <f>'Pr BS proj'!F28+'Tr BS proj'!F28</f>
        <v>2108650.5520598646</v>
      </c>
      <c r="G28" s="159">
        <f>'Pr BS proj'!G28+'Tr BS proj'!G28</f>
        <v>12123144.660550661</v>
      </c>
      <c r="H28" s="159">
        <f>'Pr BS proj'!H28+'Tr BS proj'!H28</f>
        <v>19068552.805747896</v>
      </c>
      <c r="I28" s="159">
        <f>'Pr BS proj'!I28+'Tr BS proj'!I28</f>
        <v>24991557.849076051</v>
      </c>
      <c r="J28" s="159">
        <f>'Pr BS proj'!J28+'Tr BS proj'!J28</f>
        <v>27212702.273857683</v>
      </c>
      <c r="K28" s="159">
        <f>'Pr BS proj'!K28+'Tr BS proj'!K28</f>
        <v>29729360.556434065</v>
      </c>
      <c r="L28" s="159">
        <f>'Pr BS proj'!L28+'Tr BS proj'!L28</f>
        <v>33799141.935315832</v>
      </c>
      <c r="M28" s="159">
        <f>'Pr BS proj'!M28+'Tr BS proj'!M28</f>
        <v>37090625.780251585</v>
      </c>
      <c r="N28" s="159">
        <f>'Pr BS proj'!N28+'Tr BS proj'!N28</f>
        <v>40784946.482988685</v>
      </c>
    </row>
    <row r="29" spans="1:14" ht="28.8">
      <c r="A29" s="238" t="s">
        <v>559</v>
      </c>
      <c r="B29" s="161">
        <f>B30+B32+B31</f>
        <v>7637832</v>
      </c>
      <c r="C29" s="161">
        <f t="shared" ref="C29:N29" si="5">C30+C32+C31</f>
        <v>11850229</v>
      </c>
      <c r="D29" s="161">
        <f t="shared" si="5"/>
        <v>8441468</v>
      </c>
      <c r="E29" s="161">
        <f t="shared" si="5"/>
        <v>4323574.8659353564</v>
      </c>
      <c r="F29" s="161">
        <f t="shared" si="5"/>
        <v>1646753.866684274</v>
      </c>
      <c r="G29" s="161">
        <f t="shared" si="5"/>
        <v>5968640.7878578864</v>
      </c>
      <c r="H29" s="161">
        <f t="shared" si="5"/>
        <v>6649029.8954241425</v>
      </c>
      <c r="I29" s="161">
        <f t="shared" si="5"/>
        <v>7336705.0100722071</v>
      </c>
      <c r="J29" s="161">
        <f t="shared" si="5"/>
        <v>4976561.157042712</v>
      </c>
      <c r="K29" s="161">
        <f t="shared" si="5"/>
        <v>3818124.1957848659</v>
      </c>
      <c r="L29" s="161">
        <f t="shared" si="5"/>
        <v>3261465.318028844</v>
      </c>
      <c r="M29" s="161">
        <f t="shared" si="5"/>
        <v>3306658.6153593943</v>
      </c>
      <c r="N29" s="161">
        <f t="shared" si="5"/>
        <v>3353781.1952908281</v>
      </c>
    </row>
    <row r="30" spans="1:14">
      <c r="A30" s="240" t="s">
        <v>508</v>
      </c>
      <c r="B30" s="159">
        <f>'Cons BS 2012'!B29</f>
        <v>0</v>
      </c>
      <c r="C30" s="159">
        <f>'Cons BS 2012'!C29</f>
        <v>0</v>
      </c>
      <c r="D30" s="159">
        <f>'Cons BS 2012'!D29</f>
        <v>0</v>
      </c>
      <c r="E30" s="159">
        <f>'Pr BS proj'!E30+'Tr BS proj'!E30</f>
        <v>0</v>
      </c>
      <c r="F30" s="159">
        <f>'Pr BS proj'!F30+'Tr BS proj'!F30</f>
        <v>0</v>
      </c>
      <c r="G30" s="159">
        <f>'Pr BS proj'!G30+'Tr BS proj'!G30</f>
        <v>0</v>
      </c>
      <c r="H30" s="159">
        <f>'Pr BS proj'!H30+'Tr BS proj'!H30</f>
        <v>0</v>
      </c>
      <c r="I30" s="159">
        <f>'Pr BS proj'!I30+'Tr BS proj'!I30</f>
        <v>0</v>
      </c>
      <c r="J30" s="159">
        <f>'Pr BS proj'!J30+'Tr BS proj'!J30</f>
        <v>0</v>
      </c>
      <c r="K30" s="159">
        <f>'Pr BS proj'!K30+'Tr BS proj'!K30</f>
        <v>0</v>
      </c>
      <c r="L30" s="159">
        <f>'Pr BS proj'!L30+'Tr BS proj'!L30</f>
        <v>0</v>
      </c>
      <c r="M30" s="159">
        <f>'Pr BS proj'!M30+'Tr BS proj'!M30</f>
        <v>0</v>
      </c>
      <c r="N30" s="159">
        <f>'Pr BS proj'!N30+'Tr BS proj'!N30</f>
        <v>0</v>
      </c>
    </row>
    <row r="31" spans="1:14">
      <c r="A31" s="240" t="s">
        <v>523</v>
      </c>
      <c r="B31" s="159">
        <f>'Cons BS 2012'!B30</f>
        <v>7500000</v>
      </c>
      <c r="C31" s="159">
        <f>'Cons BS 2012'!C30</f>
        <v>11250000</v>
      </c>
      <c r="D31" s="159">
        <f>'Cons BS 2012'!D30</f>
        <v>7500000</v>
      </c>
      <c r="E31" s="159">
        <f>'Pr BS proj'!E31+'Tr BS proj'!E31</f>
        <v>3750000</v>
      </c>
      <c r="F31" s="159">
        <f>'Pr BS proj'!F31+'Tr BS proj'!F31</f>
        <v>1050000</v>
      </c>
      <c r="G31" s="159">
        <f>'Pr BS proj'!G31+'Tr BS proj'!G31</f>
        <v>5250000</v>
      </c>
      <c r="H31" s="159">
        <f>'Pr BS proj'!H31+'Tr BS proj'!H31</f>
        <v>5850000</v>
      </c>
      <c r="I31" s="159">
        <f>'Pr BS proj'!I31+'Tr BS proj'!I31</f>
        <v>6450000</v>
      </c>
      <c r="J31" s="159">
        <f>'Pr BS proj'!J31+'Tr BS proj'!J31</f>
        <v>4050000</v>
      </c>
      <c r="K31" s="159">
        <f>'Pr BS proj'!K31+'Tr BS proj'!K31</f>
        <v>2850000</v>
      </c>
      <c r="L31" s="159">
        <f>'Pr BS proj'!L31+'Tr BS proj'!L31</f>
        <v>2250000</v>
      </c>
      <c r="M31" s="159">
        <f>'Pr BS proj'!M31+'Tr BS proj'!M31</f>
        <v>2250000</v>
      </c>
      <c r="N31" s="159">
        <f>'Pr BS proj'!N31+'Tr BS proj'!N31</f>
        <v>2250000</v>
      </c>
    </row>
    <row r="32" spans="1:14">
      <c r="A32" s="240" t="s">
        <v>509</v>
      </c>
      <c r="B32" s="159">
        <f>'Cons BS 2012'!B31</f>
        <v>137832</v>
      </c>
      <c r="C32" s="159">
        <f>'Cons BS 2012'!C31</f>
        <v>600229</v>
      </c>
      <c r="D32" s="159">
        <f>'Cons BS 2012'!D31</f>
        <v>941468</v>
      </c>
      <c r="E32" s="159">
        <f>'Pr BS proj'!E32+'Tr BS proj'!E32</f>
        <v>573574.86593535624</v>
      </c>
      <c r="F32" s="159">
        <f>'Pr BS proj'!F32+'Tr BS proj'!F32</f>
        <v>596753.86668427405</v>
      </c>
      <c r="G32" s="159">
        <f>'Pr BS proj'!G32+'Tr BS proj'!G32</f>
        <v>718640.7878578864</v>
      </c>
      <c r="H32" s="159">
        <f>'Pr BS proj'!H32+'Tr BS proj'!H32</f>
        <v>799029.89542414225</v>
      </c>
      <c r="I32" s="159">
        <f>'Pr BS proj'!I32+'Tr BS proj'!I32</f>
        <v>886705.01007220696</v>
      </c>
      <c r="J32" s="159">
        <f>'Pr BS proj'!J32+'Tr BS proj'!J32</f>
        <v>926561.15704271186</v>
      </c>
      <c r="K32" s="159">
        <f>'Pr BS proj'!K32+'Tr BS proj'!K32</f>
        <v>968124.19578486599</v>
      </c>
      <c r="L32" s="159">
        <f>'Pr BS proj'!L32+'Tr BS proj'!L32</f>
        <v>1011465.3180288437</v>
      </c>
      <c r="M32" s="159">
        <f>'Pr BS proj'!M32+'Tr BS proj'!M32</f>
        <v>1056658.6153593943</v>
      </c>
      <c r="N32" s="159">
        <f>'Pr BS proj'!N32+'Tr BS proj'!N32</f>
        <v>1103781.1952908281</v>
      </c>
    </row>
    <row r="33" spans="1:14" ht="28.8">
      <c r="A33" s="238" t="s">
        <v>560</v>
      </c>
      <c r="B33" s="161">
        <f>SUM(B34:B38)</f>
        <v>47833776.140108407</v>
      </c>
      <c r="C33" s="161">
        <f>SUM(C34:C38)</f>
        <v>68553799.66848588</v>
      </c>
      <c r="D33" s="161">
        <f t="shared" ref="D33" si="6">SUM(D34:D38)</f>
        <v>71972161.433543593</v>
      </c>
      <c r="E33" s="161">
        <f>SUM(E34:E39)</f>
        <v>71583720.582478881</v>
      </c>
      <c r="F33" s="161">
        <f t="shared" ref="F33:N33" si="7">SUM(F34:F39)</f>
        <v>66673145.109663196</v>
      </c>
      <c r="G33" s="161">
        <f t="shared" si="7"/>
        <v>91249165.773039564</v>
      </c>
      <c r="H33" s="161">
        <f t="shared" si="7"/>
        <v>94694770.723208904</v>
      </c>
      <c r="I33" s="161">
        <f t="shared" si="7"/>
        <v>114028831.80800968</v>
      </c>
      <c r="J33" s="161">
        <f t="shared" si="7"/>
        <v>119549342.37011169</v>
      </c>
      <c r="K33" s="161">
        <f t="shared" si="7"/>
        <v>123588137.30612199</v>
      </c>
      <c r="L33" s="161">
        <f t="shared" si="7"/>
        <v>119784429.31009081</v>
      </c>
      <c r="M33" s="161">
        <f t="shared" si="7"/>
        <v>124959441.00236902</v>
      </c>
      <c r="N33" s="161">
        <f t="shared" si="7"/>
        <v>127033193.74315624</v>
      </c>
    </row>
    <row r="34" spans="1:14">
      <c r="A34" s="240" t="s">
        <v>508</v>
      </c>
      <c r="B34" s="159">
        <f>'Cons BS 2012'!B33</f>
        <v>0</v>
      </c>
      <c r="C34" s="159">
        <f>'Cons BS 2012'!C33</f>
        <v>10207900.915308449</v>
      </c>
      <c r="D34" s="159">
        <f>'Cons BS 2012'!D33</f>
        <v>8051166.775089046</v>
      </c>
      <c r="E34" s="159">
        <f>'Pr BS proj'!E34+'Tr BS proj'!E34</f>
        <v>5315333.4049131563</v>
      </c>
      <c r="F34" s="159">
        <f>'Pr BS proj'!F34+'Tr BS proj'!F34</f>
        <v>3642718.4956572172</v>
      </c>
      <c r="G34" s="159">
        <f>'Pr BS proj'!G34+'Tr BS proj'!G34</f>
        <v>2063028.2742395243</v>
      </c>
      <c r="H34" s="159">
        <f>'Pr BS proj'!H34+'Tr BS proj'!H34</f>
        <v>1430671.4800551487</v>
      </c>
      <c r="I34" s="159">
        <f>'Pr BS proj'!I34+'Tr BS proj'!I34</f>
        <v>0</v>
      </c>
      <c r="J34" s="159">
        <f>'Pr BS proj'!J34+'Tr BS proj'!J34</f>
        <v>0</v>
      </c>
      <c r="K34" s="159">
        <f>'Pr BS proj'!K34+'Tr BS proj'!K34</f>
        <v>0</v>
      </c>
      <c r="L34" s="159">
        <f>'Pr BS proj'!L34+'Tr BS proj'!L34</f>
        <v>0</v>
      </c>
      <c r="M34" s="159">
        <f>'Pr BS proj'!M34+'Tr BS proj'!M34</f>
        <v>0</v>
      </c>
      <c r="N34" s="159">
        <f>'Pr BS proj'!N34+'Tr BS proj'!N34</f>
        <v>0</v>
      </c>
    </row>
    <row r="35" spans="1:14">
      <c r="A35" s="240" t="s">
        <v>537</v>
      </c>
      <c r="B35" s="159">
        <f>'Cons BS 2012'!B34</f>
        <v>3750000</v>
      </c>
      <c r="C35" s="159">
        <f>'Cons BS 2012'!C34</f>
        <v>3750000</v>
      </c>
      <c r="D35" s="159">
        <f>'Cons BS 2012'!D34</f>
        <v>3750000</v>
      </c>
      <c r="E35" s="159">
        <f>'Pr BS proj'!E35+'Tr BS proj'!E35</f>
        <v>3750000</v>
      </c>
      <c r="F35" s="159">
        <f>'Pr BS proj'!F35+'Tr BS proj'!F35</f>
        <v>2700000</v>
      </c>
      <c r="G35" s="159">
        <f>'Pr BS proj'!G35+'Tr BS proj'!G35</f>
        <v>1800000</v>
      </c>
      <c r="H35" s="159">
        <f>'Pr BS proj'!H35+'Tr BS proj'!H35</f>
        <v>2400000</v>
      </c>
      <c r="I35" s="159">
        <f>'Pr BS proj'!I35+'Tr BS proj'!I35</f>
        <v>2400000</v>
      </c>
      <c r="J35" s="159">
        <f>'Pr BS proj'!J35+'Tr BS proj'!J35</f>
        <v>2400000</v>
      </c>
      <c r="K35" s="159">
        <f>'Pr BS proj'!K35+'Tr BS proj'!K35</f>
        <v>1200000</v>
      </c>
      <c r="L35" s="159">
        <f>'Pr BS proj'!L35+'Tr BS proj'!L35</f>
        <v>600000</v>
      </c>
      <c r="M35" s="159">
        <f>'Pr BS proj'!M35+'Tr BS proj'!M35</f>
        <v>0</v>
      </c>
      <c r="N35" s="159">
        <f>'Pr BS proj'!N35+'Tr BS proj'!N35</f>
        <v>0</v>
      </c>
    </row>
    <row r="36" spans="1:14">
      <c r="A36" s="240" t="s">
        <v>510</v>
      </c>
      <c r="B36" s="159">
        <f>'Cons BS 2012'!B35</f>
        <v>28436123</v>
      </c>
      <c r="C36" s="159">
        <f>'Cons BS 2012'!C35</f>
        <v>40715807</v>
      </c>
      <c r="D36" s="159">
        <f>'Cons BS 2012'!D35</f>
        <v>37252746</v>
      </c>
      <c r="E36" s="159">
        <f>'Pr BS proj'!E36+'Tr BS proj'!E36</f>
        <v>40128525.127564348</v>
      </c>
      <c r="F36" s="159">
        <f>'Pr BS proj'!F36+'Tr BS proj'!F36</f>
        <v>41455008.583443247</v>
      </c>
      <c r="G36" s="159">
        <f>'Pr BS proj'!G36+'Tr BS proj'!G36</f>
        <v>45251236.75377357</v>
      </c>
      <c r="H36" s="159">
        <f>'Pr BS proj'!H36+'Tr BS proj'!H36</f>
        <v>47399092.496214487</v>
      </c>
      <c r="I36" s="159">
        <f>'Pr BS proj'!I36+'Tr BS proj'!I36</f>
        <v>50943593.492470652</v>
      </c>
      <c r="J36" s="159">
        <f>'Pr BS proj'!J36+'Tr BS proj'!J36</f>
        <v>52636600.733756065</v>
      </c>
      <c r="K36" s="159">
        <f>'Pr BS proj'!K36+'Tr BS proj'!K36</f>
        <v>54324899.044594802</v>
      </c>
      <c r="L36" s="159">
        <f>'Pr BS proj'!L36+'Tr BS proj'!L36</f>
        <v>55149117.213085309</v>
      </c>
      <c r="M36" s="159">
        <f>'Pr BS proj'!M36+'Tr BS proj'!M36</f>
        <v>56643314.550012812</v>
      </c>
      <c r="N36" s="159">
        <f>'Pr BS proj'!N36+'Tr BS proj'!N36</f>
        <v>58048291.953458019</v>
      </c>
    </row>
    <row r="37" spans="1:14">
      <c r="A37" s="240" t="s">
        <v>511</v>
      </c>
      <c r="B37" s="159">
        <f>'Cons BS 2012'!B36</f>
        <v>0</v>
      </c>
      <c r="C37" s="159">
        <f>'Cons BS 2012'!C36</f>
        <v>0</v>
      </c>
      <c r="D37" s="159">
        <f>'Cons BS 2012'!D36</f>
        <v>0</v>
      </c>
      <c r="E37" s="159">
        <f>'Pr BS proj'!E37+'Tr BS proj'!E37</f>
        <v>0</v>
      </c>
      <c r="F37" s="159">
        <f>'Pr BS proj'!F37+'Tr BS proj'!F37</f>
        <v>0</v>
      </c>
      <c r="G37" s="159">
        <f>'Pr BS proj'!G37+'Tr BS proj'!G37</f>
        <v>0</v>
      </c>
      <c r="H37" s="159">
        <f>'Pr BS proj'!H37+'Tr BS proj'!H37</f>
        <v>0</v>
      </c>
      <c r="I37" s="159">
        <f>'Pr BS proj'!I37+'Tr BS proj'!I37</f>
        <v>0</v>
      </c>
      <c r="J37" s="159">
        <f>'Pr BS proj'!J37+'Tr BS proj'!J37</f>
        <v>0</v>
      </c>
      <c r="K37" s="159">
        <f>'Pr BS proj'!K37+'Tr BS proj'!K37</f>
        <v>0</v>
      </c>
      <c r="L37" s="159">
        <f>'Pr BS proj'!L37+'Tr BS proj'!L37</f>
        <v>0</v>
      </c>
      <c r="M37" s="159">
        <f>'Pr BS proj'!M37+'Tr BS proj'!M37</f>
        <v>0</v>
      </c>
      <c r="N37" s="159">
        <f>'Pr BS proj'!N37+'Tr BS proj'!N37</f>
        <v>0</v>
      </c>
    </row>
    <row r="38" spans="1:14" ht="15" thickBot="1">
      <c r="A38" s="241" t="s">
        <v>512</v>
      </c>
      <c r="B38" s="159">
        <f>'Cons BS 2012'!B37</f>
        <v>15647653.140108407</v>
      </c>
      <c r="C38" s="159">
        <f>'Cons BS 2012'!C37</f>
        <v>13880091.753177434</v>
      </c>
      <c r="D38" s="159">
        <f>'Cons BS 2012'!D37</f>
        <v>22918248.658454537</v>
      </c>
      <c r="E38" s="159">
        <f>'Pr BS proj'!E38+'Tr BS proj'!E38</f>
        <v>17698632.484453112</v>
      </c>
      <c r="F38" s="159">
        <f>'Pr BS proj'!F38+'Tr BS proj'!F38</f>
        <v>18223880.275483467</v>
      </c>
      <c r="G38" s="159">
        <f>'Pr BS proj'!G38+'Tr BS proj'!G38</f>
        <v>19731311.445904288</v>
      </c>
      <c r="H38" s="159">
        <f>'Pr BS proj'!H38+'Tr BS proj'!H38</f>
        <v>20511717.032132052</v>
      </c>
      <c r="I38" s="159">
        <f>'Pr BS proj'!I38+'Tr BS proj'!I38</f>
        <v>21968505.355606459</v>
      </c>
      <c r="J38" s="159">
        <f>'Pr BS proj'!J38+'Tr BS proj'!J38</f>
        <v>22611371.896094609</v>
      </c>
      <c r="K38" s="159">
        <f>'Pr BS proj'!K38+'Tr BS proj'!K38</f>
        <v>23241715.674513347</v>
      </c>
      <c r="L38" s="159">
        <f>'Pr BS proj'!L38+'Tr BS proj'!L38</f>
        <v>23427046.317202397</v>
      </c>
      <c r="M38" s="159">
        <f>'Pr BS proj'!M38+'Tr BS proj'!M38</f>
        <v>23938113.963684481</v>
      </c>
      <c r="N38" s="159">
        <f>'Pr BS proj'!N38+'Tr BS proj'!N38</f>
        <v>24392748.455336135</v>
      </c>
    </row>
    <row r="39" spans="1:14" ht="15" thickBot="1">
      <c r="A39" s="236" t="s">
        <v>669</v>
      </c>
      <c r="B39" s="159"/>
      <c r="C39" s="159"/>
      <c r="D39" s="159"/>
      <c r="E39" s="157">
        <f>'Pr BS proj'!E39+'Tr BS proj'!E39</f>
        <v>4691229.5655482709</v>
      </c>
      <c r="F39" s="157">
        <f>'Pr BS proj'!F39+'Tr BS proj'!F39</f>
        <v>651537.75507926941</v>
      </c>
      <c r="G39" s="157">
        <f>'Pr BS proj'!G39+'Tr BS proj'!G39</f>
        <v>22403589.299122185</v>
      </c>
      <c r="H39" s="157">
        <f>'Pr BS proj'!H39+'Tr BS proj'!H39</f>
        <v>22953289.714807212</v>
      </c>
      <c r="I39" s="157">
        <f>'Pr BS proj'!I39+'Tr BS proj'!I39</f>
        <v>38716732.959932566</v>
      </c>
      <c r="J39" s="157">
        <f>'Pr BS proj'!J39+'Tr BS proj'!J39</f>
        <v>41901369.740261018</v>
      </c>
      <c r="K39" s="157">
        <f>'Pr BS proj'!K39+'Tr BS proj'!K39</f>
        <v>44821522.587013841</v>
      </c>
      <c r="L39" s="157">
        <f>'Pr BS proj'!L39+'Tr BS proj'!L39</f>
        <v>40608265.779803097</v>
      </c>
      <c r="M39" s="157">
        <f>'Pr BS proj'!M39+'Tr BS proj'!M39</f>
        <v>44378012.48867172</v>
      </c>
      <c r="N39" s="157">
        <f>'Pr BS proj'!N39+'Tr BS proj'!N39</f>
        <v>44592153.33436209</v>
      </c>
    </row>
    <row r="40" spans="1:14" ht="16.2" thickBot="1">
      <c r="A40" s="239" t="s">
        <v>513</v>
      </c>
      <c r="B40" s="165">
        <f t="shared" ref="B40:N40" si="8">B33+B29+B23</f>
        <v>177551901.49007872</v>
      </c>
      <c r="C40" s="165">
        <f t="shared" si="8"/>
        <v>242596833.11780497</v>
      </c>
      <c r="D40" s="165">
        <f t="shared" si="8"/>
        <v>254440717.67056018</v>
      </c>
      <c r="E40" s="165">
        <f t="shared" si="8"/>
        <v>251604063.02803728</v>
      </c>
      <c r="F40" s="165">
        <f t="shared" si="8"/>
        <v>246125317.10803041</v>
      </c>
      <c r="G40" s="165">
        <f t="shared" si="8"/>
        <v>287146369.35313106</v>
      </c>
      <c r="H40" s="165">
        <f t="shared" si="8"/>
        <v>310340916.21661454</v>
      </c>
      <c r="I40" s="165">
        <f t="shared" si="8"/>
        <v>355354210.26513946</v>
      </c>
      <c r="J40" s="165">
        <f t="shared" si="8"/>
        <v>385727279.24806964</v>
      </c>
      <c r="K40" s="165">
        <f t="shared" si="8"/>
        <v>418336997.77925622</v>
      </c>
      <c r="L40" s="165">
        <f t="shared" si="8"/>
        <v>447775772.84078479</v>
      </c>
      <c r="M40" s="165">
        <f t="shared" si="8"/>
        <v>490086603.61064512</v>
      </c>
      <c r="N40" s="165">
        <f t="shared" si="8"/>
        <v>532992425.41435248</v>
      </c>
    </row>
    <row r="41" spans="1:14" s="168" customFormat="1">
      <c r="A41" s="166"/>
      <c r="B41" s="167">
        <f t="shared" ref="B41:N41" si="9">B40-B21</f>
        <v>0</v>
      </c>
      <c r="C41" s="167">
        <f t="shared" si="9"/>
        <v>0</v>
      </c>
      <c r="D41" s="167">
        <f t="shared" si="9"/>
        <v>0</v>
      </c>
      <c r="E41" s="167">
        <f t="shared" si="9"/>
        <v>0</v>
      </c>
      <c r="F41" s="167">
        <f t="shared" si="9"/>
        <v>0</v>
      </c>
      <c r="G41" s="167">
        <f t="shared" si="9"/>
        <v>0</v>
      </c>
      <c r="H41" s="167">
        <f t="shared" si="9"/>
        <v>0</v>
      </c>
      <c r="I41" s="167">
        <f t="shared" si="9"/>
        <v>0</v>
      </c>
      <c r="J41" s="167">
        <f t="shared" si="9"/>
        <v>0</v>
      </c>
      <c r="K41" s="167">
        <f t="shared" si="9"/>
        <v>0</v>
      </c>
      <c r="L41" s="167">
        <f t="shared" si="9"/>
        <v>0</v>
      </c>
      <c r="M41" s="167">
        <f t="shared" si="9"/>
        <v>0</v>
      </c>
      <c r="N41" s="167">
        <f t="shared" si="9"/>
        <v>0</v>
      </c>
    </row>
    <row r="42" spans="1:14"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</row>
    <row r="43" spans="1:14">
      <c r="D43" s="3"/>
      <c r="E43" s="3"/>
      <c r="F43" s="3"/>
      <c r="G43" s="3"/>
      <c r="H43" s="3"/>
      <c r="I43" s="3"/>
      <c r="J43" s="3"/>
      <c r="K43" s="3"/>
    </row>
    <row r="44" spans="1:14">
      <c r="D44" s="3"/>
      <c r="E44" s="3"/>
      <c r="F44" s="3"/>
      <c r="G44" s="3"/>
      <c r="H44" s="3"/>
      <c r="I44" s="3"/>
      <c r="J44" s="3"/>
      <c r="K44" s="3"/>
    </row>
  </sheetData>
  <mergeCells count="14">
    <mergeCell ref="F6:F7"/>
    <mergeCell ref="A6:A7"/>
    <mergeCell ref="B6:B7"/>
    <mergeCell ref="C6:C7"/>
    <mergeCell ref="D6:D7"/>
    <mergeCell ref="E6:E7"/>
    <mergeCell ref="M6:M7"/>
    <mergeCell ref="N6:N7"/>
    <mergeCell ref="G6:G7"/>
    <mergeCell ref="H6:H7"/>
    <mergeCell ref="I6:I7"/>
    <mergeCell ref="J6:J7"/>
    <mergeCell ref="K6:K7"/>
    <mergeCell ref="L6:L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workbookViewId="0">
      <pane xSplit="10596" ySplit="5928" topLeftCell="C80" activePane="bottomLeft"/>
      <selection activeCell="C6" sqref="C6"/>
      <selection pane="topRight" activeCell="C5" sqref="C5"/>
      <selection pane="bottomLeft" activeCell="A81" sqref="A81:A84"/>
      <selection pane="bottomRight" activeCell="F30" sqref="F30"/>
    </sheetView>
  </sheetViews>
  <sheetFormatPr defaultRowHeight="14.4"/>
  <cols>
    <col min="1" max="1" width="53.5546875" customWidth="1"/>
    <col min="2" max="3" width="17.77734375" customWidth="1"/>
    <col min="4" max="4" width="5.21875" customWidth="1"/>
    <col min="5" max="5" width="26.21875" customWidth="1"/>
    <col min="6" max="15" width="14.77734375" customWidth="1"/>
  </cols>
  <sheetData>
    <row r="1" spans="1:11" ht="21.6" thickBot="1">
      <c r="A1" s="303" t="s">
        <v>740</v>
      </c>
      <c r="B1" s="92"/>
    </row>
    <row r="2" spans="1:11" ht="31.2">
      <c r="A2" s="92" t="s">
        <v>671</v>
      </c>
      <c r="B2" s="4" t="s">
        <v>672</v>
      </c>
      <c r="C2" s="4" t="s">
        <v>673</v>
      </c>
      <c r="D2" s="4"/>
      <c r="E2" s="270" t="s">
        <v>675</v>
      </c>
      <c r="F2" s="271">
        <v>2013</v>
      </c>
      <c r="G2" s="271">
        <v>2014</v>
      </c>
      <c r="H2" s="271">
        <v>2015</v>
      </c>
      <c r="I2" s="271">
        <v>2016</v>
      </c>
      <c r="J2" s="272">
        <v>2017</v>
      </c>
    </row>
    <row r="3" spans="1:11" ht="21">
      <c r="A3" s="92" t="s">
        <v>549</v>
      </c>
      <c r="B3" s="269"/>
      <c r="E3" s="275" t="s">
        <v>676</v>
      </c>
      <c r="F3" s="273"/>
      <c r="G3" s="273"/>
      <c r="H3" s="273"/>
      <c r="I3" s="273"/>
      <c r="J3" s="274"/>
    </row>
    <row r="4" spans="1:11" ht="15" thickBot="1">
      <c r="A4" s="269" t="s">
        <v>674</v>
      </c>
      <c r="E4" s="279" t="s">
        <v>677</v>
      </c>
      <c r="F4" s="172">
        <v>100000</v>
      </c>
      <c r="G4" s="172">
        <v>100000</v>
      </c>
      <c r="H4" s="172">
        <v>120000</v>
      </c>
      <c r="I4" s="172">
        <v>130000</v>
      </c>
      <c r="J4" s="281">
        <v>140000</v>
      </c>
    </row>
    <row r="5" spans="1:11" ht="15" thickBot="1">
      <c r="B5" s="72">
        <v>0.03</v>
      </c>
      <c r="C5" s="72">
        <f>B5</f>
        <v>0.03</v>
      </c>
      <c r="E5" s="279" t="s">
        <v>678</v>
      </c>
      <c r="F5" s="172">
        <v>40000</v>
      </c>
      <c r="G5" s="172">
        <v>45000</v>
      </c>
      <c r="H5" s="172">
        <v>50000</v>
      </c>
      <c r="I5" s="172">
        <v>55000</v>
      </c>
      <c r="J5" s="281">
        <v>60000</v>
      </c>
    </row>
    <row r="6" spans="1:11" ht="15.6">
      <c r="A6" s="277" t="s">
        <v>684</v>
      </c>
      <c r="B6" s="276"/>
      <c r="C6" s="276"/>
      <c r="E6" s="279" t="s">
        <v>427</v>
      </c>
      <c r="F6" s="282">
        <v>14264714.701575398</v>
      </c>
      <c r="G6" s="282">
        <v>13962122.409102194</v>
      </c>
      <c r="H6" s="282">
        <v>26862036.056684248</v>
      </c>
      <c r="I6" s="282">
        <v>34468149.145154744</v>
      </c>
      <c r="J6" s="283">
        <v>43279870.866950586</v>
      </c>
    </row>
    <row r="7" spans="1:11" ht="16.2" thickBot="1">
      <c r="A7" s="278" t="s">
        <v>686</v>
      </c>
      <c r="E7" s="279" t="s">
        <v>426</v>
      </c>
      <c r="F7" s="282">
        <v>1669679.3426064472</v>
      </c>
      <c r="G7" s="282">
        <v>2108650.5520598623</v>
      </c>
      <c r="H7" s="282">
        <v>12123144.660550661</v>
      </c>
      <c r="I7" s="282">
        <v>19068552.8057479</v>
      </c>
      <c r="J7" s="283">
        <v>24991557.84907607</v>
      </c>
      <c r="K7" s="186"/>
    </row>
    <row r="8" spans="1:11" ht="15" thickBot="1">
      <c r="A8" t="s">
        <v>682</v>
      </c>
      <c r="B8" s="121">
        <v>-0.08</v>
      </c>
      <c r="E8" s="279" t="s">
        <v>679</v>
      </c>
      <c r="F8" s="181">
        <v>241544286.65746972</v>
      </c>
      <c r="G8" s="282"/>
      <c r="H8" s="282"/>
      <c r="I8" s="282"/>
      <c r="J8" s="283"/>
    </row>
    <row r="9" spans="1:11" ht="15" thickBot="1">
      <c r="A9" t="s">
        <v>683</v>
      </c>
      <c r="B9" s="121">
        <v>-0.02</v>
      </c>
      <c r="E9" s="279" t="s">
        <v>680</v>
      </c>
      <c r="F9" s="282">
        <v>23335406.286779739</v>
      </c>
      <c r="G9" s="282">
        <v>25047849.953136522</v>
      </c>
      <c r="H9" s="282">
        <v>11963611.421738617</v>
      </c>
      <c r="I9" s="282">
        <v>19531682.057060432</v>
      </c>
      <c r="J9" s="283">
        <v>32270783.1851517</v>
      </c>
    </row>
    <row r="10" spans="1:11" ht="15" thickBot="1">
      <c r="A10" t="s">
        <v>689</v>
      </c>
      <c r="E10" s="275" t="s">
        <v>681</v>
      </c>
      <c r="F10" s="284"/>
      <c r="G10" s="284"/>
      <c r="H10" s="284"/>
      <c r="I10" s="284"/>
      <c r="J10" s="285"/>
    </row>
    <row r="11" spans="1:11" ht="15" thickBot="1">
      <c r="B11" s="72">
        <v>-5.0000000000000001E-3</v>
      </c>
      <c r="C11" s="72">
        <f>B11</f>
        <v>-5.0000000000000001E-3</v>
      </c>
      <c r="E11" s="279" t="s">
        <v>677</v>
      </c>
      <c r="F11" s="172">
        <f>Предположения!F32</f>
        <v>100000</v>
      </c>
      <c r="G11" s="172">
        <f>Предположения!G32</f>
        <v>100000</v>
      </c>
      <c r="H11" s="172">
        <f>Предположения!H32</f>
        <v>120000</v>
      </c>
      <c r="I11" s="172">
        <f>Предположения!I32</f>
        <v>130000</v>
      </c>
      <c r="J11" s="281">
        <f>Предположения!J32</f>
        <v>140000</v>
      </c>
    </row>
    <row r="12" spans="1:11" ht="31.2">
      <c r="A12" s="117" t="s">
        <v>9</v>
      </c>
      <c r="B12" s="276"/>
      <c r="C12" s="276"/>
      <c r="E12" s="279" t="s">
        <v>678</v>
      </c>
      <c r="F12" s="172">
        <f>Предположения!F33</f>
        <v>40000</v>
      </c>
      <c r="G12" s="172">
        <f>Предположения!G33</f>
        <v>45000</v>
      </c>
      <c r="H12" s="172">
        <f>Предположения!H33</f>
        <v>50000</v>
      </c>
      <c r="I12" s="172">
        <f>Предположения!I33</f>
        <v>55000</v>
      </c>
      <c r="J12" s="281">
        <f>Предположения!J33</f>
        <v>60000</v>
      </c>
    </row>
    <row r="13" spans="1:11" ht="16.2" thickBot="1">
      <c r="A13" s="278" t="s">
        <v>687</v>
      </c>
      <c r="E13" s="279" t="s">
        <v>427</v>
      </c>
      <c r="F13" s="282">
        <f>'Cons P&amp;L proj'!E28</f>
        <v>14264714.701575398</v>
      </c>
      <c r="G13" s="282">
        <f>'Cons P&amp;L proj'!F28</f>
        <v>13962122.409102194</v>
      </c>
      <c r="H13" s="282">
        <f>'Cons P&amp;L proj'!G28</f>
        <v>26862036.056684248</v>
      </c>
      <c r="I13" s="282">
        <f>'Cons P&amp;L proj'!H28</f>
        <v>34468149.145154744</v>
      </c>
      <c r="J13" s="283">
        <f>'Cons P&amp;L proj'!I28</f>
        <v>43279870.866950586</v>
      </c>
    </row>
    <row r="14" spans="1:11" ht="15" thickBot="1">
      <c r="A14" t="s">
        <v>682</v>
      </c>
      <c r="B14" s="121">
        <v>-2.5000000000000001E-2</v>
      </c>
      <c r="E14" s="279" t="s">
        <v>426</v>
      </c>
      <c r="F14" s="282">
        <f>'Cons P&amp;L proj'!E26</f>
        <v>1669679.3426064472</v>
      </c>
      <c r="G14" s="282">
        <f>'Cons P&amp;L proj'!F26</f>
        <v>2108650.5520598623</v>
      </c>
      <c r="H14" s="282">
        <f>'Cons P&amp;L proj'!G26</f>
        <v>12123144.660550661</v>
      </c>
      <c r="I14" s="282">
        <f>'Cons P&amp;L proj'!H26</f>
        <v>19068552.8057479</v>
      </c>
      <c r="J14" s="283">
        <f>'Cons P&amp;L proj'!I26</f>
        <v>24991557.84907607</v>
      </c>
    </row>
    <row r="15" spans="1:11">
      <c r="A15" t="s">
        <v>685</v>
      </c>
      <c r="E15" s="279" t="s">
        <v>679</v>
      </c>
      <c r="F15" s="282">
        <f ca="1">Valuation!B53</f>
        <v>269262214.4478333</v>
      </c>
      <c r="G15" s="282"/>
      <c r="H15" s="282"/>
      <c r="I15" s="282"/>
      <c r="J15" s="283"/>
    </row>
    <row r="16" spans="1:11" ht="15" thickBot="1">
      <c r="E16" s="280" t="s">
        <v>680</v>
      </c>
      <c r="F16" s="286">
        <f>'Cons CF proj'!E35</f>
        <v>23335406.286779739</v>
      </c>
      <c r="G16" s="286">
        <f>'Cons CF proj'!F35</f>
        <v>25047849.953136522</v>
      </c>
      <c r="H16" s="286">
        <f>'Cons CF proj'!G35</f>
        <v>11963611.421738617</v>
      </c>
      <c r="I16" s="286">
        <f>'Cons CF proj'!H35</f>
        <v>19531682.057060432</v>
      </c>
      <c r="J16" s="287">
        <f>'Cons CF proj'!I35</f>
        <v>32270783.1851517</v>
      </c>
    </row>
    <row r="17" spans="1:3" ht="16.2" thickBot="1">
      <c r="A17" s="277" t="s">
        <v>92</v>
      </c>
      <c r="B17" s="73">
        <v>5000</v>
      </c>
      <c r="C17" s="73">
        <f>B17</f>
        <v>5000</v>
      </c>
    </row>
    <row r="18" spans="1:3">
      <c r="A18" s="20" t="s">
        <v>3</v>
      </c>
    </row>
    <row r="19" spans="1:3" ht="31.8" thickBot="1">
      <c r="A19" s="288" t="s">
        <v>688</v>
      </c>
    </row>
    <row r="20" spans="1:3" ht="15" thickBot="1">
      <c r="A20" t="s">
        <v>682</v>
      </c>
      <c r="B20" s="289">
        <v>10000</v>
      </c>
    </row>
    <row r="21" spans="1:3" ht="15" thickBot="1">
      <c r="A21" t="s">
        <v>691</v>
      </c>
      <c r="B21" s="5"/>
    </row>
    <row r="22" spans="1:3" ht="15" thickBot="1">
      <c r="A22" s="20" t="s">
        <v>690</v>
      </c>
      <c r="B22" s="73">
        <v>0</v>
      </c>
      <c r="C22" s="73">
        <f>B22</f>
        <v>0</v>
      </c>
    </row>
    <row r="23" spans="1:3" ht="16.2" thickBot="1">
      <c r="A23" s="4">
        <v>2013</v>
      </c>
      <c r="B23" s="73">
        <v>0</v>
      </c>
      <c r="C23" s="73">
        <f t="shared" ref="C23:C26" si="0">B23</f>
        <v>0</v>
      </c>
    </row>
    <row r="24" spans="1:3" ht="16.2" thickBot="1">
      <c r="A24" s="4">
        <v>2014</v>
      </c>
      <c r="B24" s="73">
        <v>20000</v>
      </c>
      <c r="C24" s="73">
        <f t="shared" si="0"/>
        <v>20000</v>
      </c>
    </row>
    <row r="25" spans="1:3" ht="16.2" thickBot="1">
      <c r="A25" s="4">
        <v>2015</v>
      </c>
      <c r="B25" s="73">
        <v>10000</v>
      </c>
      <c r="C25" s="73">
        <f t="shared" si="0"/>
        <v>10000</v>
      </c>
    </row>
    <row r="26" spans="1:3" ht="16.2" thickBot="1">
      <c r="A26" s="4">
        <v>2016</v>
      </c>
      <c r="B26" s="73">
        <v>10000</v>
      </c>
      <c r="C26" s="73">
        <f t="shared" si="0"/>
        <v>10000</v>
      </c>
    </row>
    <row r="27" spans="1:3" ht="15.6">
      <c r="A27" s="4">
        <v>2017</v>
      </c>
    </row>
    <row r="28" spans="1:3" ht="31.8" thickBot="1">
      <c r="A28" s="288" t="s">
        <v>688</v>
      </c>
    </row>
    <row r="29" spans="1:3" ht="15" thickBot="1">
      <c r="A29" t="s">
        <v>682</v>
      </c>
      <c r="B29" s="289">
        <v>10000</v>
      </c>
    </row>
    <row r="30" spans="1:3">
      <c r="A30" t="s">
        <v>691</v>
      </c>
    </row>
    <row r="31" spans="1:3" ht="15" thickBot="1">
      <c r="B31" s="329" t="s">
        <v>98</v>
      </c>
      <c r="C31" s="329"/>
    </row>
    <row r="32" spans="1:3" ht="31.8" thickBot="1">
      <c r="A32" s="117" t="s">
        <v>97</v>
      </c>
      <c r="B32" s="257">
        <v>3.5</v>
      </c>
      <c r="C32" s="257">
        <v>3.5</v>
      </c>
    </row>
    <row r="33" spans="1:3" ht="15" thickBot="1">
      <c r="A33" s="5" t="s">
        <v>104</v>
      </c>
      <c r="B33" s="257">
        <v>1.2</v>
      </c>
      <c r="C33" s="257">
        <v>1.2</v>
      </c>
    </row>
    <row r="34" spans="1:3" s="265" customFormat="1" ht="15" thickBot="1">
      <c r="A34" s="5" t="s">
        <v>105</v>
      </c>
      <c r="B34" s="328" t="s">
        <v>99</v>
      </c>
      <c r="C34" s="328"/>
    </row>
    <row r="35" spans="1:3" ht="15" thickBot="1">
      <c r="A35" s="264"/>
      <c r="B35" s="257">
        <v>4</v>
      </c>
      <c r="C35" s="257">
        <f>B35</f>
        <v>4</v>
      </c>
    </row>
    <row r="36" spans="1:3" ht="15" thickBot="1">
      <c r="A36" s="5" t="s">
        <v>104</v>
      </c>
      <c r="B36" s="257">
        <v>1.7</v>
      </c>
      <c r="C36" s="257">
        <v>1.7</v>
      </c>
    </row>
    <row r="37" spans="1:3" ht="15" thickBot="1">
      <c r="A37" s="5" t="s">
        <v>105</v>
      </c>
      <c r="B37" s="328" t="s">
        <v>100</v>
      </c>
      <c r="C37" s="328"/>
    </row>
    <row r="38" spans="1:3" ht="15" thickBot="1">
      <c r="A38" s="5"/>
      <c r="B38" s="257">
        <v>4.5</v>
      </c>
      <c r="C38" s="257">
        <v>4.5</v>
      </c>
    </row>
    <row r="39" spans="1:3" ht="15" thickBot="1">
      <c r="A39" s="5" t="s">
        <v>104</v>
      </c>
      <c r="B39" s="257">
        <v>2.2000000000000002</v>
      </c>
      <c r="C39" s="257">
        <v>2.2000000000000002</v>
      </c>
    </row>
    <row r="40" spans="1:3" ht="15" thickBot="1">
      <c r="A40" s="5" t="s">
        <v>105</v>
      </c>
    </row>
    <row r="41" spans="1:3" ht="15" thickBot="1">
      <c r="A41" s="180" t="s">
        <v>682</v>
      </c>
      <c r="B41" s="291">
        <v>3.5</v>
      </c>
    </row>
    <row r="42" spans="1:3" ht="29.4" thickBot="1">
      <c r="A42" s="290" t="s">
        <v>692</v>
      </c>
      <c r="B42" s="291">
        <v>3</v>
      </c>
    </row>
    <row r="43" spans="1:3" ht="28.8">
      <c r="A43" s="290" t="s">
        <v>693</v>
      </c>
    </row>
    <row r="44" spans="1:3" ht="15" thickBot="1">
      <c r="B44" s="329" t="s">
        <v>98</v>
      </c>
      <c r="C44" s="329"/>
    </row>
    <row r="45" spans="1:3" ht="31.8" thickBot="1">
      <c r="A45" s="117" t="s">
        <v>127</v>
      </c>
      <c r="B45" s="258">
        <v>250</v>
      </c>
      <c r="C45" s="258">
        <f>B45</f>
        <v>250</v>
      </c>
    </row>
    <row r="46" spans="1:3" ht="15" thickBot="1">
      <c r="A46" s="5" t="s">
        <v>123</v>
      </c>
      <c r="B46" s="256">
        <f>700</f>
        <v>700</v>
      </c>
      <c r="C46" s="256">
        <f>700</f>
        <v>700</v>
      </c>
    </row>
    <row r="47" spans="1:3" ht="15" thickBot="1">
      <c r="A47" s="5" t="s">
        <v>124</v>
      </c>
      <c r="B47" s="328" t="s">
        <v>99</v>
      </c>
      <c r="C47" s="328"/>
    </row>
    <row r="48" spans="1:3" ht="15" thickBot="1">
      <c r="A48" s="5"/>
      <c r="B48" s="256">
        <f>220</f>
        <v>220</v>
      </c>
      <c r="C48" s="256">
        <f>B48</f>
        <v>220</v>
      </c>
    </row>
    <row r="49" spans="1:4" ht="15" thickBot="1">
      <c r="A49" s="5" t="s">
        <v>123</v>
      </c>
      <c r="B49" s="256">
        <f>550</f>
        <v>550</v>
      </c>
      <c r="C49" s="256">
        <f>B49</f>
        <v>550</v>
      </c>
    </row>
    <row r="50" spans="1:4" ht="15" thickBot="1">
      <c r="A50" s="5" t="s">
        <v>124</v>
      </c>
      <c r="B50" s="328" t="s">
        <v>100</v>
      </c>
      <c r="C50" s="328"/>
    </row>
    <row r="51" spans="1:4" ht="15" thickBot="1">
      <c r="A51" s="5"/>
      <c r="B51" s="256">
        <f>180</f>
        <v>180</v>
      </c>
      <c r="C51" s="256">
        <f>180</f>
        <v>180</v>
      </c>
    </row>
    <row r="52" spans="1:4" ht="15" thickBot="1">
      <c r="A52" s="5" t="s">
        <v>123</v>
      </c>
      <c r="B52" s="256">
        <v>400</v>
      </c>
      <c r="C52" s="256">
        <f>B52</f>
        <v>400</v>
      </c>
    </row>
    <row r="53" spans="1:4" ht="15" thickBot="1">
      <c r="A53" s="5" t="s">
        <v>124</v>
      </c>
    </row>
    <row r="54" spans="1:4" ht="15" thickBot="1">
      <c r="A54" s="180" t="s">
        <v>682</v>
      </c>
      <c r="B54" s="292">
        <v>210</v>
      </c>
    </row>
    <row r="55" spans="1:4" ht="29.4" thickBot="1">
      <c r="A55" s="290" t="s">
        <v>695</v>
      </c>
      <c r="B55" s="292">
        <v>190</v>
      </c>
    </row>
    <row r="56" spans="1:4" ht="29.4" thickBot="1">
      <c r="A56" s="290" t="s">
        <v>694</v>
      </c>
      <c r="B56" s="292">
        <v>500</v>
      </c>
    </row>
    <row r="57" spans="1:4" ht="29.4" thickBot="1">
      <c r="A57" s="290" t="s">
        <v>696</v>
      </c>
      <c r="B57" s="292">
        <v>450</v>
      </c>
    </row>
    <row r="58" spans="1:4" ht="28.8">
      <c r="A58" s="290" t="s">
        <v>697</v>
      </c>
    </row>
    <row r="59" spans="1:4" ht="15" thickBot="1">
      <c r="B59" s="20"/>
    </row>
    <row r="60" spans="1:4" ht="16.2" thickBot="1">
      <c r="A60" s="117" t="s">
        <v>698</v>
      </c>
      <c r="B60" s="76" t="s">
        <v>99</v>
      </c>
      <c r="C60" s="76" t="s">
        <v>99</v>
      </c>
      <c r="D60" s="293"/>
    </row>
    <row r="61" spans="1:4" ht="15" thickBot="1">
      <c r="A61" s="32">
        <v>2013</v>
      </c>
      <c r="B61" s="76" t="s">
        <v>99</v>
      </c>
      <c r="C61" s="76" t="s">
        <v>99</v>
      </c>
      <c r="D61" s="293"/>
    </row>
    <row r="62" spans="1:4" ht="15" thickBot="1">
      <c r="A62" s="32">
        <v>2014</v>
      </c>
      <c r="B62" s="76" t="s">
        <v>99</v>
      </c>
      <c r="C62" s="76" t="s">
        <v>99</v>
      </c>
      <c r="D62" s="293"/>
    </row>
    <row r="63" spans="1:4" ht="15" thickBot="1">
      <c r="A63" s="32">
        <v>2015</v>
      </c>
      <c r="B63" s="76" t="s">
        <v>99</v>
      </c>
      <c r="C63" s="76" t="s">
        <v>99</v>
      </c>
      <c r="D63" s="293"/>
    </row>
    <row r="64" spans="1:4" ht="15" thickBot="1">
      <c r="A64" s="32">
        <v>2016</v>
      </c>
      <c r="B64" s="76" t="s">
        <v>99</v>
      </c>
      <c r="C64" s="76" t="s">
        <v>99</v>
      </c>
      <c r="D64" s="293"/>
    </row>
    <row r="65" spans="1:3" ht="15" thickBot="1">
      <c r="A65" s="32">
        <v>2017</v>
      </c>
    </row>
    <row r="66" spans="1:3" ht="15" thickBot="1">
      <c r="A66" s="180" t="s">
        <v>682</v>
      </c>
      <c r="B66" s="292" t="s">
        <v>98</v>
      </c>
    </row>
    <row r="67" spans="1:3" ht="29.4" thickBot="1">
      <c r="A67" s="290" t="s">
        <v>699</v>
      </c>
      <c r="B67" s="292" t="s">
        <v>100</v>
      </c>
    </row>
    <row r="68" spans="1:3" ht="28.8">
      <c r="A68" s="290" t="s">
        <v>700</v>
      </c>
    </row>
    <row r="69" spans="1:3" ht="15" thickBot="1"/>
    <row r="70" spans="1:3" ht="16.2" thickBot="1">
      <c r="A70" s="277" t="s">
        <v>701</v>
      </c>
      <c r="B70" s="87">
        <v>5</v>
      </c>
      <c r="C70" s="87">
        <f>B70</f>
        <v>5</v>
      </c>
    </row>
    <row r="71" spans="1:3" s="265" customFormat="1" ht="29.4" thickBot="1">
      <c r="A71" s="102" t="s">
        <v>204</v>
      </c>
      <c r="B71" s="294"/>
      <c r="C71" s="294"/>
    </row>
    <row r="72" spans="1:3" ht="31.8" thickBot="1">
      <c r="A72" s="288" t="s">
        <v>702</v>
      </c>
      <c r="B72" s="87">
        <v>15</v>
      </c>
      <c r="C72" s="87">
        <f>B72</f>
        <v>15</v>
      </c>
    </row>
    <row r="73" spans="1:3" ht="29.4" thickBot="1">
      <c r="A73" s="102" t="s">
        <v>205</v>
      </c>
    </row>
    <row r="74" spans="1:3" ht="15" thickBot="1">
      <c r="A74" s="180" t="s">
        <v>682</v>
      </c>
      <c r="B74" s="292">
        <v>8</v>
      </c>
    </row>
    <row r="75" spans="1:3" ht="29.4" thickBot="1">
      <c r="A75" s="290" t="s">
        <v>703</v>
      </c>
      <c r="B75" s="292">
        <v>5</v>
      </c>
    </row>
    <row r="76" spans="1:3" ht="29.4" thickBot="1">
      <c r="A76" s="290" t="s">
        <v>704</v>
      </c>
    </row>
    <row r="77" spans="1:3" ht="15" thickBot="1">
      <c r="B77" s="72">
        <v>0.1</v>
      </c>
      <c r="C77" s="72">
        <f>B77</f>
        <v>0.1</v>
      </c>
    </row>
    <row r="78" spans="1:3" ht="15.6">
      <c r="A78" s="117" t="s">
        <v>705</v>
      </c>
      <c r="B78" s="276"/>
    </row>
    <row r="79" spans="1:3" ht="46.8">
      <c r="A79" s="288" t="s">
        <v>706</v>
      </c>
    </row>
  </sheetData>
  <mergeCells count="6">
    <mergeCell ref="B50:C50"/>
    <mergeCell ref="B37:C37"/>
    <mergeCell ref="B34:C34"/>
    <mergeCell ref="B31:C31"/>
    <mergeCell ref="B44:C44"/>
    <mergeCell ref="B47:C4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 outlineLevelCol="1"/>
  <cols>
    <col min="1" max="1" width="79.44140625" style="49" customWidth="1"/>
    <col min="2" max="5" width="18.77734375" style="2" customWidth="1" outlineLevel="1"/>
    <col min="6" max="6" width="18.77734375" style="2" customWidth="1"/>
    <col min="7" max="10" width="18.77734375" style="2" customWidth="1" outlineLevel="1"/>
    <col min="11" max="11" width="18.77734375" style="2" customWidth="1"/>
    <col min="12" max="15" width="18.77734375" style="2" customWidth="1" outlineLevel="1"/>
    <col min="16" max="16" width="18.77734375" style="2" customWidth="1"/>
    <col min="17" max="20" width="18.77734375" style="2" customWidth="1" outlineLevel="1"/>
    <col min="21" max="21" width="18.77734375" style="2" customWidth="1"/>
    <col min="22" max="25" width="18.77734375" style="2" customWidth="1" outlineLevel="1"/>
    <col min="26" max="32" width="18.77734375" style="2" customWidth="1"/>
    <col min="33" max="16384" width="8.88671875" style="2"/>
  </cols>
  <sheetData>
    <row r="1" spans="1:31" ht="14.4">
      <c r="A1" s="303" t="s">
        <v>740</v>
      </c>
    </row>
    <row r="2" spans="1:31" ht="21">
      <c r="A2" s="92" t="s">
        <v>631</v>
      </c>
    </row>
    <row r="3" spans="1:31" ht="21">
      <c r="A3" s="92" t="s">
        <v>550</v>
      </c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</row>
    <row r="7" spans="1:31" s="1" customFormat="1" ht="15.6">
      <c r="A7" s="1" t="s">
        <v>446</v>
      </c>
      <c r="B7" s="42">
        <f t="shared" ref="B7:G7" si="0">SUM(B8:B9)</f>
        <v>4594590</v>
      </c>
      <c r="C7" s="42">
        <f t="shared" si="0"/>
        <v>1531530</v>
      </c>
      <c r="D7" s="42">
        <f t="shared" si="0"/>
        <v>52169832</v>
      </c>
      <c r="E7" s="42">
        <f t="shared" si="0"/>
        <v>26060463</v>
      </c>
      <c r="F7" s="42">
        <f>SUM(F8:F9)</f>
        <v>84356415</v>
      </c>
      <c r="G7" s="42">
        <f t="shared" si="0"/>
        <v>4778373.6000000006</v>
      </c>
      <c r="H7" s="42">
        <f t="shared" ref="H7" si="1">SUM(H8:H9)</f>
        <v>1592791.2000000004</v>
      </c>
      <c r="I7" s="42">
        <f t="shared" ref="I7" si="2">SUM(I8:I9)</f>
        <v>53428981.32</v>
      </c>
      <c r="J7" s="42">
        <f t="shared" ref="J7" si="3">SUM(J8:J9)</f>
        <v>26895970.530000001</v>
      </c>
      <c r="K7" s="42">
        <f>K8+K9</f>
        <v>86696116.650000006</v>
      </c>
      <c r="L7" s="42">
        <f t="shared" ref="L7:O7" si="4">L8+L9</f>
        <v>5963410.2528000018</v>
      </c>
      <c r="M7" s="42">
        <f t="shared" si="4"/>
        <v>1987803.4176000007</v>
      </c>
      <c r="N7" s="42">
        <f t="shared" si="4"/>
        <v>66860065.91979</v>
      </c>
      <c r="O7" s="42">
        <f t="shared" si="4"/>
        <v>33611345.529547505</v>
      </c>
      <c r="P7" s="42">
        <f>P8+P9</f>
        <v>108422625.11973751</v>
      </c>
      <c r="Q7" s="42">
        <f t="shared" ref="Q7:T7" si="5">Q8+Q9</f>
        <v>6718775.5514880009</v>
      </c>
      <c r="R7" s="42">
        <f t="shared" si="5"/>
        <v>2239591.8504960006</v>
      </c>
      <c r="S7" s="42">
        <f t="shared" si="5"/>
        <v>75058801.821818084</v>
      </c>
      <c r="T7" s="42">
        <f t="shared" si="5"/>
        <v>37801231.184670523</v>
      </c>
      <c r="U7" s="42">
        <f>U8+U9</f>
        <v>121818400.40847263</v>
      </c>
      <c r="V7" s="42">
        <f t="shared" ref="V7:Y7" si="6">V8+V9</f>
        <v>7525028.6176665621</v>
      </c>
      <c r="W7" s="42">
        <f t="shared" si="6"/>
        <v>2508342.8725555209</v>
      </c>
      <c r="X7" s="42">
        <f t="shared" si="6"/>
        <v>84099858.687935561</v>
      </c>
      <c r="Y7" s="42">
        <f t="shared" si="6"/>
        <v>42345879.088705815</v>
      </c>
      <c r="Z7" s="42">
        <f>Z8+Z9</f>
        <v>136479109.26686347</v>
      </c>
      <c r="AA7" s="42">
        <f>'Pr P&amp;L proj'!J6</f>
        <v>141506712.37845924</v>
      </c>
      <c r="AB7" s="42">
        <f>'Pr P&amp;L proj'!K6</f>
        <v>146720314.97045109</v>
      </c>
      <c r="AC7" s="42">
        <f>'Pr P&amp;L proj'!L6</f>
        <v>152126828.35951245</v>
      </c>
      <c r="AD7" s="42">
        <f>'Pr P&amp;L proj'!M6</f>
        <v>157733421.81179482</v>
      </c>
      <c r="AE7" s="42">
        <f>'Pr P&amp;L proj'!N6</f>
        <v>163547532.21329504</v>
      </c>
    </row>
    <row r="8" spans="1:31" s="47" customFormat="1" ht="14.4">
      <c r="A8" s="47" t="s">
        <v>605</v>
      </c>
      <c r="B8" s="125">
        <f>Предположения!C233*$F$8</f>
        <v>0</v>
      </c>
      <c r="C8" s="125">
        <f>Предположения!D233*$F$8</f>
        <v>0</v>
      </c>
      <c r="D8" s="125">
        <f>Предположения!E233*$F$8</f>
        <v>42980652</v>
      </c>
      <c r="E8" s="125">
        <f>Предположения!F233*$F$8</f>
        <v>10745163</v>
      </c>
      <c r="F8" s="125">
        <f>'Pr P&amp;L proj'!E7</f>
        <v>53725815</v>
      </c>
      <c r="G8" s="125">
        <f>Предположения!C233*$K$8</f>
        <v>0</v>
      </c>
      <c r="H8" s="125">
        <f>Предположения!D233*$K$8</f>
        <v>0</v>
      </c>
      <c r="I8" s="125">
        <f>Предположения!E233*$K$8</f>
        <v>43872234.119999997</v>
      </c>
      <c r="J8" s="125">
        <f>Предположения!F233*$K$8</f>
        <v>10968058.529999999</v>
      </c>
      <c r="K8" s="125">
        <f>'Pr P&amp;L proj'!F7</f>
        <v>54840292.649999991</v>
      </c>
      <c r="L8" s="125">
        <f>Предположения!C233*$P$8</f>
        <v>0</v>
      </c>
      <c r="M8" s="125">
        <f>Предположения!D233*$P$8</f>
        <v>0</v>
      </c>
      <c r="N8" s="125">
        <f>Предположения!E233*$P$8</f>
        <v>54933245.414189994</v>
      </c>
      <c r="O8" s="125">
        <f>Предположения!F233*$P$8</f>
        <v>13733311.353547499</v>
      </c>
      <c r="P8" s="125">
        <f>'Pr P&amp;L proj'!G7</f>
        <v>68666556.767737493</v>
      </c>
      <c r="Q8" s="125">
        <f>Предположения!C233*$U$8</f>
        <v>0</v>
      </c>
      <c r="R8" s="125">
        <f>Предположения!D233*$U$8</f>
        <v>0</v>
      </c>
      <c r="S8" s="125">
        <f>Предположения!E233*$U$8</f>
        <v>61621250.718842089</v>
      </c>
      <c r="T8" s="125">
        <f>Предположения!F233*$U$8</f>
        <v>15405312.679710522</v>
      </c>
      <c r="U8" s="125">
        <f>'Pr P&amp;L proj'!H7</f>
        <v>77026563.398552611</v>
      </c>
      <c r="V8" s="125">
        <f>Предположения!C233*$Z$8</f>
        <v>0</v>
      </c>
      <c r="W8" s="125">
        <f>Предположения!D233*$Z$8</f>
        <v>0</v>
      </c>
      <c r="X8" s="125">
        <f>Предположения!E233*$Z$8</f>
        <v>69049801.452602431</v>
      </c>
      <c r="Y8" s="125">
        <f>Предположения!F233*$Z$8</f>
        <v>17262450.363150608</v>
      </c>
      <c r="Z8" s="125">
        <f>'Pr P&amp;L proj'!I7</f>
        <v>86312251.815753043</v>
      </c>
      <c r="AA8" s="125">
        <f>'Pr P&amp;L proj'!J7</f>
        <v>89333180.629304409</v>
      </c>
      <c r="AB8" s="125">
        <f>'Pr P&amp;L proj'!K7</f>
        <v>92459841.951330066</v>
      </c>
      <c r="AC8" s="125">
        <f>'Pr P&amp;L proj'!L7</f>
        <v>95695936.419626594</v>
      </c>
      <c r="AD8" s="125">
        <f>'Pr P&amp;L proj'!M7</f>
        <v>99045294.194313511</v>
      </c>
      <c r="AE8" s="125">
        <f>'Pr P&amp;L proj'!N7</f>
        <v>102511879.49111448</v>
      </c>
    </row>
    <row r="9" spans="1:31" s="47" customFormat="1" ht="14.4">
      <c r="A9" s="47" t="s">
        <v>606</v>
      </c>
      <c r="B9" s="125">
        <f>Предположения!C234*$F$9</f>
        <v>4594590</v>
      </c>
      <c r="C9" s="125">
        <f>Предположения!D234*$F$9</f>
        <v>1531530</v>
      </c>
      <c r="D9" s="125">
        <f>Предположения!E234*$F$9</f>
        <v>9189180</v>
      </c>
      <c r="E9" s="125">
        <f>Предположения!F234*$F$9</f>
        <v>15315300</v>
      </c>
      <c r="F9" s="125">
        <f>'Pr P&amp;L proj'!E8</f>
        <v>30630600</v>
      </c>
      <c r="G9" s="125">
        <f>Предположения!C234*$K$9</f>
        <v>4778373.6000000006</v>
      </c>
      <c r="H9" s="125">
        <f>Предположения!D234*$K$9</f>
        <v>1592791.2000000004</v>
      </c>
      <c r="I9" s="125">
        <f>Предположения!E234*$K$9</f>
        <v>9556747.2000000011</v>
      </c>
      <c r="J9" s="125">
        <f>Предположения!F234*$K$9</f>
        <v>15927912.000000004</v>
      </c>
      <c r="K9" s="125">
        <f>'Pr P&amp;L proj'!F8</f>
        <v>31855824.000000007</v>
      </c>
      <c r="L9" s="125">
        <f>Предположения!C234*$P$9</f>
        <v>5963410.2528000018</v>
      </c>
      <c r="M9" s="125">
        <f>Предположения!D234*$P$9</f>
        <v>1987803.4176000007</v>
      </c>
      <c r="N9" s="125">
        <f>Предположения!E234*$P$9</f>
        <v>11926820.505600004</v>
      </c>
      <c r="O9" s="125">
        <f>Предположения!F234*$P$9</f>
        <v>19878034.176000006</v>
      </c>
      <c r="P9" s="125">
        <f>'Pr P&amp;L proj'!G8</f>
        <v>39756068.352000013</v>
      </c>
      <c r="Q9" s="125">
        <f>Предположения!C234*$U$9</f>
        <v>6718775.5514880009</v>
      </c>
      <c r="R9" s="125">
        <f>Предположения!D234*$U$9</f>
        <v>2239591.8504960006</v>
      </c>
      <c r="S9" s="125">
        <f>Предположения!E234*$U$9</f>
        <v>13437551.102976002</v>
      </c>
      <c r="T9" s="125">
        <f>Предположения!F234*$U$9</f>
        <v>22395918.504960004</v>
      </c>
      <c r="U9" s="125">
        <f>'Pr P&amp;L proj'!H8</f>
        <v>44791837.009920008</v>
      </c>
      <c r="V9" s="125">
        <f>Предположения!C234*$Z$9</f>
        <v>7525028.6176665621</v>
      </c>
      <c r="W9" s="125">
        <f>Предположения!D234*$Z$9</f>
        <v>2508342.8725555209</v>
      </c>
      <c r="X9" s="125">
        <f>Предположения!E234*$Z$9</f>
        <v>15050057.235333124</v>
      </c>
      <c r="Y9" s="125">
        <f>Предположения!F234*$Z$9</f>
        <v>25083428.725555208</v>
      </c>
      <c r="Z9" s="125">
        <f>'Pr P&amp;L proj'!I8</f>
        <v>50166857.451110415</v>
      </c>
      <c r="AA9" s="125">
        <f>'Pr P&amp;L proj'!J8</f>
        <v>52173531.749154828</v>
      </c>
      <c r="AB9" s="125">
        <f>'Pr P&amp;L proj'!K8</f>
        <v>54260473.019121021</v>
      </c>
      <c r="AC9" s="125">
        <f>'Pr P&amp;L proj'!L8</f>
        <v>56430891.93988587</v>
      </c>
      <c r="AD9" s="125">
        <f>'Pr P&amp;L proj'!M8</f>
        <v>58688127.617481314</v>
      </c>
      <c r="AE9" s="125">
        <f>'Pr P&amp;L proj'!N8</f>
        <v>61035652.72218056</v>
      </c>
    </row>
    <row r="10" spans="1:31" s="1" customFormat="1" ht="15.6">
      <c r="A10" s="1" t="s">
        <v>665</v>
      </c>
      <c r="B10" s="42">
        <f t="shared" ref="B10:E10" si="7">SUM(B11:B24)</f>
        <v>-17383463.772981811</v>
      </c>
      <c r="C10" s="42">
        <f t="shared" si="7"/>
        <v>-11018361.190937815</v>
      </c>
      <c r="D10" s="42">
        <f t="shared" si="7"/>
        <v>-26663248.762755007</v>
      </c>
      <c r="E10" s="42">
        <f t="shared" si="7"/>
        <v>-18426024.879019611</v>
      </c>
      <c r="F10" s="42">
        <f t="shared" ref="F10:AE10" si="8">SUM(F11:F24)</f>
        <v>-73491098.605694234</v>
      </c>
      <c r="G10" s="42">
        <f t="shared" si="8"/>
        <v>-18374211.436147053</v>
      </c>
      <c r="H10" s="42">
        <f t="shared" ref="H10:J10" si="9">SUM(H11:H24)</f>
        <v>-11616364.623033991</v>
      </c>
      <c r="I10" s="42">
        <f t="shared" si="9"/>
        <v>-26994718.451295443</v>
      </c>
      <c r="J10" s="42">
        <f t="shared" si="9"/>
        <v>-19159484.120091226</v>
      </c>
      <c r="K10" s="42">
        <f t="shared" si="8"/>
        <v>-76144778.630567715</v>
      </c>
      <c r="L10" s="42">
        <f t="shared" si="8"/>
        <v>-19548661.916137531</v>
      </c>
      <c r="M10" s="42">
        <f t="shared" si="8"/>
        <v>-12385981.076852161</v>
      </c>
      <c r="N10" s="42">
        <f t="shared" si="8"/>
        <v>-33917348.817008592</v>
      </c>
      <c r="O10" s="42">
        <f t="shared" si="8"/>
        <v>-21259970.576286092</v>
      </c>
      <c r="P10" s="42">
        <f t="shared" si="8"/>
        <v>-87111962.386284381</v>
      </c>
      <c r="Q10" s="42">
        <f t="shared" si="8"/>
        <v>-20651984.921157066</v>
      </c>
      <c r="R10" s="42">
        <f t="shared" si="8"/>
        <v>-13072588.624085713</v>
      </c>
      <c r="S10" s="42">
        <f t="shared" si="8"/>
        <v>-37855665.205403462</v>
      </c>
      <c r="T10" s="42">
        <f t="shared" si="8"/>
        <v>-22690657.113535713</v>
      </c>
      <c r="U10" s="42">
        <f t="shared" si="8"/>
        <v>-94270895.864181966</v>
      </c>
      <c r="V10" s="42">
        <f t="shared" si="8"/>
        <v>-21767874.759885319</v>
      </c>
      <c r="W10" s="42">
        <f t="shared" si="8"/>
        <v>-13759843.331874412</v>
      </c>
      <c r="X10" s="42">
        <f t="shared" si="8"/>
        <v>-41637967.544902906</v>
      </c>
      <c r="Y10" s="42">
        <f t="shared" si="8"/>
        <v>-24136501.394942608</v>
      </c>
      <c r="Z10" s="42">
        <f t="shared" si="8"/>
        <v>-101302187.03160523</v>
      </c>
      <c r="AA10" s="42">
        <f t="shared" si="8"/>
        <v>-104134339.4955925</v>
      </c>
      <c r="AB10" s="42">
        <f t="shared" si="8"/>
        <v>-106840445.25307043</v>
      </c>
      <c r="AC10" s="42">
        <f t="shared" si="8"/>
        <v>-109674062.22958593</v>
      </c>
      <c r="AD10" s="42">
        <f t="shared" si="8"/>
        <v>-112221974.9298097</v>
      </c>
      <c r="AE10" s="42">
        <f t="shared" si="8"/>
        <v>-114710602.23136383</v>
      </c>
    </row>
    <row r="11" spans="1:31" s="47" customFormat="1" ht="14.4">
      <c r="A11" s="47" t="s">
        <v>445</v>
      </c>
      <c r="B11" s="125">
        <f>$F$11*Предположения!C235</f>
        <v>-14508964.494487999</v>
      </c>
      <c r="C11" s="125">
        <f>$F$11*Предположения!D235</f>
        <v>-7254482.2472439995</v>
      </c>
      <c r="D11" s="125">
        <f>$F$11*Предположения!E235</f>
        <v>-3627241.1236219998</v>
      </c>
      <c r="E11" s="125">
        <f>$F$11*Предположения!F235</f>
        <v>-10881723.370865999</v>
      </c>
      <c r="F11" s="125">
        <f>'Pr P&amp;L proj'!E10</f>
        <v>-36272411.236219995</v>
      </c>
      <c r="G11" s="125">
        <f>$K$11*Предположения!C235</f>
        <v>-15392284.719798116</v>
      </c>
      <c r="H11" s="125">
        <f>$K$11*Предположения!D235</f>
        <v>-7696142.359899058</v>
      </c>
      <c r="I11" s="125">
        <f>$K$11*Предположения!E235</f>
        <v>-3848071.179949529</v>
      </c>
      <c r="J11" s="125">
        <f>$K$11*Предположения!F235</f>
        <v>-11544213.539848587</v>
      </c>
      <c r="K11" s="125">
        <f>'Pr P&amp;L proj'!F10</f>
        <v>-38480711.799495287</v>
      </c>
      <c r="L11" s="125">
        <f>$P$11*Предположения!C235</f>
        <v>-16295782.326821355</v>
      </c>
      <c r="M11" s="125">
        <f>$P$11*Предположения!D235</f>
        <v>-8147891.1634106776</v>
      </c>
      <c r="N11" s="125">
        <f>$P$11*Предположения!E235</f>
        <v>-4073945.5817053388</v>
      </c>
      <c r="O11" s="125">
        <f>$P$11*Предположения!F235</f>
        <v>-12221836.745116016</v>
      </c>
      <c r="P11" s="125">
        <f>'Pr P&amp;L proj'!G10</f>
        <v>-40739455.817053385</v>
      </c>
      <c r="Q11" s="125">
        <f>$U$11*Предположения!C235</f>
        <v>-17217882.171564586</v>
      </c>
      <c r="R11" s="125">
        <f>$U$11*Предположения!D235</f>
        <v>-8608941.0857822932</v>
      </c>
      <c r="S11" s="125">
        <f>$U$11*Предположения!E235</f>
        <v>-4304470.5428911466</v>
      </c>
      <c r="T11" s="125">
        <f>$U$11*Предположения!F235</f>
        <v>-12913411.628673438</v>
      </c>
      <c r="U11" s="125">
        <f>'Pr P&amp;L proj'!H10</f>
        <v>-43044705.428911462</v>
      </c>
      <c r="V11" s="125">
        <f>$Z$11*Предположения!C235</f>
        <v>-18157516.016540565</v>
      </c>
      <c r="W11" s="125">
        <f>$Z$11*Предположения!D235</f>
        <v>-9078758.0082702823</v>
      </c>
      <c r="X11" s="125">
        <f>$Z$11*Предположения!E235</f>
        <v>-4539379.0041351411</v>
      </c>
      <c r="Y11" s="125">
        <f>$Z$11*Предположения!F235</f>
        <v>-13618137.012405422</v>
      </c>
      <c r="Z11" s="125">
        <f>'Pr P&amp;L proj'!I10</f>
        <v>-45393790.041351408</v>
      </c>
      <c r="AA11" s="125">
        <f>'Pr P&amp;L proj'!J10</f>
        <v>-47785722.594303757</v>
      </c>
      <c r="AB11" s="125">
        <f>'Pr P&amp;L proj'!K10</f>
        <v>-50221638.457120448</v>
      </c>
      <c r="AC11" s="125">
        <f>'Pr P&amp;L proj'!L10</f>
        <v>-52705251.320644297</v>
      </c>
      <c r="AD11" s="125">
        <f>'Pr P&amp;L proj'!M10</f>
        <v>-55243320.56570328</v>
      </c>
      <c r="AE11" s="125">
        <f>'Pr P&amp;L proj'!N10</f>
        <v>-57846125.102610141</v>
      </c>
    </row>
    <row r="12" spans="1:31" s="47" customFormat="1" ht="14.4">
      <c r="A12" s="47" t="s">
        <v>383</v>
      </c>
      <c r="B12" s="125">
        <f>$F$12*Предположения!C237</f>
        <v>0</v>
      </c>
      <c r="C12" s="125">
        <f>$F$12*Предположения!D237</f>
        <v>0</v>
      </c>
      <c r="D12" s="125">
        <f>$F$12*Предположения!E237</f>
        <v>-4772544.0642702607</v>
      </c>
      <c r="E12" s="125">
        <f>$F$12*Предположения!F237</f>
        <v>-1193136.0160675652</v>
      </c>
      <c r="F12" s="125">
        <f>'Pr P&amp;L proj'!E16</f>
        <v>-5965680.0803378252</v>
      </c>
      <c r="G12" s="125">
        <f>$K$12*Предположения!C237</f>
        <v>0</v>
      </c>
      <c r="H12" s="125">
        <f>$K$12*Предположения!D237</f>
        <v>0</v>
      </c>
      <c r="I12" s="125">
        <f>$K$12*Предположения!E237</f>
        <v>-4481017.3030628124</v>
      </c>
      <c r="J12" s="125">
        <f>$K$12*Предположения!F237</f>
        <v>-1120254.3257657031</v>
      </c>
      <c r="K12" s="125">
        <f>'Pr P&amp;L proj'!F16</f>
        <v>-5601271.6288285153</v>
      </c>
      <c r="L12" s="125">
        <f>$P$12*Предположения!C237</f>
        <v>0</v>
      </c>
      <c r="M12" s="125">
        <f>$P$12*Предположения!D237</f>
        <v>0</v>
      </c>
      <c r="N12" s="125">
        <f>$P$12*Предположения!E237</f>
        <v>-5813852.9880867908</v>
      </c>
      <c r="O12" s="125">
        <f>$P$12*Предположения!F237</f>
        <v>-1453463.2470216977</v>
      </c>
      <c r="P12" s="125">
        <f>'Pr P&amp;L proj'!G16</f>
        <v>-7267316.2351084882</v>
      </c>
      <c r="Q12" s="125">
        <f>$U$12*Предположения!C237</f>
        <v>0</v>
      </c>
      <c r="R12" s="125">
        <f>$U$12*Предположения!D237</f>
        <v>0</v>
      </c>
      <c r="S12" s="125">
        <f>$U$12*Предположения!E237</f>
        <v>-6319843.6607670216</v>
      </c>
      <c r="T12" s="125">
        <f>$U$12*Предположения!F237</f>
        <v>-1579960.9151917554</v>
      </c>
      <c r="U12" s="125">
        <f>'Pr P&amp;L proj'!H16</f>
        <v>-7899804.5759587763</v>
      </c>
      <c r="V12" s="125">
        <f>$Z$12*Предположения!C237</f>
        <v>0</v>
      </c>
      <c r="W12" s="125">
        <f>$Z$12*Предположения!D237</f>
        <v>0</v>
      </c>
      <c r="X12" s="125">
        <f>$Z$12*Предположения!E237</f>
        <v>-6806614.7906254521</v>
      </c>
      <c r="Y12" s="125">
        <f>$Z$12*Предположения!F237</f>
        <v>-1701653.697656363</v>
      </c>
      <c r="Z12" s="125">
        <f>'Pr P&amp;L proj'!I16</f>
        <v>-8508268.4882818144</v>
      </c>
      <c r="AA12" s="125">
        <f>'Pr P&amp;L proj'!J16</f>
        <v>-8015222.5898407251</v>
      </c>
      <c r="AB12" s="125">
        <f>'Pr P&amp;L proj'!K16</f>
        <v>-7480874.417184677</v>
      </c>
      <c r="AC12" s="125">
        <f>'Pr P&amp;L proj'!L16</f>
        <v>-6912805.2433415959</v>
      </c>
      <c r="AD12" s="125">
        <f>'Pr P&amp;L proj'!M16</f>
        <v>-6319099.042457141</v>
      </c>
      <c r="AE12" s="125">
        <f>'Pr P&amp;L proj'!N16</f>
        <v>-5708150.5508927172</v>
      </c>
    </row>
    <row r="13" spans="1:31" s="47" customFormat="1" ht="14.4">
      <c r="A13" s="47" t="s">
        <v>384</v>
      </c>
      <c r="B13" s="125">
        <f>$F$13*Предположения!C236</f>
        <v>-684138.20400000003</v>
      </c>
      <c r="C13" s="125">
        <f>$F$13*Предположения!D236</f>
        <v>-1368276.4080000001</v>
      </c>
      <c r="D13" s="125">
        <f>$F$13*Предположения!E236</f>
        <v>-1824368.5440000002</v>
      </c>
      <c r="E13" s="125">
        <f>$F$13*Предположения!F236</f>
        <v>-684138.20400000003</v>
      </c>
      <c r="F13" s="125">
        <f>'Pr P&amp;L proj'!E17</f>
        <v>-4560921.3600000003</v>
      </c>
      <c r="G13" s="125">
        <f>$K$13*Предположения!C236</f>
        <v>-721765.8052200001</v>
      </c>
      <c r="H13" s="125">
        <f>$K$13*Предположения!D236</f>
        <v>-1443531.6104400002</v>
      </c>
      <c r="I13" s="125">
        <f>$K$13*Предположения!E236</f>
        <v>-1924708.8139200003</v>
      </c>
      <c r="J13" s="125">
        <f>$K$13*Предположения!F236</f>
        <v>-721765.8052200001</v>
      </c>
      <c r="K13" s="125">
        <f>'Pr P&amp;L proj'!F17</f>
        <v>-4811772.0348000005</v>
      </c>
      <c r="L13" s="125">
        <f>$P$13*Предположения!C236</f>
        <v>-757854.09548100003</v>
      </c>
      <c r="M13" s="125">
        <f>$P$13*Предположения!D236</f>
        <v>-1515708.1909620001</v>
      </c>
      <c r="N13" s="125">
        <f>$P$13*Предположения!E236</f>
        <v>-2020944.2546160002</v>
      </c>
      <c r="O13" s="125">
        <f>$P$13*Предположения!F236</f>
        <v>-757854.09548100003</v>
      </c>
      <c r="P13" s="125">
        <f>'Pr P&amp;L proj'!G17</f>
        <v>-5052360.6365400003</v>
      </c>
      <c r="Q13" s="125">
        <f>$U$13*Предположения!C236</f>
        <v>-791957.5297776449</v>
      </c>
      <c r="R13" s="125">
        <f>$U$13*Предположения!D236</f>
        <v>-1583915.0595552898</v>
      </c>
      <c r="S13" s="125">
        <f>$U$13*Предположения!E236</f>
        <v>-2111886.74607372</v>
      </c>
      <c r="T13" s="125">
        <f>$U$13*Предположения!F236</f>
        <v>-791957.5297776449</v>
      </c>
      <c r="U13" s="125">
        <f>'Pr P&amp;L proj'!H17</f>
        <v>-5279716.8651842996</v>
      </c>
      <c r="V13" s="125">
        <f>$Z$13*Предположения!C236</f>
        <v>-823635.83096875076</v>
      </c>
      <c r="W13" s="125">
        <f>$Z$13*Предположения!D236</f>
        <v>-1647271.6619375015</v>
      </c>
      <c r="X13" s="125">
        <f>$Z$13*Предположения!E236</f>
        <v>-2196362.2159166685</v>
      </c>
      <c r="Y13" s="125">
        <f>$Z$13*Предположения!F236</f>
        <v>-823635.83096875076</v>
      </c>
      <c r="Z13" s="125">
        <f>'Pr P&amp;L proj'!I17</f>
        <v>-5490905.5397916716</v>
      </c>
      <c r="AA13" s="125">
        <f>'Pr P&amp;L proj'!J17</f>
        <v>-5683087.2336843796</v>
      </c>
      <c r="AB13" s="125">
        <f>'Pr P&amp;L proj'!K17</f>
        <v>-5853579.8506949116</v>
      </c>
      <c r="AC13" s="125">
        <f>'Pr P&amp;L proj'!L17</f>
        <v>-5999919.3469622834</v>
      </c>
      <c r="AD13" s="125">
        <f>'Pr P&amp;L proj'!M17</f>
        <v>-6119917.7339015296</v>
      </c>
      <c r="AE13" s="125">
        <f>'Pr P&amp;L proj'!N17</f>
        <v>-6211716.4999100529</v>
      </c>
    </row>
    <row r="14" spans="1:31" s="47" customFormat="1" ht="14.4">
      <c r="A14" s="47" t="s">
        <v>385</v>
      </c>
      <c r="B14" s="125">
        <f>$F$14*Предположения!C236</f>
        <v>-205241.46119999999</v>
      </c>
      <c r="C14" s="125">
        <f>$F$14*Предположения!D236</f>
        <v>-410482.92239999998</v>
      </c>
      <c r="D14" s="125">
        <f>$F$14*Предположения!E236</f>
        <v>-547310.56320000009</v>
      </c>
      <c r="E14" s="125">
        <f>$F$14*Предположения!F236</f>
        <v>-205241.46119999999</v>
      </c>
      <c r="F14" s="125">
        <f>'Pr P&amp;L proj'!E18</f>
        <v>-1368276.4080000001</v>
      </c>
      <c r="G14" s="125">
        <f>$K$14*Предположения!C236</f>
        <v>-216529.74156600001</v>
      </c>
      <c r="H14" s="125">
        <f>$K$14*Предположения!D236</f>
        <v>-433059.48313200002</v>
      </c>
      <c r="I14" s="125">
        <f>$K$14*Предположения!E236</f>
        <v>-577412.64417600015</v>
      </c>
      <c r="J14" s="125">
        <f>$K$14*Предположения!F236</f>
        <v>-216529.74156600001</v>
      </c>
      <c r="K14" s="125">
        <f>'Pr P&amp;L proj'!F18</f>
        <v>-1443531.6104400002</v>
      </c>
      <c r="L14" s="125">
        <f>$P$14*Предположения!C236</f>
        <v>-227356.22864429999</v>
      </c>
      <c r="M14" s="125">
        <f>$P$14*Предположения!D236</f>
        <v>-454712.45728859998</v>
      </c>
      <c r="N14" s="125">
        <f>$P$14*Предположения!E236</f>
        <v>-606283.27638480009</v>
      </c>
      <c r="O14" s="125">
        <f>$P$14*Предположения!F236</f>
        <v>-227356.22864429999</v>
      </c>
      <c r="P14" s="125">
        <f>'Pr P&amp;L proj'!G18</f>
        <v>-1515708.1909620001</v>
      </c>
      <c r="Q14" s="125">
        <f>$U$14*Предположения!C236</f>
        <v>-237587.25893329346</v>
      </c>
      <c r="R14" s="125">
        <f>$U$14*Предположения!D236</f>
        <v>-475174.51786658692</v>
      </c>
      <c r="S14" s="125">
        <f>$U$14*Предположения!E236</f>
        <v>-633566.02382211597</v>
      </c>
      <c r="T14" s="125">
        <f>$U$14*Предположения!F236</f>
        <v>-237587.25893329346</v>
      </c>
      <c r="U14" s="125">
        <f>'Pr P&amp;L proj'!H18</f>
        <v>-1583915.0595552898</v>
      </c>
      <c r="V14" s="125">
        <f>$Z$14*Предположения!C236</f>
        <v>-247090.74929062522</v>
      </c>
      <c r="W14" s="125">
        <f>$Z$14*Предположения!D236</f>
        <v>-494181.49858125043</v>
      </c>
      <c r="X14" s="125">
        <f>$Z$14*Предположения!E236</f>
        <v>-658908.66477500065</v>
      </c>
      <c r="Y14" s="125">
        <f>$Z$14*Предположения!F236</f>
        <v>-247090.74929062522</v>
      </c>
      <c r="Z14" s="125">
        <f>'Pr P&amp;L proj'!I18</f>
        <v>-1647271.6619375015</v>
      </c>
      <c r="AA14" s="125">
        <f>'Pr P&amp;L proj'!J18</f>
        <v>-1704926.1701053139</v>
      </c>
      <c r="AB14" s="125">
        <f>'Pr P&amp;L proj'!K18</f>
        <v>-1756073.9552084734</v>
      </c>
      <c r="AC14" s="125">
        <f>'Pr P&amp;L proj'!L18</f>
        <v>-1799975.804088685</v>
      </c>
      <c r="AD14" s="125">
        <f>'Pr P&amp;L proj'!M18</f>
        <v>-1835975.3201704589</v>
      </c>
      <c r="AE14" s="125">
        <f>'Pr P&amp;L proj'!N18</f>
        <v>-1863514.9499730158</v>
      </c>
    </row>
    <row r="15" spans="1:31" s="47" customFormat="1" ht="14.4">
      <c r="A15" s="47" t="s">
        <v>386</v>
      </c>
      <c r="B15" s="125">
        <f>Предположения!C253*$F$15</f>
        <v>-443229.72500000003</v>
      </c>
      <c r="C15" s="125">
        <f>Предположения!D253*$F$15</f>
        <v>-443229.72500000003</v>
      </c>
      <c r="D15" s="125">
        <f>Предположения!E253*$F$15</f>
        <v>-443229.72500000003</v>
      </c>
      <c r="E15" s="125">
        <f>Предположения!F253*$F$15</f>
        <v>-443229.72500000003</v>
      </c>
      <c r="F15" s="125">
        <f>'Pr P&amp;L proj'!E19</f>
        <v>-1772918.9000000001</v>
      </c>
      <c r="G15" s="125">
        <f>Предположения!C253*$K$15</f>
        <v>-467607.35987500002</v>
      </c>
      <c r="H15" s="125">
        <f>Предположения!D253*$K$15</f>
        <v>-467607.35987500002</v>
      </c>
      <c r="I15" s="125">
        <f>Предположения!E253*$K$15</f>
        <v>-467607.35987500002</v>
      </c>
      <c r="J15" s="125">
        <f>Предположения!F253*$K$15</f>
        <v>-467607.35987500002</v>
      </c>
      <c r="K15" s="125">
        <f>'Pr P&amp;L proj'!F19</f>
        <v>-1870429.4395000001</v>
      </c>
      <c r="L15" s="125">
        <f>Предположения!C253*$P$15</f>
        <v>-490987.72786875005</v>
      </c>
      <c r="M15" s="125">
        <f>Предположения!D253*$P$15</f>
        <v>-490987.72786875005</v>
      </c>
      <c r="N15" s="125">
        <f>Предположения!E253*$P$15</f>
        <v>-490987.72786875005</v>
      </c>
      <c r="O15" s="125">
        <f>Предположения!F253*$P$15</f>
        <v>-490987.72786875005</v>
      </c>
      <c r="P15" s="125">
        <f>'Pr P&amp;L proj'!G19</f>
        <v>-1963950.9114750002</v>
      </c>
      <c r="Q15" s="125">
        <f>Предположения!C253*$U$15</f>
        <v>-513082.17562284379</v>
      </c>
      <c r="R15" s="125">
        <f>Предположения!D253*$U$15</f>
        <v>-513082.17562284379</v>
      </c>
      <c r="S15" s="125">
        <f>Предположения!E253*$U$15</f>
        <v>-513082.17562284379</v>
      </c>
      <c r="T15" s="125">
        <f>Предположения!F253*$U$15</f>
        <v>-513082.17562284379</v>
      </c>
      <c r="U15" s="125">
        <f>'Pr P&amp;L proj'!H19</f>
        <v>-2052328.7024913752</v>
      </c>
      <c r="V15" s="125">
        <f>Предположения!C253*$Z$15</f>
        <v>-533605.46264775761</v>
      </c>
      <c r="W15" s="125">
        <f>Предположения!D253*$Z$15</f>
        <v>-533605.46264775761</v>
      </c>
      <c r="X15" s="125">
        <f>Предположения!E253*$Z$15</f>
        <v>-533605.46264775761</v>
      </c>
      <c r="Y15" s="125">
        <f>Предположения!F253*$Z$15</f>
        <v>-533605.46264775761</v>
      </c>
      <c r="Z15" s="125">
        <f>'Pr P&amp;L proj'!I19</f>
        <v>-2134421.8505910304</v>
      </c>
      <c r="AA15" s="125">
        <f>'Pr P&amp;L proj'!J19</f>
        <v>-2209126.6153617161</v>
      </c>
      <c r="AB15" s="125">
        <f>'Pr P&amp;L proj'!K19</f>
        <v>-2275400.4138225676</v>
      </c>
      <c r="AC15" s="125">
        <f>'Pr P&amp;L proj'!L19</f>
        <v>-2332285.4241681313</v>
      </c>
      <c r="AD15" s="125">
        <f>'Pr P&amp;L proj'!M19</f>
        <v>-2378931.1326514939</v>
      </c>
      <c r="AE15" s="125">
        <f>'Pr P&amp;L proj'!N19</f>
        <v>-2414615.0996412667</v>
      </c>
    </row>
    <row r="16" spans="1:31" s="47" customFormat="1" ht="14.4">
      <c r="A16" s="47" t="s">
        <v>387</v>
      </c>
      <c r="B16" s="125">
        <f>Предположения!C253*$F$16</f>
        <v>-644447.14</v>
      </c>
      <c r="C16" s="125">
        <f>Предположения!D253*$F$16</f>
        <v>-644447.14</v>
      </c>
      <c r="D16" s="125">
        <f>Предположения!E253*$F$16</f>
        <v>-644447.14</v>
      </c>
      <c r="E16" s="125">
        <f>Предположения!F253*$F$16</f>
        <v>-644447.14</v>
      </c>
      <c r="F16" s="125">
        <f>'Pr P&amp;L proj'!E20</f>
        <v>-2577788.56</v>
      </c>
      <c r="G16" s="125">
        <f>Предположения!C253*$K$16</f>
        <v>-679891.73269999993</v>
      </c>
      <c r="H16" s="125">
        <f>Предположения!D253*$K$16</f>
        <v>-679891.73269999993</v>
      </c>
      <c r="I16" s="125">
        <f>Предположения!E253*$K$16</f>
        <v>-679891.73269999993</v>
      </c>
      <c r="J16" s="125">
        <f>Предположения!F253*$K$16</f>
        <v>-679891.73269999993</v>
      </c>
      <c r="K16" s="125">
        <f>'Pr P&amp;L proj'!F20</f>
        <v>-2719566.9307999997</v>
      </c>
      <c r="L16" s="125">
        <f>Предположения!C253*$P$16</f>
        <v>-713886.31933500001</v>
      </c>
      <c r="M16" s="125">
        <f>Предположения!D253*$P$16</f>
        <v>-713886.31933500001</v>
      </c>
      <c r="N16" s="125">
        <f>Предположения!E253*$P$16</f>
        <v>-713886.31933500001</v>
      </c>
      <c r="O16" s="125">
        <f>Предположения!F253*$P$16</f>
        <v>-713886.31933500001</v>
      </c>
      <c r="P16" s="125">
        <f>'Pr P&amp;L proj'!G20</f>
        <v>-2855545.27734</v>
      </c>
      <c r="Q16" s="125">
        <f>Предположения!C253*$U$16</f>
        <v>-746011.20370507496</v>
      </c>
      <c r="R16" s="125">
        <f>Предположения!D253*$U$16</f>
        <v>-746011.20370507496</v>
      </c>
      <c r="S16" s="125">
        <f>Предположения!E253*$U$16</f>
        <v>-746011.20370507496</v>
      </c>
      <c r="T16" s="125">
        <f>Предположения!F253*$U$16</f>
        <v>-746011.20370507496</v>
      </c>
      <c r="U16" s="125">
        <f>'Pr P&amp;L proj'!H20</f>
        <v>-2984044.8148202999</v>
      </c>
      <c r="V16" s="125">
        <f>Предположения!C253*$Z$16</f>
        <v>-775851.65185327805</v>
      </c>
      <c r="W16" s="125">
        <f>Предположения!D253*$Z$16</f>
        <v>-775851.65185327805</v>
      </c>
      <c r="X16" s="125">
        <f>Предположения!E253*$Z$16</f>
        <v>-775851.65185327805</v>
      </c>
      <c r="Y16" s="125">
        <f>Предположения!F253*$Z$16</f>
        <v>-775851.65185327805</v>
      </c>
      <c r="Z16" s="125">
        <f>'Pr P&amp;L proj'!I20</f>
        <v>-3103406.6074131122</v>
      </c>
      <c r="AA16" s="125">
        <f>'Pr P&amp;L proj'!J20</f>
        <v>-3212025.8386725709</v>
      </c>
      <c r="AB16" s="125">
        <f>'Pr P&amp;L proj'!K20</f>
        <v>-3308386.613832748</v>
      </c>
      <c r="AC16" s="125">
        <f>'Pr P&amp;L proj'!L20</f>
        <v>-3391096.2791785663</v>
      </c>
      <c r="AD16" s="125">
        <f>'Pr P&amp;L proj'!M20</f>
        <v>-3458918.2047621375</v>
      </c>
      <c r="AE16" s="125">
        <f>'Pr P&amp;L proj'!N20</f>
        <v>-3510801.97783357</v>
      </c>
    </row>
    <row r="17" spans="1:31" s="47" customFormat="1" ht="14.4">
      <c r="A17" s="47" t="s">
        <v>607</v>
      </c>
      <c r="B17" s="125">
        <f>Предположения!C253*$F$17</f>
        <v>-471589.11929521675</v>
      </c>
      <c r="C17" s="125">
        <f>Предположения!D253*$F$17</f>
        <v>-471589.11929521675</v>
      </c>
      <c r="D17" s="125">
        <f>Предположения!E253*$F$17</f>
        <v>-471589.11929521675</v>
      </c>
      <c r="E17" s="125">
        <f>Предположения!F253*$F$17</f>
        <v>-471589.11929521675</v>
      </c>
      <c r="F17" s="125">
        <f>'Pr P&amp;L proj'!E21+'Pr P&amp;L proj'!E40</f>
        <v>-1886356.477180867</v>
      </c>
      <c r="G17" s="125">
        <f>Предположения!C253*$K$17</f>
        <v>-447360.74215931265</v>
      </c>
      <c r="H17" s="125">
        <f>Предположения!D253*$K$17</f>
        <v>-447360.74215931265</v>
      </c>
      <c r="I17" s="125">
        <f>Предположения!E253*$K$17</f>
        <v>-447360.74215931265</v>
      </c>
      <c r="J17" s="125">
        <f>Предположения!F253*$K$17</f>
        <v>-447360.74215931265</v>
      </c>
      <c r="K17" s="125">
        <f>'Pr P&amp;L proj'!F21+'Pr P&amp;L proj'!F40</f>
        <v>-1789442.9686372506</v>
      </c>
      <c r="L17" s="125">
        <f>Предположения!C253*$P$17</f>
        <v>-548367.2110069131</v>
      </c>
      <c r="M17" s="125">
        <f>Предположения!D253*$P$17</f>
        <v>-548367.2110069131</v>
      </c>
      <c r="N17" s="125">
        <f>Предположения!E253*$P$17</f>
        <v>-548367.2110069131</v>
      </c>
      <c r="O17" s="125">
        <f>Предположения!F253*$P$17</f>
        <v>-548367.2110069131</v>
      </c>
      <c r="P17" s="125">
        <f>'Pr P&amp;L proj'!G21+'Pr P&amp;L proj'!G40</f>
        <v>-2193468.8440276524</v>
      </c>
      <c r="Q17" s="125">
        <f>Предположения!C253*$U$17</f>
        <v>-592313.52289773664</v>
      </c>
      <c r="R17" s="125">
        <f>Предположения!D253*$U$17</f>
        <v>-592313.52289773664</v>
      </c>
      <c r="S17" s="125">
        <f>Предположения!E253*$U$17</f>
        <v>-592313.52289773664</v>
      </c>
      <c r="T17" s="125">
        <f>Предположения!F253*$U$17</f>
        <v>-592313.52289773664</v>
      </c>
      <c r="U17" s="125">
        <f>'Pr P&amp;L proj'!H21+'Pr P&amp;L proj'!H40</f>
        <v>-2369254.0915909465</v>
      </c>
      <c r="V17" s="125">
        <f>Предположения!C253*$Z$17</f>
        <v>-631115.58384107042</v>
      </c>
      <c r="W17" s="125">
        <f>Предположения!D253*$Z$17</f>
        <v>-631115.58384107042</v>
      </c>
      <c r="X17" s="125">
        <f>Предположения!E253*$Z$17</f>
        <v>-631115.58384107042</v>
      </c>
      <c r="Y17" s="125">
        <f>Предположения!F253*$Z$17</f>
        <v>-631115.58384107042</v>
      </c>
      <c r="Z17" s="125">
        <f>'Pr P&amp;L proj'!I21+'Pr P&amp;L proj'!I40</f>
        <v>-2524462.3353642817</v>
      </c>
      <c r="AA17" s="125">
        <f>'Pr P&amp;L proj'!J21+'Pr P&amp;L proj'!J40</f>
        <v>-2437780.1325318348</v>
      </c>
      <c r="AB17" s="125">
        <f>'Pr P&amp;L proj'!K21+'Pr P&amp;L proj'!K40</f>
        <v>-2347172.6262951558</v>
      </c>
      <c r="AC17" s="125">
        <f>'Pr P&amp;L proj'!L21+'Pr P&amp;L proj'!L40</f>
        <v>-2278982.2201507781</v>
      </c>
      <c r="AD17" s="125">
        <f>'Pr P&amp;L proj'!M21+'Pr P&amp;L proj'!M40</f>
        <v>-2220026.2007094179</v>
      </c>
      <c r="AE17" s="125">
        <f>'Pr P&amp;L proj'!N21+'Pr P&amp;L proj'!N40</f>
        <v>-2170396.1100615901</v>
      </c>
    </row>
    <row r="18" spans="1:31" s="47" customFormat="1" ht="14.4">
      <c r="A18" s="47" t="s">
        <v>390</v>
      </c>
      <c r="B18" s="125">
        <f>Предположения!C253*$F$18</f>
        <v>-61295.683650746389</v>
      </c>
      <c r="C18" s="125">
        <f>Предположения!D253*$F$18</f>
        <v>-61295.683650746389</v>
      </c>
      <c r="D18" s="125">
        <f>Предположения!E253*$F$18</f>
        <v>-61295.683650746389</v>
      </c>
      <c r="E18" s="125">
        <f>Предположения!F253*$F$18</f>
        <v>-61295.683650746389</v>
      </c>
      <c r="F18" s="125">
        <f>'Pr P&amp;L proj'!E25</f>
        <v>-245182.73460298555</v>
      </c>
      <c r="G18" s="125">
        <f>Предположения!C253*$K$18</f>
        <v>-62995.775009246267</v>
      </c>
      <c r="H18" s="125">
        <f>Предположения!D253*$K$18</f>
        <v>-62995.775009246267</v>
      </c>
      <c r="I18" s="125">
        <f>Предположения!E253*$K$18</f>
        <v>-62995.775009246267</v>
      </c>
      <c r="J18" s="125">
        <f>Предположения!F253*$K$18</f>
        <v>-62995.775009246267</v>
      </c>
      <c r="K18" s="125">
        <f>'Pr P&amp;L proj'!F25</f>
        <v>-251983.10003698507</v>
      </c>
      <c r="L18" s="125">
        <f>Предположения!C253*$P$18</f>
        <v>-78782.851664842543</v>
      </c>
      <c r="M18" s="125">
        <f>Предположения!D253*$P$18</f>
        <v>-78782.851664842543</v>
      </c>
      <c r="N18" s="125">
        <f>Предположения!E253*$P$18</f>
        <v>-78782.851664842543</v>
      </c>
      <c r="O18" s="125">
        <f>Предположения!F253*$P$18</f>
        <v>-78782.851664842543</v>
      </c>
      <c r="P18" s="125">
        <f>'Pr P&amp;L proj'!G25</f>
        <v>-315131.40665937017</v>
      </c>
      <c r="Q18" s="125">
        <f>Предположения!C253*$U$18</f>
        <v>-88516.589215860964</v>
      </c>
      <c r="R18" s="125">
        <f>Предположения!D253*$U$18</f>
        <v>-88516.589215860964</v>
      </c>
      <c r="S18" s="125">
        <f>Предположения!E253*$U$18</f>
        <v>-88516.589215860964</v>
      </c>
      <c r="T18" s="125">
        <f>Предположения!F253*$U$18</f>
        <v>-88516.589215860964</v>
      </c>
      <c r="U18" s="125">
        <f>'Pr P&amp;L proj'!H25</f>
        <v>-354066.35686344386</v>
      </c>
      <c r="V18" s="125">
        <f>Предположения!C253*$Z$18</f>
        <v>-99169.462174955072</v>
      </c>
      <c r="W18" s="125">
        <f>Предположения!D253*$Z$18</f>
        <v>-99169.462174955072</v>
      </c>
      <c r="X18" s="125">
        <f>Предположения!E253*$Z$18</f>
        <v>-99169.462174955072</v>
      </c>
      <c r="Y18" s="125">
        <f>Предположения!F253*$Z$18</f>
        <v>-99169.462174955072</v>
      </c>
      <c r="Z18" s="125">
        <f>'Pr P&amp;L proj'!I25</f>
        <v>-396677.84869982029</v>
      </c>
      <c r="AA18" s="125">
        <f>'Pr P&amp;L proj'!J25</f>
        <v>-411290.62568186171</v>
      </c>
      <c r="AB18" s="125">
        <f>'Pr P&amp;L proj'!K25</f>
        <v>-426444.01194937644</v>
      </c>
      <c r="AC18" s="125">
        <f>'Pr P&amp;L proj'!L25</f>
        <v>-442158.09531100007</v>
      </c>
      <c r="AD18" s="125">
        <f>'Pr P&amp;L proj'!M25</f>
        <v>-458453.71330801648</v>
      </c>
      <c r="AE18" s="125">
        <f>'Pr P&amp;L proj'!N25</f>
        <v>-475352.48132137366</v>
      </c>
    </row>
    <row r="19" spans="1:31" s="47" customFormat="1" ht="14.4">
      <c r="A19" s="47" t="s">
        <v>392</v>
      </c>
      <c r="B19" s="125">
        <f>Предположения!C253*$F$19</f>
        <v>-270473.92233009712</v>
      </c>
      <c r="C19" s="125">
        <f>Предположения!D253*$F$19</f>
        <v>-270473.92233009712</v>
      </c>
      <c r="D19" s="125">
        <f>Предположения!E253*$F$19</f>
        <v>-270473.92233009712</v>
      </c>
      <c r="E19" s="125">
        <f>Предположения!F253*$F$19</f>
        <v>-270473.92233009712</v>
      </c>
      <c r="F19" s="125">
        <f>'Pr P&amp;L proj'!E27</f>
        <v>-1081895.6893203885</v>
      </c>
      <c r="G19" s="125">
        <f>Предположения!C253*$K$19</f>
        <v>-277038.82335752662</v>
      </c>
      <c r="H19" s="125">
        <f>Предположения!D253*$K$19</f>
        <v>-277038.82335752662</v>
      </c>
      <c r="I19" s="125">
        <f>Предположения!E253*$K$19</f>
        <v>-277038.82335752662</v>
      </c>
      <c r="J19" s="125">
        <f>Предположения!F253*$K$19</f>
        <v>-277038.82335752662</v>
      </c>
      <c r="K19" s="125">
        <f>'Pr P&amp;L proj'!F27</f>
        <v>-1108155.2934301065</v>
      </c>
      <c r="L19" s="125">
        <f>Предположения!C253*$P$19</f>
        <v>-282418.21798582812</v>
      </c>
      <c r="M19" s="125">
        <f>Предположения!D253*$P$19</f>
        <v>-282418.21798582812</v>
      </c>
      <c r="N19" s="125">
        <f>Предположения!E253*$P$19</f>
        <v>-282418.21798582812</v>
      </c>
      <c r="O19" s="125">
        <f>Предположения!F253*$P$19</f>
        <v>-282418.21798582812</v>
      </c>
      <c r="P19" s="125">
        <f>'Pr P&amp;L proj'!G27</f>
        <v>-1129672.8719433125</v>
      </c>
      <c r="Q19" s="125">
        <f>Предположения!C253*$U$19</f>
        <v>-286531.1046555246</v>
      </c>
      <c r="R19" s="125">
        <f>Предположения!D253*$U$19</f>
        <v>-286531.1046555246</v>
      </c>
      <c r="S19" s="125">
        <f>Предположения!E253*$U$19</f>
        <v>-286531.1046555246</v>
      </c>
      <c r="T19" s="125">
        <f>Предположения!F253*$U$19</f>
        <v>-286531.1046555246</v>
      </c>
      <c r="U19" s="125">
        <f>'Pr P&amp;L proj'!H27</f>
        <v>-1146124.4186220984</v>
      </c>
      <c r="V19" s="125">
        <f>Предположения!C253*$Z$19</f>
        <v>-289312.96004052972</v>
      </c>
      <c r="W19" s="125">
        <f>Предположения!D253*$Z$19</f>
        <v>-289312.96004052972</v>
      </c>
      <c r="X19" s="125">
        <f>Предположения!E253*$Z$19</f>
        <v>-289312.96004052972</v>
      </c>
      <c r="Y19" s="125">
        <f>Предположения!F253*$Z$19</f>
        <v>-289312.96004052972</v>
      </c>
      <c r="Z19" s="125">
        <f>'Pr P&amp;L proj'!I27</f>
        <v>-1157251.8401621189</v>
      </c>
      <c r="AA19" s="125">
        <f>'Pr P&amp;L proj'!J27</f>
        <v>-1162869.5675415464</v>
      </c>
      <c r="AB19" s="125">
        <f>'Pr P&amp;L proj'!K27</f>
        <v>-1162869.5675415464</v>
      </c>
      <c r="AC19" s="125">
        <f>'Pr P&amp;L proj'!L27</f>
        <v>-1157224.5696408593</v>
      </c>
      <c r="AD19" s="125">
        <f>'Pr P&amp;L proj'!M27</f>
        <v>-1145989.379644346</v>
      </c>
      <c r="AE19" s="125">
        <f>'Pr P&amp;L proj'!N27</f>
        <v>-1129300.2139213702</v>
      </c>
    </row>
    <row r="20" spans="1:31" s="47" customFormat="1" ht="14.4">
      <c r="A20" s="47" t="s">
        <v>448</v>
      </c>
      <c r="B20" s="125">
        <f>Предположения!C233*$F$20</f>
        <v>0</v>
      </c>
      <c r="C20" s="125">
        <f>Предположения!D233*$F$20</f>
        <v>0</v>
      </c>
      <c r="D20" s="125">
        <f>Предположения!E233*$F$20</f>
        <v>-13906664.854368933</v>
      </c>
      <c r="E20" s="125">
        <f>Предположения!F233*$F$20</f>
        <v>-3476666.2135922331</v>
      </c>
      <c r="F20" s="125">
        <f>'Pr P&amp;L proj'!E28</f>
        <v>-17383331.067961164</v>
      </c>
      <c r="G20" s="125">
        <f>Предположения!C233*$K$20</f>
        <v>0</v>
      </c>
      <c r="H20" s="125">
        <f>Предположения!D233*$K$20</f>
        <v>0</v>
      </c>
      <c r="I20" s="125">
        <f>Предположения!E233*$K$20</f>
        <v>-14052358.152512018</v>
      </c>
      <c r="J20" s="125">
        <f>Предположения!F233*$K$20</f>
        <v>-3513089.5381280044</v>
      </c>
      <c r="K20" s="125">
        <f>'Pr P&amp;L proj'!F28</f>
        <v>-17565447.690640021</v>
      </c>
      <c r="L20" s="125">
        <f>Предположения!C233*$P$20</f>
        <v>0</v>
      </c>
      <c r="M20" s="125">
        <f>Предположения!D233*$P$20</f>
        <v>0</v>
      </c>
      <c r="N20" s="125">
        <f>Предположения!E233*$P$20</f>
        <v>-17327163.979328781</v>
      </c>
      <c r="O20" s="125">
        <f>Предположения!F233*$P$20</f>
        <v>-4331790.9948321953</v>
      </c>
      <c r="P20" s="125">
        <f>'Pr P&amp;L proj'!G28</f>
        <v>-21658954.974160977</v>
      </c>
      <c r="Q20" s="125">
        <f>Предположения!C233*$U$20</f>
        <v>0</v>
      </c>
      <c r="R20" s="125">
        <f>Предположения!D233*$U$20</f>
        <v>0</v>
      </c>
      <c r="S20" s="125">
        <f>Предположения!E233*$U$20</f>
        <v>-19052727.280312184</v>
      </c>
      <c r="T20" s="125">
        <f>Предположения!F233*$U$20</f>
        <v>-4763181.8200780461</v>
      </c>
      <c r="U20" s="125">
        <f>'Pr P&amp;L proj'!H28</f>
        <v>-23815909.100390229</v>
      </c>
      <c r="V20" s="125">
        <f>Предположения!C233*$Z$20</f>
        <v>0</v>
      </c>
      <c r="W20" s="125">
        <f>Предположения!D233*$Z$20</f>
        <v>0</v>
      </c>
      <c r="X20" s="125">
        <f>Предположения!E233*$Z$20</f>
        <v>-20825407.766144287</v>
      </c>
      <c r="Y20" s="125">
        <f>Предположения!F233*$Z$20</f>
        <v>-5206351.9415360717</v>
      </c>
      <c r="Z20" s="125">
        <f>'Pr P&amp;L proj'!I28</f>
        <v>-26031759.707680356</v>
      </c>
      <c r="AA20" s="125">
        <f>'Pr P&amp;L proj'!J28</f>
        <v>-26158127.473251615</v>
      </c>
      <c r="AB20" s="125">
        <f>'Pr P&amp;L proj'!K28</f>
        <v>-26158127.473251615</v>
      </c>
      <c r="AC20" s="125">
        <f>'Pr P&amp;L proj'!L28</f>
        <v>-26031146.271925144</v>
      </c>
      <c r="AD20" s="125">
        <f>'Pr P&amp;L proj'!M28</f>
        <v>-25778416.69646956</v>
      </c>
      <c r="AE20" s="125">
        <f>'Pr P&amp;L proj'!N28</f>
        <v>-25403002.861084085</v>
      </c>
    </row>
    <row r="21" spans="1:31" s="47" customFormat="1" ht="14.4">
      <c r="A21" s="47" t="s">
        <v>393</v>
      </c>
      <c r="B21" s="125">
        <f>Предположения!C253*$F$21</f>
        <v>36542.917158777949</v>
      </c>
      <c r="C21" s="125">
        <f>Предположения!D253*$F$21</f>
        <v>36542.917158777949</v>
      </c>
      <c r="D21" s="125">
        <f>Предположения!E253*$F$21</f>
        <v>36542.917158777949</v>
      </c>
      <c r="E21" s="125">
        <f>Предположения!F253*$F$21</f>
        <v>36542.917158777949</v>
      </c>
      <c r="F21" s="125">
        <f>'Pr P&amp;L proj'!E29</f>
        <v>146171.6686351118</v>
      </c>
      <c r="G21" s="125">
        <f>Предположения!C253*$K$21</f>
        <v>25043.689657643368</v>
      </c>
      <c r="H21" s="125">
        <f>Предположения!D253*$K$21</f>
        <v>25043.689657643368</v>
      </c>
      <c r="I21" s="125">
        <f>Предположения!E253*$K$21</f>
        <v>25043.689657643368</v>
      </c>
      <c r="J21" s="125">
        <f>Предположения!F253*$K$21</f>
        <v>25043.689657643368</v>
      </c>
      <c r="K21" s="125">
        <f>'Pr P&amp;L proj'!F29</f>
        <v>100174.75863057347</v>
      </c>
      <c r="L21" s="125">
        <f>Предположения!C253*$P$21</f>
        <v>14183.31938539673</v>
      </c>
      <c r="M21" s="125">
        <f>Предположения!D253*$P$21</f>
        <v>14183.31938539673</v>
      </c>
      <c r="N21" s="125">
        <f>Предположения!E253*$P$21</f>
        <v>14183.31938539673</v>
      </c>
      <c r="O21" s="125">
        <f>Предположения!F253*$P$21</f>
        <v>14183.31938539673</v>
      </c>
      <c r="P21" s="125">
        <f>'Pr P&amp;L proj'!G29</f>
        <v>56733.277541586918</v>
      </c>
      <c r="Q21" s="125">
        <f>Предположения!C253*$U$21</f>
        <v>9835.8664253791467</v>
      </c>
      <c r="R21" s="125">
        <f>Предположения!D253*$U$21</f>
        <v>9835.8664253791467</v>
      </c>
      <c r="S21" s="125">
        <f>Предположения!E253*$U$21</f>
        <v>9835.8664253791467</v>
      </c>
      <c r="T21" s="125">
        <f>Предположения!F253*$U$21</f>
        <v>9835.8664253791467</v>
      </c>
      <c r="U21" s="125">
        <f>'Pr P&amp;L proj'!H29</f>
        <v>39343.465701516587</v>
      </c>
      <c r="V21" s="125">
        <f>Предположения!C253*$Z$21</f>
        <v>0</v>
      </c>
      <c r="W21" s="125">
        <f>Предположения!D253*$Z$21</f>
        <v>0</v>
      </c>
      <c r="X21" s="125">
        <f>Предположения!E253*$Z$21</f>
        <v>0</v>
      </c>
      <c r="Y21" s="125">
        <f>Предположения!F253*$Z$21</f>
        <v>0</v>
      </c>
      <c r="Z21" s="125">
        <f>'Pr P&amp;L proj'!I29</f>
        <v>0</v>
      </c>
      <c r="AA21" s="125">
        <f>'Pr P&amp;L proj'!J29</f>
        <v>0</v>
      </c>
      <c r="AB21" s="125">
        <f>'Pr P&amp;L proj'!K29</f>
        <v>0</v>
      </c>
      <c r="AC21" s="125">
        <f>'Pr P&amp;L proj'!L29</f>
        <v>0</v>
      </c>
      <c r="AD21" s="125">
        <f>'Pr P&amp;L proj'!M29</f>
        <v>0</v>
      </c>
      <c r="AE21" s="125">
        <f>'Pr P&amp;L proj'!N29</f>
        <v>0</v>
      </c>
    </row>
    <row r="22" spans="1:31" s="47" customFormat="1" ht="14.4">
      <c r="A22" s="47" t="s">
        <v>394</v>
      </c>
      <c r="B22" s="125">
        <f>Предположения!C253*$F$22</f>
        <v>-63469.671426532266</v>
      </c>
      <c r="C22" s="125">
        <f>Предположения!D253*$F$22</f>
        <v>-63469.671426532266</v>
      </c>
      <c r="D22" s="125">
        <f>Предположения!E253*$F$22</f>
        <v>-63469.671426532266</v>
      </c>
      <c r="E22" s="125">
        <f>Предположения!F253*$F$22</f>
        <v>-63469.671426532266</v>
      </c>
      <c r="F22" s="125">
        <f>'Pr P&amp;L proj'!E30</f>
        <v>-253878.68570612906</v>
      </c>
      <c r="G22" s="125">
        <f>Предположения!C253*$K$22</f>
        <v>-65230.060306994004</v>
      </c>
      <c r="H22" s="125">
        <f>Предположения!D253*$K$22</f>
        <v>-65230.060306994004</v>
      </c>
      <c r="I22" s="125">
        <f>Предположения!E253*$K$22</f>
        <v>-65230.060306994004</v>
      </c>
      <c r="J22" s="125">
        <f>Предположения!F253*$K$22</f>
        <v>-65230.060306994004</v>
      </c>
      <c r="K22" s="125">
        <f>'Pr P&amp;L proj'!F30</f>
        <v>-260920.24122797602</v>
      </c>
      <c r="L22" s="125">
        <f>Предположения!C253*$P$22</f>
        <v>-81577.060755270635</v>
      </c>
      <c r="M22" s="125">
        <f>Предположения!D253*$P$22</f>
        <v>-81577.060755270635</v>
      </c>
      <c r="N22" s="125">
        <f>Предположения!E253*$P$22</f>
        <v>-81577.060755270635</v>
      </c>
      <c r="O22" s="125">
        <f>Предположения!F253*$P$22</f>
        <v>-81577.060755270635</v>
      </c>
      <c r="P22" s="125">
        <f>'Pr P&amp;L proj'!G30</f>
        <v>-326308.24302108254</v>
      </c>
      <c r="Q22" s="125">
        <f>Предположения!C253*$U$22</f>
        <v>-91656.026961689888</v>
      </c>
      <c r="R22" s="125">
        <f>Предположения!D253*$U$22</f>
        <v>-91656.026961689888</v>
      </c>
      <c r="S22" s="125">
        <f>Предположения!E253*$U$22</f>
        <v>-91656.026961689888</v>
      </c>
      <c r="T22" s="125">
        <f>Предположения!F253*$U$22</f>
        <v>-91656.026961689888</v>
      </c>
      <c r="U22" s="125">
        <f>'Pr P&amp;L proj'!H30</f>
        <v>-366624.10784675955</v>
      </c>
      <c r="V22" s="125">
        <f>Предположения!C253*$Z$22</f>
        <v>-102686.72775809189</v>
      </c>
      <c r="W22" s="125">
        <f>Предположения!D253*$Z$22</f>
        <v>-102686.72775809189</v>
      </c>
      <c r="X22" s="125">
        <f>Предположения!E253*$Z$22</f>
        <v>-102686.72775809189</v>
      </c>
      <c r="Y22" s="125">
        <f>Предположения!F253*$Z$22</f>
        <v>-102686.72775809189</v>
      </c>
      <c r="Z22" s="125">
        <f>'Pr P&amp;L proj'!I30</f>
        <v>-410746.91103236756</v>
      </c>
      <c r="AA22" s="125">
        <f>'Pr P&amp;L proj'!J30</f>
        <v>-425877.96265688218</v>
      </c>
      <c r="AB22" s="125">
        <f>'Pr P&amp;L proj'!K30</f>
        <v>-441568.7974777901</v>
      </c>
      <c r="AC22" s="125">
        <f>'Pr P&amp;L proj'!L30</f>
        <v>-457840.21576254634</v>
      </c>
      <c r="AD22" s="125">
        <f>'Pr P&amp;L proj'!M30</f>
        <v>-474713.79410219059</v>
      </c>
      <c r="AE22" s="125">
        <f>'Pr P&amp;L proj'!N30</f>
        <v>-492211.91451524053</v>
      </c>
    </row>
    <row r="23" spans="1:31" s="47" customFormat="1" ht="14.4">
      <c r="A23" s="47" t="s">
        <v>459</v>
      </c>
      <c r="B23" s="125">
        <f>Предположения!C253*$F$23</f>
        <v>-67157.268750000003</v>
      </c>
      <c r="C23" s="125">
        <f>Предположения!D253*$F$23</f>
        <v>-67157.268750000003</v>
      </c>
      <c r="D23" s="125">
        <f>Предположения!E253*$F$23</f>
        <v>-67157.268750000003</v>
      </c>
      <c r="E23" s="125">
        <f>Предположения!F253*$F$23</f>
        <v>-67157.268750000003</v>
      </c>
      <c r="F23" s="125">
        <f>'Pr P&amp;L proj'!E38/2</f>
        <v>-268629.07500000001</v>
      </c>
      <c r="G23" s="125">
        <f>Предположения!C253*$K$23</f>
        <v>-68550.365812499993</v>
      </c>
      <c r="H23" s="125">
        <f>Предположения!D253*$K$23</f>
        <v>-68550.365812499993</v>
      </c>
      <c r="I23" s="125">
        <f>Предположения!E253*$K$23</f>
        <v>-68550.365812499993</v>
      </c>
      <c r="J23" s="125">
        <f>Предположения!F253*$K$23</f>
        <v>-68550.365812499993</v>
      </c>
      <c r="K23" s="125">
        <f>'Pr P&amp;L proj'!F38/2</f>
        <v>-274201.46324999997</v>
      </c>
      <c r="L23" s="125">
        <f>Предположения!C253*$P$23</f>
        <v>-85833.195959671866</v>
      </c>
      <c r="M23" s="125">
        <f>Предположения!D253*$P$23</f>
        <v>-85833.195959671866</v>
      </c>
      <c r="N23" s="125">
        <f>Предположения!E253*$P$23</f>
        <v>-85833.195959671866</v>
      </c>
      <c r="O23" s="125">
        <f>Предположения!F253*$P$23</f>
        <v>-85833.195959671866</v>
      </c>
      <c r="P23" s="125">
        <f>'Pr P&amp;L proj'!G38/2</f>
        <v>-343332.78383868746</v>
      </c>
      <c r="Q23" s="125">
        <f>Предположения!C253*$U$23</f>
        <v>-96283.20424819077</v>
      </c>
      <c r="R23" s="125">
        <f>Предположения!D253*$U$23</f>
        <v>-96283.20424819077</v>
      </c>
      <c r="S23" s="125">
        <f>Предположения!E253*$U$23</f>
        <v>-96283.20424819077</v>
      </c>
      <c r="T23" s="125">
        <f>Предположения!F253*$U$23</f>
        <v>-96283.20424819077</v>
      </c>
      <c r="U23" s="125">
        <f>'Pr P&amp;L proj'!H38/2</f>
        <v>-385132.81699276308</v>
      </c>
      <c r="V23" s="125">
        <f>Предположения!C253*$Z$23</f>
        <v>-107890.31476969131</v>
      </c>
      <c r="W23" s="125">
        <f>Предположения!D253*$Z$23</f>
        <v>-107890.31476969131</v>
      </c>
      <c r="X23" s="125">
        <f>Предположения!E253*$Z$23</f>
        <v>-107890.31476969131</v>
      </c>
      <c r="Y23" s="125">
        <f>Предположения!F253*$Z$23</f>
        <v>-107890.31476969131</v>
      </c>
      <c r="Z23" s="125">
        <f>'Pr P&amp;L proj'!I38/2</f>
        <v>-431561.25907876523</v>
      </c>
      <c r="AA23" s="125">
        <f>'Pr P&amp;L proj'!J38/2</f>
        <v>-446665.90314652206</v>
      </c>
      <c r="AB23" s="125">
        <f>'Pr P&amp;L proj'!K38/2</f>
        <v>-462299.20975665032</v>
      </c>
      <c r="AC23" s="125">
        <f>'Pr P&amp;L proj'!L38/2</f>
        <v>-478479.68209813297</v>
      </c>
      <c r="AD23" s="125">
        <f>'Pr P&amp;L proj'!M38/2</f>
        <v>-495226.47097156756</v>
      </c>
      <c r="AE23" s="125">
        <f>'Pr P&amp;L proj'!N38/2</f>
        <v>-512559.39745557244</v>
      </c>
    </row>
    <row r="24" spans="1:31" s="47" customFormat="1" ht="14.4">
      <c r="A24" s="47" t="s">
        <v>608</v>
      </c>
      <c r="B24" s="125">
        <f>Предположения!C238*$F$24</f>
        <v>0</v>
      </c>
      <c r="C24" s="125">
        <f>Предположения!D238*$F$24</f>
        <v>0</v>
      </c>
      <c r="D24" s="125">
        <f>Предположения!E238*$F$24</f>
        <v>0</v>
      </c>
      <c r="E24" s="125">
        <f>Предположения!F238*$F$24</f>
        <v>0</v>
      </c>
      <c r="F24" s="125">
        <f>'Pr P&amp;L proj'!E45</f>
        <v>0</v>
      </c>
      <c r="G24" s="125">
        <f>Предположения!C238*$K$24</f>
        <v>0</v>
      </c>
      <c r="H24" s="125">
        <f>Предположения!D238*$K$24</f>
        <v>0</v>
      </c>
      <c r="I24" s="125">
        <f>Предположения!E238*$K$24</f>
        <v>-67519.18811215063</v>
      </c>
      <c r="J24" s="125">
        <f>Предположения!F238*$K$24</f>
        <v>0</v>
      </c>
      <c r="K24" s="125">
        <f>'Pr P&amp;L proj'!F45</f>
        <v>-67519.18811215063</v>
      </c>
      <c r="L24" s="125">
        <f>Предположения!C238*$P$24</f>
        <v>0</v>
      </c>
      <c r="M24" s="125">
        <f>Предположения!D238*$P$24</f>
        <v>0</v>
      </c>
      <c r="N24" s="125">
        <f>Предположения!E238*$P$24</f>
        <v>-1807489.4716960024</v>
      </c>
      <c r="O24" s="125">
        <f>Предположения!F238*$P$24</f>
        <v>0</v>
      </c>
      <c r="P24" s="125">
        <f>'Pr P&amp;L proj'!G45</f>
        <v>-1807489.4716960024</v>
      </c>
      <c r="Q24" s="125">
        <f>Предположения!C238*$U$24</f>
        <v>0</v>
      </c>
      <c r="R24" s="125">
        <f>Предположения!D238*$U$24</f>
        <v>0</v>
      </c>
      <c r="S24" s="125">
        <f>Предположения!E238*$U$24</f>
        <v>-3028612.9906557375</v>
      </c>
      <c r="T24" s="125">
        <f>Предположения!F238*$U$24</f>
        <v>0</v>
      </c>
      <c r="U24" s="125">
        <f>'Pr P&amp;L proj'!H45</f>
        <v>-3028612.9906557375</v>
      </c>
      <c r="V24" s="125">
        <f>Предположения!C238*$Z$24</f>
        <v>0</v>
      </c>
      <c r="W24" s="125">
        <f>Предположения!D238*$Z$24</f>
        <v>0</v>
      </c>
      <c r="X24" s="125">
        <f>Предположения!E238*$Z$24</f>
        <v>-4071662.9402209721</v>
      </c>
      <c r="Y24" s="125">
        <f>Предположения!F238*$Z$24</f>
        <v>0</v>
      </c>
      <c r="Z24" s="125">
        <f>'Pr P&amp;L proj'!I45</f>
        <v>-4071662.9402209721</v>
      </c>
      <c r="AA24" s="125">
        <f>'Pr P&amp;L proj'!J45</f>
        <v>-4481616.7888137773</v>
      </c>
      <c r="AB24" s="125">
        <f>'Pr P&amp;L proj'!K45</f>
        <v>-4946009.858934476</v>
      </c>
      <c r="AC24" s="125">
        <f>'Pr P&amp;L proj'!L45</f>
        <v>-5686897.756313934</v>
      </c>
      <c r="AD24" s="125">
        <f>'Pr P&amp;L proj'!M45</f>
        <v>-6292986.6749585615</v>
      </c>
      <c r="AE24" s="125">
        <f>'Pr P&amp;L proj'!N45</f>
        <v>-6972855.0721438425</v>
      </c>
    </row>
    <row r="25" spans="1:31" s="44" customFormat="1" ht="15.6">
      <c r="A25" s="1" t="s">
        <v>612</v>
      </c>
      <c r="B25" s="42">
        <f>Предположения!C253*$F$25</f>
        <v>-1868.1855915524065</v>
      </c>
      <c r="C25" s="42">
        <f>Предположения!D253*$F$25</f>
        <v>-1868.1855915524065</v>
      </c>
      <c r="D25" s="42">
        <f>Предположения!E253*$F$25</f>
        <v>-1868.1855915524065</v>
      </c>
      <c r="E25" s="42">
        <f>Предположения!F253*$F$25</f>
        <v>-1868.1855915524065</v>
      </c>
      <c r="F25" s="42">
        <f>'Pr BS proj'!E51</f>
        <v>-7472.7423662096262</v>
      </c>
      <c r="G25" s="42">
        <f>Предположения!C253*$K$25</f>
        <v>200733.83363294043</v>
      </c>
      <c r="H25" s="42">
        <f>Предположения!D253*$K$25</f>
        <v>200733.83363294043</v>
      </c>
      <c r="I25" s="42">
        <f>Предположения!E253*$K$25</f>
        <v>200733.83363294043</v>
      </c>
      <c r="J25" s="42">
        <f>Предположения!F253*$K$25</f>
        <v>200733.83363294043</v>
      </c>
      <c r="K25" s="42">
        <f>'Pr BS proj'!F51</f>
        <v>802935.33453176171</v>
      </c>
      <c r="L25" s="42">
        <f>Предположения!C253*$P$25</f>
        <v>1280343.7258588746</v>
      </c>
      <c r="M25" s="42">
        <f>Предположения!D253*$P$25</f>
        <v>1280343.7258588746</v>
      </c>
      <c r="N25" s="42">
        <f>Предположения!E253*$P$25</f>
        <v>1280343.7258588746</v>
      </c>
      <c r="O25" s="42">
        <f>Предположения!F253*$P$25</f>
        <v>1280343.7258588746</v>
      </c>
      <c r="P25" s="42">
        <f>'Pr BS proj'!G51</f>
        <v>5121374.9034354985</v>
      </c>
      <c r="Q25" s="42">
        <f>Предположения!C253*$U$25</f>
        <v>763044.4213566687</v>
      </c>
      <c r="R25" s="42">
        <f>Предположения!D253*$U$25</f>
        <v>763044.4213566687</v>
      </c>
      <c r="S25" s="42">
        <f>Предположения!E253*$U$25</f>
        <v>763044.4213566687</v>
      </c>
      <c r="T25" s="42">
        <f>Предположения!F253*$U$25</f>
        <v>763044.4213566687</v>
      </c>
      <c r="U25" s="42">
        <f>'Pr BS proj'!H51</f>
        <v>3052177.6854266748</v>
      </c>
      <c r="V25" s="42">
        <f>Предположения!C253*$Z$25</f>
        <v>940495.16474034823</v>
      </c>
      <c r="W25" s="42">
        <f>Предположения!D253*$Z$25</f>
        <v>940495.16474034823</v>
      </c>
      <c r="X25" s="42">
        <f>Предположения!E253*$Z$25</f>
        <v>940495.16474034823</v>
      </c>
      <c r="Y25" s="42">
        <f>Предположения!F253*$Z$25</f>
        <v>940495.16474034823</v>
      </c>
      <c r="Z25" s="42">
        <f>'Pr BS proj'!I51</f>
        <v>3761980.6589613929</v>
      </c>
      <c r="AA25" s="42">
        <f>'Pr BS proj'!J51</f>
        <v>1387976.3255781755</v>
      </c>
      <c r="AB25" s="42">
        <f>'Pr BS proj'!K51</f>
        <v>1413877.6272424608</v>
      </c>
      <c r="AC25" s="42">
        <f>'Pr BS proj'!L51</f>
        <v>1138582.7422401756</v>
      </c>
      <c r="AD25" s="42">
        <f>'Pr BS proj'!M51</f>
        <v>1403681.6831600815</v>
      </c>
      <c r="AE25" s="42">
        <f>'Pr BS proj'!N51</f>
        <v>1402875.8894084916</v>
      </c>
    </row>
    <row r="26" spans="1:31" s="44" customFormat="1" ht="15.6">
      <c r="A26" s="47" t="s">
        <v>731</v>
      </c>
      <c r="B26" s="125">
        <f>Предположения!C242*$F$8</f>
        <v>10745163</v>
      </c>
      <c r="C26" s="125">
        <f>Предположения!D242*$F$8</f>
        <v>42980652</v>
      </c>
      <c r="D26" s="125">
        <f>Предположения!E242*$F$8</f>
        <v>0</v>
      </c>
      <c r="E26" s="125">
        <f>Предположения!F242*$F$8</f>
        <v>0</v>
      </c>
      <c r="F26" s="125">
        <f>SUM(B26:E26)</f>
        <v>53725815</v>
      </c>
      <c r="G26" s="125">
        <f>Предположения!C242*$K$8</f>
        <v>10968058.529999999</v>
      </c>
      <c r="H26" s="125">
        <f>Предположения!D242*$K$8</f>
        <v>43872234.119999997</v>
      </c>
      <c r="I26" s="125">
        <f>Предположения!E242*$K$8</f>
        <v>0</v>
      </c>
      <c r="J26" s="125">
        <f>Предположения!F242*$K$8</f>
        <v>0</v>
      </c>
      <c r="K26" s="125">
        <f>SUM(G26:J26)</f>
        <v>54840292.649999999</v>
      </c>
      <c r="L26" s="125">
        <f>Предположения!C242*$P$8</f>
        <v>13733311.353547499</v>
      </c>
      <c r="M26" s="125">
        <f>Предположения!D242*$P$8</f>
        <v>54933245.414189994</v>
      </c>
      <c r="N26" s="125">
        <f>Предположения!E242*$P$8</f>
        <v>0</v>
      </c>
      <c r="O26" s="125">
        <f>Предположения!F242*$P$8</f>
        <v>0</v>
      </c>
      <c r="P26" s="125">
        <f>SUM(L26:O26)</f>
        <v>68666556.767737493</v>
      </c>
      <c r="Q26" s="125">
        <f>Предположения!C242*$U$8</f>
        <v>15405312.679710522</v>
      </c>
      <c r="R26" s="125">
        <f>Предположения!D242*$U$8</f>
        <v>61621250.718842089</v>
      </c>
      <c r="S26" s="125">
        <f>Предположения!E242*$U$8</f>
        <v>0</v>
      </c>
      <c r="T26" s="125">
        <f>Предположения!F242*$U$8</f>
        <v>0</v>
      </c>
      <c r="U26" s="125">
        <f>SUM(Q26:T26)</f>
        <v>77026563.398552611</v>
      </c>
      <c r="V26" s="125">
        <f>Предположения!C242*$Z$8</f>
        <v>17262450.363150608</v>
      </c>
      <c r="W26" s="125">
        <f>Предположения!D242*$Z$8</f>
        <v>69049801.452602431</v>
      </c>
      <c r="X26" s="125">
        <f>Предположения!E242*$Z$8</f>
        <v>0</v>
      </c>
      <c r="Y26" s="125">
        <f>Предположения!F242*$Z$8</f>
        <v>0</v>
      </c>
      <c r="Z26" s="125">
        <f>SUM(V26:Y26)</f>
        <v>86312251.815753043</v>
      </c>
      <c r="AA26" s="42"/>
      <c r="AB26" s="42"/>
      <c r="AC26" s="42"/>
      <c r="AD26" s="42"/>
      <c r="AE26" s="42"/>
    </row>
    <row r="27" spans="1:31" s="44" customFormat="1" ht="15.6">
      <c r="A27" s="47" t="s">
        <v>733</v>
      </c>
      <c r="B27" s="125">
        <f>-Предположения!C233*$F$8</f>
        <v>0</v>
      </c>
      <c r="C27" s="125">
        <f>-Предположения!D233*$F$8</f>
        <v>0</v>
      </c>
      <c r="D27" s="125">
        <f>-Предположения!E233*$F$8</f>
        <v>-42980652</v>
      </c>
      <c r="E27" s="125">
        <f>-Предположения!F233*$F$8</f>
        <v>-10745163</v>
      </c>
      <c r="F27" s="125">
        <f>SUM(B27:E27)</f>
        <v>-53725815</v>
      </c>
      <c r="G27" s="125">
        <f>-Предположения!C233*$K$8</f>
        <v>0</v>
      </c>
      <c r="H27" s="125">
        <f>-Предположения!D233*$K$8</f>
        <v>0</v>
      </c>
      <c r="I27" s="125">
        <f>-Предположения!E233*$K$8</f>
        <v>-43872234.119999997</v>
      </c>
      <c r="J27" s="125">
        <f>-Предположения!F233*$K$8</f>
        <v>-10968058.529999999</v>
      </c>
      <c r="K27" s="125">
        <f>SUM(G27:J27)</f>
        <v>-54840292.649999999</v>
      </c>
      <c r="L27" s="125">
        <f>-Предположения!C233*$P$8</f>
        <v>0</v>
      </c>
      <c r="M27" s="125">
        <f>-Предположения!D233*$P$8</f>
        <v>0</v>
      </c>
      <c r="N27" s="125">
        <f>-Предположения!E233*$P$8</f>
        <v>-54933245.414189994</v>
      </c>
      <c r="O27" s="125">
        <f>-Предположения!F233*$P$8</f>
        <v>-13733311.353547499</v>
      </c>
      <c r="P27" s="125">
        <f>SUM(L27:O27)</f>
        <v>-68666556.767737493</v>
      </c>
      <c r="Q27" s="125">
        <f>-Предположения!C233*$U$8</f>
        <v>0</v>
      </c>
      <c r="R27" s="125">
        <f>-Предположения!D233*$U$8</f>
        <v>0</v>
      </c>
      <c r="S27" s="125">
        <f>-Предположения!E233*$U$8</f>
        <v>-61621250.718842089</v>
      </c>
      <c r="T27" s="125">
        <f>-Предположения!F233*$U$8</f>
        <v>-15405312.679710522</v>
      </c>
      <c r="U27" s="125">
        <f>SUM(Q27:T27)</f>
        <v>-77026563.398552611</v>
      </c>
      <c r="V27" s="125">
        <f>-Предположения!C233*$Z$8</f>
        <v>0</v>
      </c>
      <c r="W27" s="125">
        <f>-Предположения!D233*$Z$8</f>
        <v>0</v>
      </c>
      <c r="X27" s="125">
        <f>-Предположения!E233*$Z$8</f>
        <v>-69049801.452602431</v>
      </c>
      <c r="Y27" s="125">
        <f>-Предположения!F233*$Z$8</f>
        <v>-17262450.363150608</v>
      </c>
      <c r="Z27" s="125">
        <f>SUM(V27:Y27)</f>
        <v>-86312251.815753043</v>
      </c>
      <c r="AA27" s="42"/>
      <c r="AB27" s="42"/>
      <c r="AC27" s="42"/>
      <c r="AD27" s="42"/>
      <c r="AE27" s="42"/>
    </row>
    <row r="28" spans="1:31">
      <c r="A28" s="9" t="s">
        <v>610</v>
      </c>
      <c r="B28" s="54">
        <f>B7+B10-B25+B26+B27</f>
        <v>-2041842.5873902589</v>
      </c>
      <c r="C28" s="54">
        <f t="shared" ref="C28:AE28" si="10">C7+C10-C25+C26+C27</f>
        <v>33495688.994653739</v>
      </c>
      <c r="D28" s="54">
        <f t="shared" si="10"/>
        <v>-17472200.577163454</v>
      </c>
      <c r="E28" s="54">
        <f t="shared" si="10"/>
        <v>-3108856.6934280582</v>
      </c>
      <c r="F28" s="54">
        <f t="shared" si="10"/>
        <v>10872789.136671975</v>
      </c>
      <c r="G28" s="54">
        <f t="shared" si="10"/>
        <v>-2828513.1397799924</v>
      </c>
      <c r="H28" s="54">
        <f t="shared" si="10"/>
        <v>33647926.863333069</v>
      </c>
      <c r="I28" s="54">
        <f t="shared" si="10"/>
        <v>-17638705.084928378</v>
      </c>
      <c r="J28" s="54">
        <f t="shared" si="10"/>
        <v>-3432305.9537241645</v>
      </c>
      <c r="K28" s="54">
        <f t="shared" si="10"/>
        <v>9748402.6849005297</v>
      </c>
      <c r="L28" s="54">
        <f t="shared" si="10"/>
        <v>-1132284.0356489047</v>
      </c>
      <c r="M28" s="54">
        <f t="shared" si="10"/>
        <v>43254724.02907896</v>
      </c>
      <c r="N28" s="54">
        <f t="shared" si="10"/>
        <v>-23270872.037267461</v>
      </c>
      <c r="O28" s="54">
        <f t="shared" si="10"/>
        <v>-2662280.1261449605</v>
      </c>
      <c r="P28" s="54">
        <f t="shared" si="10"/>
        <v>16189287.830017626</v>
      </c>
      <c r="Q28" s="54">
        <f t="shared" si="10"/>
        <v>709058.88868478872</v>
      </c>
      <c r="R28" s="54">
        <f t="shared" si="10"/>
        <v>50025209.523895711</v>
      </c>
      <c r="S28" s="54">
        <f t="shared" si="10"/>
        <v>-25181158.523784138</v>
      </c>
      <c r="T28" s="54">
        <f t="shared" si="10"/>
        <v>-1057783.0299323816</v>
      </c>
      <c r="U28" s="54">
        <f t="shared" si="10"/>
        <v>24495326.858863994</v>
      </c>
      <c r="V28" s="54">
        <f t="shared" si="10"/>
        <v>2079109.0561915021</v>
      </c>
      <c r="W28" s="54">
        <f t="shared" si="10"/>
        <v>56857805.828543194</v>
      </c>
      <c r="X28" s="54">
        <f t="shared" si="10"/>
        <v>-27528405.474310122</v>
      </c>
      <c r="Y28" s="54">
        <f t="shared" si="10"/>
        <v>6432.1658722497523</v>
      </c>
      <c r="Z28" s="54">
        <f t="shared" si="10"/>
        <v>31414941.576296836</v>
      </c>
      <c r="AA28" s="54">
        <f t="shared" si="10"/>
        <v>35984396.557288565</v>
      </c>
      <c r="AB28" s="54">
        <f t="shared" si="10"/>
        <v>38465992.090138197</v>
      </c>
      <c r="AC28" s="54">
        <f t="shared" si="10"/>
        <v>41314183.387686342</v>
      </c>
      <c r="AD28" s="54">
        <f t="shared" si="10"/>
        <v>44107765.198825032</v>
      </c>
      <c r="AE28" s="54">
        <f t="shared" si="10"/>
        <v>47434054.092522718</v>
      </c>
    </row>
    <row r="29" spans="1:31">
      <c r="A29" s="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</row>
    <row r="30" spans="1:31" ht="21">
      <c r="A30" s="92" t="s">
        <v>611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s="47" customFormat="1" ht="14.4">
      <c r="A31" s="8" t="s">
        <v>613</v>
      </c>
      <c r="B31" s="125">
        <f>Предположения!C253*$F$31</f>
        <v>0</v>
      </c>
      <c r="C31" s="125">
        <f>Предположения!D253*$F$31</f>
        <v>0</v>
      </c>
      <c r="D31" s="125">
        <f>Предположения!E253*$F$31</f>
        <v>0</v>
      </c>
      <c r="E31" s="125">
        <f>Предположения!F253*$F$31</f>
        <v>0</v>
      </c>
      <c r="F31" s="125">
        <v>0</v>
      </c>
      <c r="G31" s="125">
        <f>Предположения!C253*$K$31</f>
        <v>0</v>
      </c>
      <c r="H31" s="125">
        <f>Предположения!D253*$K$31</f>
        <v>0</v>
      </c>
      <c r="I31" s="125">
        <f>Предположения!E253*$K$31</f>
        <v>0</v>
      </c>
      <c r="J31" s="125">
        <f>Предположения!F253*$K$31</f>
        <v>0</v>
      </c>
      <c r="K31" s="125">
        <v>0</v>
      </c>
      <c r="L31" s="125">
        <f>Предположения!C253*$P$31</f>
        <v>0</v>
      </c>
      <c r="M31" s="125">
        <f>Предположения!D253*$P$31</f>
        <v>0</v>
      </c>
      <c r="N31" s="125">
        <f>Предположения!E253*$P$31</f>
        <v>0</v>
      </c>
      <c r="O31" s="125">
        <f>Предположения!F253*$P$31</f>
        <v>0</v>
      </c>
      <c r="P31" s="125">
        <v>0</v>
      </c>
      <c r="Q31" s="125">
        <f>Предположения!C253*$U$31</f>
        <v>0</v>
      </c>
      <c r="R31" s="125">
        <f>Предположения!D253*$U$31</f>
        <v>0</v>
      </c>
      <c r="S31" s="125">
        <f>Предположения!E253*$U$31</f>
        <v>0</v>
      </c>
      <c r="T31" s="125">
        <f>Предположения!F253*$U$31</f>
        <v>0</v>
      </c>
      <c r="U31" s="125">
        <v>0</v>
      </c>
      <c r="V31" s="125">
        <f>Предположения!C253*$Z$31</f>
        <v>0</v>
      </c>
      <c r="W31" s="125">
        <f>Предположения!D253*$Z$31</f>
        <v>0</v>
      </c>
      <c r="X31" s="125">
        <f>Предположения!E253*$Z$31</f>
        <v>0</v>
      </c>
      <c r="Y31" s="125">
        <f>Предположения!F253*$Z$31</f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</row>
    <row r="32" spans="1:31" s="47" customFormat="1" ht="14.4">
      <c r="A32" s="8" t="s">
        <v>614</v>
      </c>
      <c r="B32" s="125">
        <f>Предположения!C253*$F$32</f>
        <v>-621425.00836852344</v>
      </c>
      <c r="C32" s="125">
        <f>Предположения!D253*$F$32</f>
        <v>-621425.00836852344</v>
      </c>
      <c r="D32" s="125">
        <f>Предположения!E253*$F$32</f>
        <v>-621425.00836852344</v>
      </c>
      <c r="E32" s="125">
        <f>Предположения!F253*$F$32</f>
        <v>-621425.00836852344</v>
      </c>
      <c r="F32" s="125">
        <f>-Предположения!F52</f>
        <v>-2485700.0334740938</v>
      </c>
      <c r="G32" s="125">
        <f>Предположения!C253*$K$32</f>
        <v>-636508.13963960414</v>
      </c>
      <c r="H32" s="125">
        <f>Предположения!D253*$K$32</f>
        <v>-636508.13963960414</v>
      </c>
      <c r="I32" s="125">
        <f>Предположения!E253*$K$32</f>
        <v>-636508.13963960414</v>
      </c>
      <c r="J32" s="125">
        <f>Предположения!F253*$K$32</f>
        <v>-636508.13963960414</v>
      </c>
      <c r="K32" s="125">
        <f>-Предположения!G52</f>
        <v>-2546032.5585584166</v>
      </c>
      <c r="L32" s="125">
        <f>Предположения!C253*$P$32</f>
        <v>-648867.52099182922</v>
      </c>
      <c r="M32" s="125">
        <f>Предположения!D253*$P$32</f>
        <v>-648867.52099182922</v>
      </c>
      <c r="N32" s="125">
        <f>Предположения!E253*$P$32</f>
        <v>-648867.52099182922</v>
      </c>
      <c r="O32" s="125">
        <f>Предположения!F253*$P$32</f>
        <v>-648867.52099182922</v>
      </c>
      <c r="P32" s="125">
        <f>-Предположения!H52</f>
        <v>-2595470.0839673169</v>
      </c>
      <c r="Q32" s="125">
        <f>Предположения!C253*$U$32</f>
        <v>-658317.04799656477</v>
      </c>
      <c r="R32" s="125">
        <f>Предположения!D253*$U$32</f>
        <v>-658317.04799656477</v>
      </c>
      <c r="S32" s="125">
        <f>Предположения!E253*$U$32</f>
        <v>-658317.04799656477</v>
      </c>
      <c r="T32" s="125">
        <f>Предположения!F253*$U$32</f>
        <v>-658317.04799656477</v>
      </c>
      <c r="U32" s="125">
        <f>-Предположения!I52</f>
        <v>-2633268.1919862591</v>
      </c>
      <c r="V32" s="125">
        <f>Предположения!C253*$Z$32</f>
        <v>-664708.47564701689</v>
      </c>
      <c r="W32" s="125">
        <f>Предположения!D253*$Z$32</f>
        <v>-664708.47564701689</v>
      </c>
      <c r="X32" s="125">
        <f>Предположения!E253*$Z$32</f>
        <v>-664708.47564701689</v>
      </c>
      <c r="Y32" s="125">
        <f>Предположения!F253*$Z$32</f>
        <v>-664708.47564701689</v>
      </c>
      <c r="Z32" s="125">
        <f>-Предположения!J52</f>
        <v>-2658833.9025880676</v>
      </c>
      <c r="AA32" s="125">
        <f>-Предположения!K52</f>
        <v>-2671740.8632802414</v>
      </c>
      <c r="AB32" s="125">
        <f>-Предположения!L52</f>
        <v>-2671740.8632802414</v>
      </c>
      <c r="AC32" s="125">
        <f>-Предположения!M52</f>
        <v>-2658771.2474390748</v>
      </c>
      <c r="AD32" s="125">
        <f>-Предположения!N52</f>
        <v>-2632957.9343571425</v>
      </c>
      <c r="AE32" s="125">
        <f>-Предположения!O52</f>
        <v>-2594613.8867694172</v>
      </c>
    </row>
    <row r="33" spans="1:31" s="47" customFormat="1" ht="14.4">
      <c r="A33" s="8" t="s">
        <v>615</v>
      </c>
      <c r="B33" s="125">
        <f>Предположения!C253*$F$33</f>
        <v>0</v>
      </c>
      <c r="C33" s="125">
        <f>Предположения!D253*$F$33</f>
        <v>0</v>
      </c>
      <c r="D33" s="125">
        <f>Предположения!E253*$F$33</f>
        <v>0</v>
      </c>
      <c r="E33" s="125">
        <f>Предположения!F253*$F$33</f>
        <v>0</v>
      </c>
      <c r="F33" s="125">
        <f t="shared" ref="F33:AE33" si="11">-F49</f>
        <v>0</v>
      </c>
      <c r="G33" s="125">
        <f>Предположения!C253*$K$33</f>
        <v>0</v>
      </c>
      <c r="H33" s="125">
        <f>Предположения!D253*$K$33</f>
        <v>0</v>
      </c>
      <c r="I33" s="125">
        <f>Предположения!E253*$K$33</f>
        <v>0</v>
      </c>
      <c r="J33" s="125">
        <f>Предположения!F253*$K$33</f>
        <v>0</v>
      </c>
      <c r="K33" s="125">
        <f t="shared" si="11"/>
        <v>0</v>
      </c>
      <c r="L33" s="125">
        <f>Предположения!C253*$P$33</f>
        <v>-1500000</v>
      </c>
      <c r="M33" s="125">
        <f>Предположения!D253*$P$33</f>
        <v>-1500000</v>
      </c>
      <c r="N33" s="125">
        <f>Предположения!E253*$P$33</f>
        <v>-1500000</v>
      </c>
      <c r="O33" s="125">
        <f>Предположения!F253*$P$33</f>
        <v>-1500000</v>
      </c>
      <c r="P33" s="125">
        <f t="shared" si="11"/>
        <v>-6000000</v>
      </c>
      <c r="Q33" s="125">
        <f>Предположения!C253*$U$33</f>
        <v>-750000</v>
      </c>
      <c r="R33" s="125">
        <f>Предположения!D253*$U$33</f>
        <v>-750000</v>
      </c>
      <c r="S33" s="125">
        <f>Предположения!E253*$U$33</f>
        <v>-750000</v>
      </c>
      <c r="T33" s="125">
        <f>Предположения!F253*$U$33</f>
        <v>-750000</v>
      </c>
      <c r="U33" s="125">
        <f t="shared" si="11"/>
        <v>-3000000</v>
      </c>
      <c r="V33" s="125">
        <f>Предположения!C253*$Z$33</f>
        <v>-750000</v>
      </c>
      <c r="W33" s="125">
        <f>Предположения!D253*$Z$33</f>
        <v>-750000</v>
      </c>
      <c r="X33" s="125">
        <f>Предположения!E253*$Z$33</f>
        <v>-750000</v>
      </c>
      <c r="Y33" s="125">
        <f>Предположения!F253*$Z$33</f>
        <v>-750000</v>
      </c>
      <c r="Z33" s="125">
        <f t="shared" si="11"/>
        <v>-3000000</v>
      </c>
      <c r="AA33" s="125">
        <f t="shared" si="11"/>
        <v>0</v>
      </c>
      <c r="AB33" s="125">
        <f t="shared" si="11"/>
        <v>0</v>
      </c>
      <c r="AC33" s="125">
        <f t="shared" si="11"/>
        <v>0</v>
      </c>
      <c r="AD33" s="125">
        <f t="shared" si="11"/>
        <v>0</v>
      </c>
      <c r="AE33" s="125">
        <f t="shared" si="11"/>
        <v>0</v>
      </c>
    </row>
    <row r="34" spans="1:31" s="47" customFormat="1" ht="14.4">
      <c r="A34" s="8" t="s">
        <v>616</v>
      </c>
      <c r="B34" s="125">
        <f>Предположения!C253*$F$34</f>
        <v>0</v>
      </c>
      <c r="C34" s="125">
        <f>Предположения!D253*$F$34</f>
        <v>0</v>
      </c>
      <c r="D34" s="125">
        <f>Предположения!E253*$F$34</f>
        <v>0</v>
      </c>
      <c r="E34" s="125">
        <f>Предположения!F253*$F$34</f>
        <v>0</v>
      </c>
      <c r="F34" s="125">
        <v>0</v>
      </c>
      <c r="G34" s="125">
        <f>Предположения!C253*$K$34</f>
        <v>0</v>
      </c>
      <c r="H34" s="125">
        <f>Предположения!D253*$K$34</f>
        <v>0</v>
      </c>
      <c r="I34" s="125">
        <f>Предположения!E253*$K$34</f>
        <v>0</v>
      </c>
      <c r="J34" s="125">
        <f>Предположения!F253*$K$34</f>
        <v>0</v>
      </c>
      <c r="K34" s="125">
        <v>0</v>
      </c>
      <c r="L34" s="125">
        <f>Предположения!C253*$P$34</f>
        <v>0</v>
      </c>
      <c r="M34" s="125">
        <f>Предположения!D253*$P$34</f>
        <v>0</v>
      </c>
      <c r="N34" s="125">
        <f>Предположения!E253*$P$34</f>
        <v>0</v>
      </c>
      <c r="O34" s="125">
        <f>Предположения!F253*$P$34</f>
        <v>0</v>
      </c>
      <c r="P34" s="125">
        <v>0</v>
      </c>
      <c r="Q34" s="125">
        <f>Предположения!C253*$U$34</f>
        <v>0</v>
      </c>
      <c r="R34" s="125">
        <f>Предположения!D253*$U$34</f>
        <v>0</v>
      </c>
      <c r="S34" s="125">
        <f>Предположения!E253*$U$34</f>
        <v>0</v>
      </c>
      <c r="T34" s="125">
        <f>Предположения!F253*$U$34</f>
        <v>0</v>
      </c>
      <c r="U34" s="125">
        <v>0</v>
      </c>
      <c r="V34" s="125">
        <f>Предположения!C253*$Z$34</f>
        <v>0</v>
      </c>
      <c r="W34" s="125">
        <f>Предположения!D253*$Z$34</f>
        <v>0</v>
      </c>
      <c r="X34" s="125">
        <f>Предположения!E253*$Z$34</f>
        <v>0</v>
      </c>
      <c r="Y34" s="125">
        <f>Предположения!F253*$Z$34</f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</row>
    <row r="35" spans="1:31" s="47" customFormat="1" ht="14.4">
      <c r="A35" s="8" t="s">
        <v>617</v>
      </c>
      <c r="B35" s="125">
        <f>Предположения!C253*$F$35</f>
        <v>0</v>
      </c>
      <c r="C35" s="125">
        <f>Предположения!D253*$F$35</f>
        <v>0</v>
      </c>
      <c r="D35" s="125">
        <f>Предположения!E253*$F$35</f>
        <v>0</v>
      </c>
      <c r="E35" s="125">
        <f>Предположения!F253*$F$35</f>
        <v>0</v>
      </c>
      <c r="F35" s="125">
        <f>-Предположения!F51</f>
        <v>0</v>
      </c>
      <c r="G35" s="125">
        <f>Предположения!C253*$K$35</f>
        <v>0</v>
      </c>
      <c r="H35" s="125">
        <f>Предположения!D253*$K$35</f>
        <v>0</v>
      </c>
      <c r="I35" s="125">
        <f>Предположения!E253*$K$35</f>
        <v>0</v>
      </c>
      <c r="J35" s="125">
        <f>Предположения!F253*$K$35</f>
        <v>0</v>
      </c>
      <c r="K35" s="125">
        <f>-Предположения!G51</f>
        <v>0</v>
      </c>
      <c r="L35" s="125">
        <f>Предположения!C253*$P$35</f>
        <v>-5190940.1679346357</v>
      </c>
      <c r="M35" s="125">
        <f>Предположения!D253*$P$35</f>
        <v>-5190940.1679346357</v>
      </c>
      <c r="N35" s="125">
        <f>Предположения!E253*$P$35</f>
        <v>-5190940.1679346357</v>
      </c>
      <c r="O35" s="125">
        <f>Предположения!F253*$P$35</f>
        <v>-5190940.1679346357</v>
      </c>
      <c r="P35" s="125">
        <f>-Предположения!H51</f>
        <v>-20763760.671738543</v>
      </c>
      <c r="Q35" s="125">
        <f>Предположения!C253*$U$35</f>
        <v>-2633268.1919862591</v>
      </c>
      <c r="R35" s="125">
        <f>Предположения!D253*$U$35</f>
        <v>-2633268.1919862591</v>
      </c>
      <c r="S35" s="125">
        <f>Предположения!E253*$U$35</f>
        <v>-2633268.1919862591</v>
      </c>
      <c r="T35" s="125">
        <f>Предположения!F253*$U$35</f>
        <v>-2633268.1919862591</v>
      </c>
      <c r="U35" s="125">
        <f>-Предположения!I51</f>
        <v>-10533072.767945036</v>
      </c>
      <c r="V35" s="125">
        <f>Предположения!C253*$Z$35</f>
        <v>-2658833.9025880676</v>
      </c>
      <c r="W35" s="125">
        <f>Предположения!D253*$Z$35</f>
        <v>-2658833.9025880676</v>
      </c>
      <c r="X35" s="125">
        <f>Предположения!E253*$Z$35</f>
        <v>-2658833.9025880676</v>
      </c>
      <c r="Y35" s="125">
        <f>Предположения!F253*$Z$35</f>
        <v>-2658833.9025880676</v>
      </c>
      <c r="Z35" s="125">
        <f>-Предположения!J51</f>
        <v>-10635335.61035227</v>
      </c>
      <c r="AA35" s="125">
        <f>-Предположения!K51</f>
        <v>0</v>
      </c>
      <c r="AB35" s="125">
        <f>-Предположения!L51</f>
        <v>0</v>
      </c>
      <c r="AC35" s="125">
        <f>-Предположения!M51</f>
        <v>0</v>
      </c>
      <c r="AD35" s="125">
        <f>-Предположения!N51</f>
        <v>0</v>
      </c>
      <c r="AE35" s="125">
        <f>-Предположения!O51</f>
        <v>0</v>
      </c>
    </row>
    <row r="36" spans="1:31" s="47" customFormat="1" ht="14.4">
      <c r="A36" s="8" t="s">
        <v>618</v>
      </c>
      <c r="B36" s="125">
        <f>Предположения!C253*$F$36</f>
        <v>0</v>
      </c>
      <c r="C36" s="125">
        <f>Предположения!D253*$F$36</f>
        <v>0</v>
      </c>
      <c r="D36" s="125">
        <f>Предположения!E253*$F$36</f>
        <v>0</v>
      </c>
      <c r="E36" s="125">
        <f>Предположения!F253*$F$36</f>
        <v>0</v>
      </c>
      <c r="F36" s="125">
        <v>0</v>
      </c>
      <c r="G36" s="125">
        <f>Предположения!C253*$K$36</f>
        <v>0</v>
      </c>
      <c r="H36" s="125">
        <f>Предположения!D253*$K$36</f>
        <v>0</v>
      </c>
      <c r="I36" s="125">
        <f>Предположения!E253*$K$36</f>
        <v>0</v>
      </c>
      <c r="J36" s="125">
        <f>Предположения!F253*$K$36</f>
        <v>0</v>
      </c>
      <c r="K36" s="125">
        <v>0</v>
      </c>
      <c r="L36" s="125">
        <f>Предположения!C253*$P$36</f>
        <v>0</v>
      </c>
      <c r="M36" s="125">
        <f>Предположения!D253*$P$36</f>
        <v>0</v>
      </c>
      <c r="N36" s="125">
        <f>Предположения!E253*$P$36</f>
        <v>0</v>
      </c>
      <c r="O36" s="125">
        <f>Предположения!F253*$P$36</f>
        <v>0</v>
      </c>
      <c r="P36" s="125">
        <v>0</v>
      </c>
      <c r="Q36" s="125">
        <f>Предположения!C253*$U$36</f>
        <v>0</v>
      </c>
      <c r="R36" s="125">
        <f>Предположения!D253*$U$36</f>
        <v>0</v>
      </c>
      <c r="S36" s="125">
        <f>Предположения!E253*$U$36</f>
        <v>0</v>
      </c>
      <c r="T36" s="125">
        <f>Предположения!F253*$U$36</f>
        <v>0</v>
      </c>
      <c r="U36" s="125">
        <v>0</v>
      </c>
      <c r="V36" s="125">
        <f>Предположения!C253*$Z$36</f>
        <v>0</v>
      </c>
      <c r="W36" s="125">
        <f>Предположения!D253*$Z$36</f>
        <v>0</v>
      </c>
      <c r="X36" s="125">
        <f>Предположения!E253*$Z$36</f>
        <v>0</v>
      </c>
      <c r="Y36" s="125">
        <f>Предположения!F253*$Z$36</f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</row>
    <row r="37" spans="1:31" s="47" customFormat="1" ht="14.4">
      <c r="A37" s="8" t="s">
        <v>619</v>
      </c>
      <c r="B37" s="125">
        <f>Предположения!C253*$F$37</f>
        <v>0</v>
      </c>
      <c r="C37" s="125">
        <f>Предположения!D253*$F$37</f>
        <v>0</v>
      </c>
      <c r="D37" s="125">
        <f>Предположения!E253*$F$37</f>
        <v>0</v>
      </c>
      <c r="E37" s="125">
        <f>Предположения!F253*$F$37</f>
        <v>0</v>
      </c>
      <c r="F37" s="125">
        <v>0</v>
      </c>
      <c r="G37" s="125">
        <f>Предположения!C253*$K$37</f>
        <v>0</v>
      </c>
      <c r="H37" s="125">
        <f>Предположения!D253*$K$37</f>
        <v>0</v>
      </c>
      <c r="I37" s="125">
        <f>Предположения!E253*$K$37</f>
        <v>0</v>
      </c>
      <c r="J37" s="125">
        <f>Предположения!F253*$K$37</f>
        <v>0</v>
      </c>
      <c r="K37" s="125">
        <v>0</v>
      </c>
      <c r="L37" s="125">
        <f>Предположения!C253*$P$37</f>
        <v>0</v>
      </c>
      <c r="M37" s="125">
        <f>Предположения!D253*$P$37</f>
        <v>0</v>
      </c>
      <c r="N37" s="125">
        <f>Предположения!E253*$P$37</f>
        <v>0</v>
      </c>
      <c r="O37" s="125">
        <f>Предположения!F253*$P$37</f>
        <v>0</v>
      </c>
      <c r="P37" s="125">
        <v>0</v>
      </c>
      <c r="Q37" s="125">
        <f>Предположения!C253*$U$37</f>
        <v>0</v>
      </c>
      <c r="R37" s="125">
        <f>Предположения!D253*$U$37</f>
        <v>0</v>
      </c>
      <c r="S37" s="125">
        <f>Предположения!E253*$U$37</f>
        <v>0</v>
      </c>
      <c r="T37" s="125">
        <f>Предположения!F253*$U$37</f>
        <v>0</v>
      </c>
      <c r="U37" s="125">
        <v>0</v>
      </c>
      <c r="V37" s="125">
        <f>Предположения!C253*$Z$37</f>
        <v>0</v>
      </c>
      <c r="W37" s="125">
        <f>Предположения!D253*$Z$37</f>
        <v>0</v>
      </c>
      <c r="X37" s="125">
        <f>Предположения!E253*$Z$37</f>
        <v>0</v>
      </c>
      <c r="Y37" s="125">
        <f>Предположения!F253*$Z$37</f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</row>
    <row r="38" spans="1:31" s="47" customFormat="1" ht="14.4">
      <c r="A38" s="8" t="s">
        <v>651</v>
      </c>
      <c r="B38" s="125">
        <f>Предположения!C253*$F$38</f>
        <v>0</v>
      </c>
      <c r="C38" s="125">
        <f>Предположения!D253*$F$38</f>
        <v>0</v>
      </c>
      <c r="D38" s="125">
        <f>Предположения!E253*$F$38</f>
        <v>0</v>
      </c>
      <c r="E38" s="125">
        <f>Предположения!F253*$F$38</f>
        <v>0</v>
      </c>
      <c r="F38" s="125">
        <v>0</v>
      </c>
      <c r="G38" s="125">
        <f>Предположения!C253*$K$38</f>
        <v>0</v>
      </c>
      <c r="H38" s="125">
        <f>Предположения!D253*$K$38</f>
        <v>0</v>
      </c>
      <c r="I38" s="125">
        <f>Предположения!E253*$K$38</f>
        <v>0</v>
      </c>
      <c r="J38" s="125">
        <f>Предположения!F253*$K$38</f>
        <v>0</v>
      </c>
      <c r="K38" s="125">
        <v>0</v>
      </c>
      <c r="L38" s="125">
        <f>Предположения!C253*$P$38</f>
        <v>0</v>
      </c>
      <c r="M38" s="125">
        <f>Предположения!D253*$P$38</f>
        <v>0</v>
      </c>
      <c r="N38" s="125">
        <f>Предположения!E253*$P$38</f>
        <v>0</v>
      </c>
      <c r="O38" s="125">
        <f>Предположения!F253*$P$38</f>
        <v>0</v>
      </c>
      <c r="P38" s="125">
        <v>0</v>
      </c>
      <c r="Q38" s="125">
        <f>Предположения!C253*$U$38</f>
        <v>0</v>
      </c>
      <c r="R38" s="125">
        <f>Предположения!D253*$U$38</f>
        <v>0</v>
      </c>
      <c r="S38" s="125">
        <f>Предположения!E253*$U$38</f>
        <v>0</v>
      </c>
      <c r="T38" s="125">
        <f>Предположения!F253*$U$38</f>
        <v>0</v>
      </c>
      <c r="U38" s="125">
        <v>0</v>
      </c>
      <c r="V38" s="125">
        <f>Предположения!C253*$Z$38</f>
        <v>0</v>
      </c>
      <c r="W38" s="125">
        <f>Предположения!D253*$Z$38</f>
        <v>0</v>
      </c>
      <c r="X38" s="125">
        <f>Предположения!E253*$Z$38</f>
        <v>0</v>
      </c>
      <c r="Y38" s="125">
        <f>Предположения!F253*$Z$38</f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</row>
    <row r="39" spans="1:31" s="36" customFormat="1">
      <c r="A39" s="9" t="s">
        <v>620</v>
      </c>
      <c r="B39" s="54">
        <f t="shared" ref="B39:E39" si="12">SUM(B31:B38)</f>
        <v>-621425.00836852344</v>
      </c>
      <c r="C39" s="54">
        <f t="shared" si="12"/>
        <v>-621425.00836852344</v>
      </c>
      <c r="D39" s="54">
        <f t="shared" si="12"/>
        <v>-621425.00836852344</v>
      </c>
      <c r="E39" s="54">
        <f t="shared" si="12"/>
        <v>-621425.00836852344</v>
      </c>
      <c r="F39" s="54">
        <f t="shared" ref="F39:AE39" si="13">SUM(F31:F38)</f>
        <v>-2485700.0334740938</v>
      </c>
      <c r="G39" s="54">
        <f t="shared" si="13"/>
        <v>-636508.13963960414</v>
      </c>
      <c r="H39" s="54">
        <f t="shared" si="13"/>
        <v>-636508.13963960414</v>
      </c>
      <c r="I39" s="54">
        <f t="shared" si="13"/>
        <v>-636508.13963960414</v>
      </c>
      <c r="J39" s="54">
        <f t="shared" si="13"/>
        <v>-636508.13963960414</v>
      </c>
      <c r="K39" s="54">
        <f t="shared" si="13"/>
        <v>-2546032.5585584166</v>
      </c>
      <c r="L39" s="54">
        <f t="shared" si="13"/>
        <v>-7339807.6889264649</v>
      </c>
      <c r="M39" s="54">
        <f t="shared" si="13"/>
        <v>-7339807.6889264649</v>
      </c>
      <c r="N39" s="54">
        <f t="shared" si="13"/>
        <v>-7339807.6889264649</v>
      </c>
      <c r="O39" s="54">
        <f t="shared" si="13"/>
        <v>-7339807.6889264649</v>
      </c>
      <c r="P39" s="54">
        <f t="shared" si="13"/>
        <v>-29359230.75570586</v>
      </c>
      <c r="Q39" s="54">
        <f t="shared" si="13"/>
        <v>-4041585.2399828238</v>
      </c>
      <c r="R39" s="54">
        <f t="shared" si="13"/>
        <v>-4041585.2399828238</v>
      </c>
      <c r="S39" s="54">
        <f t="shared" si="13"/>
        <v>-4041585.2399828238</v>
      </c>
      <c r="T39" s="54">
        <f t="shared" si="13"/>
        <v>-4041585.2399828238</v>
      </c>
      <c r="U39" s="54">
        <f t="shared" si="13"/>
        <v>-16166340.959931295</v>
      </c>
      <c r="V39" s="54">
        <f t="shared" si="13"/>
        <v>-4073542.3782350845</v>
      </c>
      <c r="W39" s="54">
        <f t="shared" si="13"/>
        <v>-4073542.3782350845</v>
      </c>
      <c r="X39" s="54">
        <f t="shared" si="13"/>
        <v>-4073542.3782350845</v>
      </c>
      <c r="Y39" s="54">
        <f t="shared" si="13"/>
        <v>-4073542.3782350845</v>
      </c>
      <c r="Z39" s="54">
        <f t="shared" si="13"/>
        <v>-16294169.512940338</v>
      </c>
      <c r="AA39" s="54">
        <f t="shared" si="13"/>
        <v>-2671740.8632802414</v>
      </c>
      <c r="AB39" s="54">
        <f t="shared" si="13"/>
        <v>-2671740.8632802414</v>
      </c>
      <c r="AC39" s="54">
        <f t="shared" si="13"/>
        <v>-2658771.2474390748</v>
      </c>
      <c r="AD39" s="54">
        <f t="shared" si="13"/>
        <v>-2632957.9343571425</v>
      </c>
      <c r="AE39" s="54">
        <f t="shared" si="13"/>
        <v>-2594613.8867694172</v>
      </c>
    </row>
    <row r="40" spans="1:31" s="44" customFormat="1">
      <c r="A40" s="9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31" ht="21">
      <c r="A41" s="92" t="s">
        <v>621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</row>
    <row r="42" spans="1:31" s="1" customFormat="1" ht="15.6">
      <c r="A42" s="95" t="s">
        <v>404</v>
      </c>
      <c r="B42" s="42">
        <f>Предположения!C233*$F$42</f>
        <v>0</v>
      </c>
      <c r="C42" s="42">
        <f>Предположения!D233*$F$42</f>
        <v>0</v>
      </c>
      <c r="D42" s="42">
        <f>Предположения!E233*$F$42</f>
        <v>0</v>
      </c>
      <c r="E42" s="42">
        <f>Предположения!F233*$F$42</f>
        <v>0</v>
      </c>
      <c r="F42" s="42">
        <f>'Pr P&amp;L proj'!E37</f>
        <v>0</v>
      </c>
      <c r="G42" s="42">
        <f>Предположения!C233*$K$42</f>
        <v>0</v>
      </c>
      <c r="H42" s="42">
        <f>Предположения!D233*$K$42</f>
        <v>0</v>
      </c>
      <c r="I42" s="42">
        <f>Предположения!E233*$K$42</f>
        <v>0</v>
      </c>
      <c r="J42" s="42">
        <f>Предположения!F233*$K$42</f>
        <v>0</v>
      </c>
      <c r="K42" s="42">
        <f>'Pr P&amp;L proj'!F37</f>
        <v>0</v>
      </c>
      <c r="L42" s="42">
        <f>Предположения!C233*$P$42</f>
        <v>0</v>
      </c>
      <c r="M42" s="42">
        <f>Предположения!D233*$P$42</f>
        <v>0</v>
      </c>
      <c r="N42" s="42">
        <f>Предположения!E233*$P$42</f>
        <v>0</v>
      </c>
      <c r="O42" s="42">
        <f>Предположения!F233*$P$42</f>
        <v>0</v>
      </c>
      <c r="P42" s="42">
        <f>'Pr P&amp;L proj'!G37</f>
        <v>0</v>
      </c>
      <c r="Q42" s="42">
        <f>Предположения!C233*$U$42</f>
        <v>0</v>
      </c>
      <c r="R42" s="42">
        <f>Предположения!D233*$U$42</f>
        <v>0</v>
      </c>
      <c r="S42" s="42">
        <f>Предположения!E233*$U$42</f>
        <v>0</v>
      </c>
      <c r="T42" s="42">
        <f>Предположения!F233*$U$42</f>
        <v>0</v>
      </c>
      <c r="U42" s="42">
        <f>'Pr P&amp;L proj'!H37</f>
        <v>0</v>
      </c>
      <c r="V42" s="42">
        <f>Предположения!C233*$Z$42</f>
        <v>0</v>
      </c>
      <c r="W42" s="42">
        <f>Предположения!D233*$Z$42</f>
        <v>0</v>
      </c>
      <c r="X42" s="42">
        <f>Предположения!E233*$Z$42</f>
        <v>0</v>
      </c>
      <c r="Y42" s="42">
        <f>Предположения!F233*$Z$42</f>
        <v>0</v>
      </c>
      <c r="Z42" s="42">
        <f>'Pr P&amp;L proj'!I37</f>
        <v>0</v>
      </c>
      <c r="AA42" s="42">
        <f>'Pr P&amp;L proj'!J37</f>
        <v>0</v>
      </c>
      <c r="AB42" s="42">
        <f>'Pr P&amp;L proj'!K37</f>
        <v>0</v>
      </c>
      <c r="AC42" s="42">
        <f>'Pr P&amp;L proj'!L37</f>
        <v>0</v>
      </c>
      <c r="AD42" s="42">
        <f>'Pr P&amp;L proj'!M37</f>
        <v>0</v>
      </c>
      <c r="AE42" s="42">
        <f>'Pr P&amp;L proj'!N37</f>
        <v>0</v>
      </c>
    </row>
    <row r="43" spans="1:31" s="1" customFormat="1" ht="15.6">
      <c r="A43" s="1" t="s">
        <v>449</v>
      </c>
      <c r="B43" s="42">
        <f t="shared" ref="B43:E43" si="14">B44+B46+B45</f>
        <v>-83230.984748914445</v>
      </c>
      <c r="C43" s="42">
        <f t="shared" si="14"/>
        <v>-814480.98474891449</v>
      </c>
      <c r="D43" s="42">
        <f t="shared" si="14"/>
        <v>-83230.984748914445</v>
      </c>
      <c r="E43" s="42">
        <f t="shared" si="14"/>
        <v>-83230.984748914445</v>
      </c>
      <c r="F43" s="42">
        <f>F44+F46+F45</f>
        <v>-1064173.9389956577</v>
      </c>
      <c r="G43" s="42">
        <f t="shared" ref="G43:J43" si="15">G44+G46+G45</f>
        <v>-62671.572648840222</v>
      </c>
      <c r="H43" s="42">
        <f t="shared" si="15"/>
        <v>-793921.57264884026</v>
      </c>
      <c r="I43" s="42">
        <f t="shared" si="15"/>
        <v>-62671.572648840222</v>
      </c>
      <c r="J43" s="42">
        <f t="shared" si="15"/>
        <v>-62671.572648840222</v>
      </c>
      <c r="K43" s="42">
        <f>K44+K46+K45</f>
        <v>-981936.29059536092</v>
      </c>
      <c r="L43" s="42">
        <f t="shared" ref="L43:O43" si="16">L44+L46+L45</f>
        <v>-47246.152417912017</v>
      </c>
      <c r="M43" s="42">
        <f t="shared" si="16"/>
        <v>-924746.15241791215</v>
      </c>
      <c r="N43" s="42">
        <f t="shared" si="16"/>
        <v>-47246.152417912017</v>
      </c>
      <c r="O43" s="42">
        <f t="shared" si="16"/>
        <v>-47246.152417912017</v>
      </c>
      <c r="P43" s="42">
        <f t="shared" ref="P43:AE43" si="17">P44++P46+P45</f>
        <v>-1066484.6096716481</v>
      </c>
      <c r="Q43" s="42">
        <f t="shared" ref="Q43:T43" si="18">Q44+Q46+Q45</f>
        <v>-41954.194562737059</v>
      </c>
      <c r="R43" s="42">
        <f t="shared" si="18"/>
        <v>-992579.19456273713</v>
      </c>
      <c r="S43" s="42">
        <f t="shared" si="18"/>
        <v>-41954.194562737059</v>
      </c>
      <c r="T43" s="42">
        <f t="shared" si="18"/>
        <v>-41954.194562737059</v>
      </c>
      <c r="U43" s="42">
        <f>U44+U46+U45</f>
        <v>-1118441.7782509483</v>
      </c>
      <c r="V43" s="42">
        <f t="shared" si="17"/>
        <v>-26972.578692422823</v>
      </c>
      <c r="W43" s="42">
        <f t="shared" si="17"/>
        <v>-1050722.5786924229</v>
      </c>
      <c r="X43" s="42">
        <f t="shared" si="17"/>
        <v>-26972.578692422823</v>
      </c>
      <c r="Y43" s="42">
        <f t="shared" si="17"/>
        <v>-26972.578692422823</v>
      </c>
      <c r="Z43" s="42">
        <f t="shared" si="17"/>
        <v>-1131640.3147696913</v>
      </c>
      <c r="AA43" s="42">
        <f t="shared" si="17"/>
        <v>-1135416.4757866305</v>
      </c>
      <c r="AB43" s="42">
        <f t="shared" si="17"/>
        <v>-1139324.8024391627</v>
      </c>
      <c r="AC43" s="42">
        <f t="shared" si="17"/>
        <v>-1143369.9205245334</v>
      </c>
      <c r="AD43" s="42">
        <f t="shared" si="17"/>
        <v>-1147556.6177428921</v>
      </c>
      <c r="AE43" s="42">
        <f t="shared" si="17"/>
        <v>-1151889.8493638933</v>
      </c>
    </row>
    <row r="44" spans="1:31" s="47" customFormat="1" ht="14.4">
      <c r="A44" s="47" t="s">
        <v>400</v>
      </c>
      <c r="B44" s="125">
        <f>Предположения!C253*$F$44</f>
        <v>-16789.317187500001</v>
      </c>
      <c r="C44" s="125">
        <f>Предположения!D253*$F$44</f>
        <v>-16789.317187500001</v>
      </c>
      <c r="D44" s="125">
        <f>Предположения!E253*$F$44</f>
        <v>-16789.317187500001</v>
      </c>
      <c r="E44" s="125">
        <f>Предположения!F253*$F$44</f>
        <v>-16789.317187500001</v>
      </c>
      <c r="F44" s="125">
        <f>'Pr P&amp;L proj'!E33</f>
        <v>-67157.268750000003</v>
      </c>
      <c r="G44" s="125">
        <f>Предположения!C253*$K$44</f>
        <v>-17137.591453125002</v>
      </c>
      <c r="H44" s="125">
        <f>Предположения!D253*$K$44</f>
        <v>-17137.591453125002</v>
      </c>
      <c r="I44" s="125">
        <f>Предположения!E253*$K$44</f>
        <v>-17137.591453125002</v>
      </c>
      <c r="J44" s="125">
        <f>Предположения!F253*$K$44</f>
        <v>-17137.591453125002</v>
      </c>
      <c r="K44" s="125">
        <f>'Pr P&amp;L proj'!F33</f>
        <v>-68550.365812500007</v>
      </c>
      <c r="L44" s="125">
        <f>Предположения!C253*$P$44</f>
        <v>-21458.298989917967</v>
      </c>
      <c r="M44" s="125">
        <f>Предположения!D253*$P$44</f>
        <v>-21458.298989917967</v>
      </c>
      <c r="N44" s="125">
        <f>Предположения!E253*$P$44</f>
        <v>-21458.298989917967</v>
      </c>
      <c r="O44" s="125">
        <f>Предположения!F253*$P$44</f>
        <v>-21458.298989917967</v>
      </c>
      <c r="P44" s="125">
        <f>'Pr P&amp;L proj'!G33</f>
        <v>-85833.195959671866</v>
      </c>
      <c r="Q44" s="125">
        <f>Предположения!C253*$U$44</f>
        <v>-24070.801062047696</v>
      </c>
      <c r="R44" s="125">
        <f>Предположения!D253*$U$44</f>
        <v>-24070.801062047696</v>
      </c>
      <c r="S44" s="125">
        <f>Предположения!E253*$U$44</f>
        <v>-24070.801062047696</v>
      </c>
      <c r="T44" s="125">
        <f>Предположения!F253*$U$44</f>
        <v>-24070.801062047696</v>
      </c>
      <c r="U44" s="125">
        <f>'Pr P&amp;L proj'!H33</f>
        <v>-96283.204248190785</v>
      </c>
      <c r="V44" s="125">
        <f>Предположения!C253*$Z$44</f>
        <v>-26972.578692422823</v>
      </c>
      <c r="W44" s="125">
        <f>Предположения!D253*$Z$44</f>
        <v>-26972.578692422823</v>
      </c>
      <c r="X44" s="125">
        <f>Предположения!E253*$Z$44</f>
        <v>-26972.578692422823</v>
      </c>
      <c r="Y44" s="125">
        <f>Предположения!F253*$Z$44</f>
        <v>-26972.578692422823</v>
      </c>
      <c r="Z44" s="125">
        <f>'Pr P&amp;L proj'!I33</f>
        <v>-107890.31476969129</v>
      </c>
      <c r="AA44" s="125">
        <f>'Pr P&amp;L proj'!J33</f>
        <v>-111666.4757866305</v>
      </c>
      <c r="AB44" s="125">
        <f>'Pr P&amp;L proj'!K33</f>
        <v>-115574.80243916257</v>
      </c>
      <c r="AC44" s="125">
        <f>'Pr P&amp;L proj'!L33</f>
        <v>-119619.92052453326</v>
      </c>
      <c r="AD44" s="125">
        <f>'Pr P&amp;L proj'!M33</f>
        <v>-123806.6177428919</v>
      </c>
      <c r="AE44" s="125">
        <f>'Pr P&amp;L proj'!N33</f>
        <v>-128139.84936389312</v>
      </c>
    </row>
    <row r="45" spans="1:31" s="47" customFormat="1" ht="14.4">
      <c r="A45" s="47" t="s">
        <v>403</v>
      </c>
      <c r="B45" s="125">
        <f>Предположения!C239*$F$45</f>
        <v>0</v>
      </c>
      <c r="C45" s="125">
        <f>Предположения!D239*$F$45</f>
        <v>-731250</v>
      </c>
      <c r="D45" s="125">
        <f>Предположения!E239*$F$45</f>
        <v>0</v>
      </c>
      <c r="E45" s="125">
        <f>Предположения!F239*$F$45</f>
        <v>0</v>
      </c>
      <c r="F45" s="125">
        <f>'Pr P&amp;L proj'!E35</f>
        <v>-731250</v>
      </c>
      <c r="G45" s="125">
        <f>Предположения!C239*$K$45</f>
        <v>0</v>
      </c>
      <c r="H45" s="125">
        <f>Предположения!D239*$K$45</f>
        <v>-731250</v>
      </c>
      <c r="I45" s="125">
        <f>Предположения!E239*$K$45</f>
        <v>0</v>
      </c>
      <c r="J45" s="125">
        <f>Предположения!F239*$K$45</f>
        <v>0</v>
      </c>
      <c r="K45" s="125">
        <f>'Pr P&amp;L proj'!F35</f>
        <v>-731250</v>
      </c>
      <c r="L45" s="125">
        <f>Предположения!C239*$P$45</f>
        <v>0</v>
      </c>
      <c r="M45" s="125">
        <f>Предположения!D239*$P$45</f>
        <v>-877500.00000000012</v>
      </c>
      <c r="N45" s="125">
        <f>Предположения!E239*$P$45</f>
        <v>0</v>
      </c>
      <c r="O45" s="125">
        <f>Предположения!F239*$P$45</f>
        <v>0</v>
      </c>
      <c r="P45" s="125">
        <f>'Pr P&amp;L proj'!G35</f>
        <v>-877500.00000000012</v>
      </c>
      <c r="Q45" s="125">
        <f>Предположения!C239*$U$45</f>
        <v>0</v>
      </c>
      <c r="R45" s="125">
        <f>Предположения!D239*$U$45</f>
        <v>-950625.00000000012</v>
      </c>
      <c r="S45" s="125">
        <f>Предположения!E239*$U$45</f>
        <v>0</v>
      </c>
      <c r="T45" s="125">
        <f>Предположения!F239*$U$45</f>
        <v>0</v>
      </c>
      <c r="U45" s="125">
        <f>'Pr P&amp;L proj'!H35</f>
        <v>-950625.00000000012</v>
      </c>
      <c r="V45" s="125">
        <f>Предположения!C239*$Z$45</f>
        <v>0</v>
      </c>
      <c r="W45" s="125">
        <f>Предположения!D239*$Z$45</f>
        <v>-1023750.0000000001</v>
      </c>
      <c r="X45" s="125">
        <f>Предположения!E239*$Z$45</f>
        <v>0</v>
      </c>
      <c r="Y45" s="125">
        <f>Предположения!F239*$Z$45</f>
        <v>0</v>
      </c>
      <c r="Z45" s="125">
        <f>'Pr P&amp;L proj'!I35</f>
        <v>-1023750.0000000001</v>
      </c>
      <c r="AA45" s="125">
        <f>'Pr P&amp;L proj'!J35</f>
        <v>-1023750.0000000001</v>
      </c>
      <c r="AB45" s="125">
        <f>'Pr P&amp;L proj'!K35</f>
        <v>-1023750.0000000001</v>
      </c>
      <c r="AC45" s="125">
        <f>'Pr P&amp;L proj'!L35</f>
        <v>-1023750.0000000001</v>
      </c>
      <c r="AD45" s="125">
        <f>'Pr P&amp;L proj'!M35</f>
        <v>-1023750.0000000001</v>
      </c>
      <c r="AE45" s="125">
        <f>'Pr P&amp;L proj'!N35</f>
        <v>-1023750.0000000001</v>
      </c>
    </row>
    <row r="46" spans="1:31" s="47" customFormat="1" ht="14.4">
      <c r="A46" s="47" t="s">
        <v>622</v>
      </c>
      <c r="B46" s="125">
        <f>Предположения!C253*$F$46</f>
        <v>-66441.667561414448</v>
      </c>
      <c r="C46" s="125">
        <f>Предположения!D253*$F$46</f>
        <v>-66441.667561414448</v>
      </c>
      <c r="D46" s="125">
        <f>Предположения!E253*$F$46</f>
        <v>-66441.667561414448</v>
      </c>
      <c r="E46" s="125">
        <f>Предположения!F253*$F$46</f>
        <v>-66441.667561414448</v>
      </c>
      <c r="F46" s="125">
        <f>'Pr P&amp;L proj'!E36</f>
        <v>-265766.67024565779</v>
      </c>
      <c r="G46" s="125">
        <f>Предположения!C253*$K$46</f>
        <v>-45533.98119571522</v>
      </c>
      <c r="H46" s="125">
        <f>Предположения!D253*$K$46</f>
        <v>-45533.98119571522</v>
      </c>
      <c r="I46" s="125">
        <f>Предположения!E253*$K$46</f>
        <v>-45533.98119571522</v>
      </c>
      <c r="J46" s="125">
        <f>Предположения!F253*$K$46</f>
        <v>-45533.98119571522</v>
      </c>
      <c r="K46" s="125">
        <f>'Pr P&amp;L proj'!F36</f>
        <v>-182135.92478286088</v>
      </c>
      <c r="L46" s="125">
        <f>Предположения!C253*$P$46</f>
        <v>-25787.853427994054</v>
      </c>
      <c r="M46" s="125">
        <f>Предположения!D253*$P$46</f>
        <v>-25787.853427994054</v>
      </c>
      <c r="N46" s="125">
        <f>Предположения!E253*$P$46</f>
        <v>-25787.853427994054</v>
      </c>
      <c r="O46" s="125">
        <f>Предположения!F253*$P$46</f>
        <v>-25787.853427994054</v>
      </c>
      <c r="P46" s="125">
        <f>'Pr P&amp;L proj'!G36</f>
        <v>-103151.41371197622</v>
      </c>
      <c r="Q46" s="125">
        <f>Предположения!C253*$U$46</f>
        <v>-17883.393500689359</v>
      </c>
      <c r="R46" s="125">
        <f>Предположения!D253*$U$46</f>
        <v>-17883.393500689359</v>
      </c>
      <c r="S46" s="125">
        <f>Предположения!E253*$U$46</f>
        <v>-17883.393500689359</v>
      </c>
      <c r="T46" s="125">
        <f>Предположения!F253*$U$46</f>
        <v>-17883.393500689359</v>
      </c>
      <c r="U46" s="125">
        <f>'Pr P&amp;L proj'!H36</f>
        <v>-71533.574002757436</v>
      </c>
      <c r="V46" s="125">
        <f>Предположения!C253*$Z$46</f>
        <v>0</v>
      </c>
      <c r="W46" s="125">
        <f>Предположения!D253*$Z$46</f>
        <v>0</v>
      </c>
      <c r="X46" s="125">
        <f>Предположения!E253*$Z$46</f>
        <v>0</v>
      </c>
      <c r="Y46" s="125">
        <f>Предположения!F253*$Z$46</f>
        <v>0</v>
      </c>
      <c r="Z46" s="125">
        <f>'Pr P&amp;L proj'!I36</f>
        <v>0</v>
      </c>
      <c r="AA46" s="125">
        <f>'Pr P&amp;L proj'!J36</f>
        <v>0</v>
      </c>
      <c r="AB46" s="125">
        <f>'Pr P&amp;L proj'!K36</f>
        <v>0</v>
      </c>
      <c r="AC46" s="125">
        <f>'Pr P&amp;L proj'!L36</f>
        <v>0</v>
      </c>
      <c r="AD46" s="125">
        <f>'Pr P&amp;L proj'!M36</f>
        <v>0</v>
      </c>
      <c r="AE46" s="125">
        <f>'Pr P&amp;L proj'!N36</f>
        <v>0</v>
      </c>
    </row>
    <row r="47" spans="1:31" s="44" customFormat="1" ht="15.6">
      <c r="A47" s="95" t="s">
        <v>623</v>
      </c>
      <c r="B47" s="43">
        <f>Предположения!C240*$F$47</f>
        <v>1594600.0214739467</v>
      </c>
      <c r="C47" s="43">
        <f>Предположения!D240*$F$47</f>
        <v>3720733.3834392093</v>
      </c>
      <c r="D47" s="43">
        <f>Предположения!E240*$F$47</f>
        <v>0</v>
      </c>
      <c r="E47" s="43">
        <f>Предположения!F240*$F$47</f>
        <v>0</v>
      </c>
      <c r="F47" s="43">
        <f>'Pr Fin'!E25+'Pr Fin'!E32+'Pr Fin'!E38</f>
        <v>5315333.4049131563</v>
      </c>
      <c r="G47" s="43">
        <f>Предположения!C240*$K$47</f>
        <v>1092815.5486971652</v>
      </c>
      <c r="H47" s="43">
        <f>Предположения!D240*$K$47</f>
        <v>2549902.946960052</v>
      </c>
      <c r="I47" s="43">
        <f>Предположения!E240*$K$47</f>
        <v>0</v>
      </c>
      <c r="J47" s="43">
        <f>Предположения!F240*$K$47</f>
        <v>0</v>
      </c>
      <c r="K47" s="43">
        <f>'Pr Fin'!F25+'Pr Fin'!F32+'Pr Fin'!F38</f>
        <v>3642718.4956572172</v>
      </c>
      <c r="L47" s="43">
        <f>Предположения!C240*$P$47</f>
        <v>618908.48227185721</v>
      </c>
      <c r="M47" s="43">
        <f>Предположения!D240*$P$47</f>
        <v>1444119.7919676669</v>
      </c>
      <c r="N47" s="43">
        <f>Предположения!E240*$P$47</f>
        <v>0</v>
      </c>
      <c r="O47" s="43">
        <f>Предположения!F240*$P$47</f>
        <v>0</v>
      </c>
      <c r="P47" s="43">
        <f>'Pr Fin'!G25+'Pr Fin'!G32+'Pr Fin'!G38</f>
        <v>2063028.2742395243</v>
      </c>
      <c r="Q47" s="43">
        <f>Предположения!C240*$U$47</f>
        <v>429201.44401654461</v>
      </c>
      <c r="R47" s="43">
        <f>Предположения!D240*$U$47</f>
        <v>1001470.036038604</v>
      </c>
      <c r="S47" s="43">
        <f>Предположения!E240*$U$47</f>
        <v>0</v>
      </c>
      <c r="T47" s="43">
        <f>Предположения!F240*$U$47</f>
        <v>0</v>
      </c>
      <c r="U47" s="43">
        <f>'Pr Fin'!H25+'Pr Fin'!H32+'Pr Fin'!H38</f>
        <v>1430671.4800551487</v>
      </c>
      <c r="V47" s="43">
        <f>Предположения!C240*$Z$47</f>
        <v>0</v>
      </c>
      <c r="W47" s="43">
        <f>Предположения!D240*$Z$47</f>
        <v>0</v>
      </c>
      <c r="X47" s="43">
        <f>Предположения!E240*$Z$47</f>
        <v>0</v>
      </c>
      <c r="Y47" s="43">
        <f>Предположения!F240*$Z$47</f>
        <v>0</v>
      </c>
      <c r="Z47" s="43">
        <f>'Pr Fin'!I25+'Pr Fin'!I32+'Pr Fin'!I38</f>
        <v>0</v>
      </c>
      <c r="AA47" s="43">
        <f>'Pr Fin'!J25+'Pr Fin'!J32+'Pr Fin'!J38</f>
        <v>0</v>
      </c>
      <c r="AB47" s="43">
        <f>'Pr Fin'!K25+'Pr Fin'!K32+'Pr Fin'!K38</f>
        <v>0</v>
      </c>
      <c r="AC47" s="43">
        <f>'Pr Fin'!L25+'Pr Fin'!L32+'Pr Fin'!L38</f>
        <v>0</v>
      </c>
      <c r="AD47" s="43">
        <f>'Pr Fin'!M25+'Pr Fin'!M32+'Pr Fin'!M38</f>
        <v>0</v>
      </c>
      <c r="AE47" s="43">
        <f>'Pr Fin'!N25+'Pr Fin'!N32+'Pr Fin'!N38</f>
        <v>0</v>
      </c>
    </row>
    <row r="48" spans="1:31" s="44" customFormat="1" ht="15.6">
      <c r="A48" s="95" t="s">
        <v>624</v>
      </c>
      <c r="B48" s="43">
        <f>Предположения!C241*$F$48</f>
        <v>0</v>
      </c>
      <c r="C48" s="43">
        <f>Предположения!D241*$F$48</f>
        <v>0</v>
      </c>
      <c r="D48" s="43">
        <f>Предположения!E241*$F$48</f>
        <v>-7816666.7719311118</v>
      </c>
      <c r="E48" s="43">
        <f>Предположения!F241*$F$48</f>
        <v>0</v>
      </c>
      <c r="F48" s="43">
        <f>'Pr Fin'!E27+'Pr Fin'!E34+'Pr Fin'!E39</f>
        <v>-7816666.7719311118</v>
      </c>
      <c r="G48" s="43">
        <f>Предположения!C241*$K$48</f>
        <v>0</v>
      </c>
      <c r="H48" s="43">
        <f>Предположения!D241*$K$48</f>
        <v>0</v>
      </c>
      <c r="I48" s="43">
        <f>Предположения!E241*$K$48</f>
        <v>-5160517.8688477241</v>
      </c>
      <c r="J48" s="43">
        <f>Предположения!F241*$K$48</f>
        <v>0</v>
      </c>
      <c r="K48" s="43">
        <f>'Pr Fin'!F27+'Pr Fin'!F34+'Pr Fin'!F39</f>
        <v>-5160517.8688477241</v>
      </c>
      <c r="L48" s="43">
        <f>Предположения!C241*$P$48</f>
        <v>0</v>
      </c>
      <c r="M48" s="43">
        <f>Предположения!D241*$P$48</f>
        <v>0</v>
      </c>
      <c r="N48" s="43">
        <f>Предположения!E241*$P$48</f>
        <v>-3536619.8986963271</v>
      </c>
      <c r="O48" s="43">
        <f>Предположения!F241*$P$48</f>
        <v>0</v>
      </c>
      <c r="P48" s="43">
        <f>'Pr Fin'!G27+'Pr Fin'!G34+'Pr Fin'!G39</f>
        <v>-3536619.8986963271</v>
      </c>
      <c r="Q48" s="43">
        <f>Предположения!C241*$U$48</f>
        <v>0</v>
      </c>
      <c r="R48" s="43">
        <f>Предположения!D241*$U$48</f>
        <v>0</v>
      </c>
      <c r="S48" s="43">
        <f>Предположения!E241*$U$48</f>
        <v>-2002940.0720772082</v>
      </c>
      <c r="T48" s="43">
        <f>Предположения!F241*$U$48</f>
        <v>0</v>
      </c>
      <c r="U48" s="43">
        <f>'Pr Fin'!H27+'Pr Fin'!H34+'Pr Fin'!H39</f>
        <v>-2002940.0720772082</v>
      </c>
      <c r="V48" s="43">
        <f>Предположения!C241*$Z$48</f>
        <v>0</v>
      </c>
      <c r="W48" s="43">
        <f>Предположения!D241*$Z$48</f>
        <v>0</v>
      </c>
      <c r="X48" s="43">
        <f>Предположения!E241*$Z$48</f>
        <v>-1389001.4369467462</v>
      </c>
      <c r="Y48" s="43">
        <f>Предположения!F241*$Z$48</f>
        <v>0</v>
      </c>
      <c r="Z48" s="43">
        <f>'Pr Fin'!I27+'Pr Fin'!I34+'Pr Fin'!I39</f>
        <v>-1389001.4369467462</v>
      </c>
      <c r="AA48" s="43">
        <f>'Pr Fin'!J27+'Pr Fin'!J34+'Pr Fin'!J39</f>
        <v>0</v>
      </c>
      <c r="AB48" s="43">
        <f>'Pr Fin'!K27+'Pr Fin'!K34+'Pr Fin'!K39</f>
        <v>0</v>
      </c>
      <c r="AC48" s="43">
        <f>'Pr Fin'!L27+'Pr Fin'!L34+'Pr Fin'!L39</f>
        <v>0</v>
      </c>
      <c r="AD48" s="43">
        <f>'Pr Fin'!M27+'Pr Fin'!M34+'Pr Fin'!M39</f>
        <v>0</v>
      </c>
      <c r="AE48" s="43">
        <f>'Pr Fin'!N27+'Pr Fin'!N34+'Pr Fin'!N39</f>
        <v>0</v>
      </c>
    </row>
    <row r="49" spans="1:31" s="44" customFormat="1" ht="15.6">
      <c r="A49" s="95" t="s">
        <v>625</v>
      </c>
      <c r="B49" s="43">
        <f>Предположения!C253*$F$49</f>
        <v>0</v>
      </c>
      <c r="C49" s="43">
        <f>Предположения!D253*$F$49</f>
        <v>0</v>
      </c>
      <c r="D49" s="43">
        <f>Предположения!E253*$F$49</f>
        <v>0</v>
      </c>
      <c r="E49" s="43">
        <f>Предположения!F253*$F$49</f>
        <v>0</v>
      </c>
      <c r="F49" s="43">
        <f>Лизинг!F32</f>
        <v>0</v>
      </c>
      <c r="G49" s="43">
        <f>Предположения!C253*$K$49</f>
        <v>0</v>
      </c>
      <c r="H49" s="43">
        <f>Предположения!D253*$K$49</f>
        <v>0</v>
      </c>
      <c r="I49" s="43">
        <f>Предположения!E253*$K$49</f>
        <v>0</v>
      </c>
      <c r="J49" s="43">
        <f>Предположения!F253*$K$49</f>
        <v>0</v>
      </c>
      <c r="K49" s="43">
        <f>Лизинг!G32</f>
        <v>0</v>
      </c>
      <c r="L49" s="43">
        <f>Предположения!C253*$P$49</f>
        <v>1500000</v>
      </c>
      <c r="M49" s="43">
        <f>Предположения!D253*$P$49</f>
        <v>1500000</v>
      </c>
      <c r="N49" s="43">
        <f>Предположения!E253*$P$49</f>
        <v>1500000</v>
      </c>
      <c r="O49" s="43">
        <f>Предположения!F253*$P$49</f>
        <v>1500000</v>
      </c>
      <c r="P49" s="43">
        <f>Лизинг!H32</f>
        <v>6000000</v>
      </c>
      <c r="Q49" s="43">
        <f>Предположения!C253*$U$49</f>
        <v>750000</v>
      </c>
      <c r="R49" s="43">
        <f>Предположения!D253*$U$49</f>
        <v>750000</v>
      </c>
      <c r="S49" s="43">
        <f>Предположения!E253*$U$49</f>
        <v>750000</v>
      </c>
      <c r="T49" s="43">
        <f>Предположения!F253*$U$49</f>
        <v>750000</v>
      </c>
      <c r="U49" s="43">
        <f>Лизинг!I32</f>
        <v>3000000</v>
      </c>
      <c r="V49" s="43">
        <f>Предположения!C253*$Z$49</f>
        <v>750000</v>
      </c>
      <c r="W49" s="43">
        <f>Предположения!D253*$Z$49</f>
        <v>750000</v>
      </c>
      <c r="X49" s="43">
        <f>Предположения!E253*$Z$49</f>
        <v>750000</v>
      </c>
      <c r="Y49" s="43">
        <f>Предположения!F253*$Z$49</f>
        <v>750000</v>
      </c>
      <c r="Z49" s="43">
        <f>Лизинг!J32</f>
        <v>3000000</v>
      </c>
      <c r="AA49" s="43">
        <f>Лизинг!K32</f>
        <v>0</v>
      </c>
      <c r="AB49" s="43">
        <f>Лизинг!L32</f>
        <v>0</v>
      </c>
      <c r="AC49" s="43">
        <f>Лизинг!M32</f>
        <v>0</v>
      </c>
      <c r="AD49" s="43">
        <f>Лизинг!N32</f>
        <v>0</v>
      </c>
      <c r="AE49" s="43">
        <f>Лизинг!O32</f>
        <v>0</v>
      </c>
    </row>
    <row r="50" spans="1:31" s="44" customFormat="1" ht="15.6">
      <c r="A50" s="95" t="s">
        <v>626</v>
      </c>
      <c r="B50" s="43">
        <f>Предположения!C253*$F$50</f>
        <v>-1042500</v>
      </c>
      <c r="C50" s="43">
        <f>Предположения!D253*$F$50</f>
        <v>-1042500</v>
      </c>
      <c r="D50" s="43">
        <f>Предположения!E253*$F$50</f>
        <v>-1042500</v>
      </c>
      <c r="E50" s="43">
        <f>Предположения!F253*$F$50</f>
        <v>-1042500</v>
      </c>
      <c r="F50" s="43">
        <f>Лизинг!F33</f>
        <v>-4170000</v>
      </c>
      <c r="G50" s="43">
        <f>Предположения!C253*$K$50</f>
        <v>-967500</v>
      </c>
      <c r="H50" s="43">
        <f>Предположения!D253*$K$50</f>
        <v>-967500</v>
      </c>
      <c r="I50" s="43">
        <f>Предположения!E253*$K$50</f>
        <v>-967500</v>
      </c>
      <c r="J50" s="43">
        <f>Предположения!F253*$K$50</f>
        <v>-967500</v>
      </c>
      <c r="K50" s="43">
        <f>Лизинг!G33</f>
        <v>-3870000</v>
      </c>
      <c r="L50" s="43">
        <f>Предположения!C253*$P$50</f>
        <v>-771000</v>
      </c>
      <c r="M50" s="43">
        <f>Предположения!D253*$P$50</f>
        <v>-771000</v>
      </c>
      <c r="N50" s="43">
        <f>Предположения!E253*$P$50</f>
        <v>-771000</v>
      </c>
      <c r="O50" s="43">
        <f>Предположения!F253*$P$50</f>
        <v>-771000</v>
      </c>
      <c r="P50" s="43">
        <f>Лизинг!H33</f>
        <v>-3084000</v>
      </c>
      <c r="Q50" s="43">
        <f>Предположения!C253*$U$50</f>
        <v>-570000</v>
      </c>
      <c r="R50" s="43">
        <f>Предположения!D253*$U$50</f>
        <v>-570000</v>
      </c>
      <c r="S50" s="43">
        <f>Предположения!E253*$U$50</f>
        <v>-570000</v>
      </c>
      <c r="T50" s="43">
        <f>Предположения!F253*$U$50</f>
        <v>-570000</v>
      </c>
      <c r="U50" s="43">
        <f>Лизинг!I33</f>
        <v>-2280000</v>
      </c>
      <c r="V50" s="43">
        <f>Предположения!C253*$Z$50</f>
        <v>-732000</v>
      </c>
      <c r="W50" s="43">
        <f>Предположения!D253*$Z$50</f>
        <v>-732000</v>
      </c>
      <c r="X50" s="43">
        <f>Предположения!E253*$Z$50</f>
        <v>-732000</v>
      </c>
      <c r="Y50" s="43">
        <f>Предположения!F253*$Z$50</f>
        <v>-732000</v>
      </c>
      <c r="Z50" s="43">
        <f>Лизинг!J33</f>
        <v>-2928000</v>
      </c>
      <c r="AA50" s="43">
        <f>Лизинг!K33</f>
        <v>-2736000</v>
      </c>
      <c r="AB50" s="43">
        <f>Лизинг!L33</f>
        <v>-2544000</v>
      </c>
      <c r="AC50" s="43">
        <f>Лизинг!M33</f>
        <v>-1248000</v>
      </c>
      <c r="AD50" s="43">
        <f>Лизинг!N33</f>
        <v>-600000</v>
      </c>
      <c r="AE50" s="43">
        <f>Лизинг!O33</f>
        <v>0</v>
      </c>
    </row>
    <row r="51" spans="1:31" s="44" customFormat="1" ht="31.2">
      <c r="A51" s="97" t="s">
        <v>458</v>
      </c>
      <c r="B51" s="43">
        <f>Предположения!C253*$F$51</f>
        <v>-67157.268750000003</v>
      </c>
      <c r="C51" s="43">
        <f>Предположения!D253*$F$51</f>
        <v>-67157.268750000003</v>
      </c>
      <c r="D51" s="43">
        <f>Предположения!E253*$F$51</f>
        <v>-67157.268750000003</v>
      </c>
      <c r="E51" s="43">
        <f>Предположения!F253*$F$51</f>
        <v>-67157.268750000003</v>
      </c>
      <c r="F51" s="43">
        <f>'Pr P&amp;L proj'!E38/2</f>
        <v>-268629.07500000001</v>
      </c>
      <c r="G51" s="43">
        <f>Предположения!C253*$K$51</f>
        <v>-68550.365812499993</v>
      </c>
      <c r="H51" s="43">
        <f>Предположения!D253*$K$51</f>
        <v>-68550.365812499993</v>
      </c>
      <c r="I51" s="43">
        <f>Предположения!E253*$K$51</f>
        <v>-68550.365812499993</v>
      </c>
      <c r="J51" s="43">
        <f>Предположения!F253*$K$51</f>
        <v>-68550.365812499993</v>
      </c>
      <c r="K51" s="43">
        <f>'Pr P&amp;L proj'!F38/2</f>
        <v>-274201.46324999997</v>
      </c>
      <c r="L51" s="43">
        <f>Предположения!C253*$P$51</f>
        <v>-85833.195959671866</v>
      </c>
      <c r="M51" s="43">
        <f>Предположения!D253*$P$51</f>
        <v>-85833.195959671866</v>
      </c>
      <c r="N51" s="43">
        <f>Предположения!E253*$P$51</f>
        <v>-85833.195959671866</v>
      </c>
      <c r="O51" s="43">
        <f>Предположения!F253*$P$51</f>
        <v>-85833.195959671866</v>
      </c>
      <c r="P51" s="43">
        <f>'Pr P&amp;L proj'!G38/2</f>
        <v>-343332.78383868746</v>
      </c>
      <c r="Q51" s="43">
        <f>Предположения!C253*$U$51</f>
        <v>-96283.20424819077</v>
      </c>
      <c r="R51" s="43">
        <f>Предположения!D253*$U$51</f>
        <v>-96283.20424819077</v>
      </c>
      <c r="S51" s="43">
        <f>Предположения!E253*$U$51</f>
        <v>-96283.20424819077</v>
      </c>
      <c r="T51" s="43">
        <f>Предположения!F253*$U$51</f>
        <v>-96283.20424819077</v>
      </c>
      <c r="U51" s="43">
        <f>'Pr P&amp;L proj'!H38/2</f>
        <v>-385132.81699276308</v>
      </c>
      <c r="V51" s="43">
        <f>Предположения!C253*$Z$51</f>
        <v>-107890.31476969131</v>
      </c>
      <c r="W51" s="43">
        <f>Предположения!D253*$Z$51</f>
        <v>-107890.31476969131</v>
      </c>
      <c r="X51" s="43">
        <f>Предположения!E253*$Z$51</f>
        <v>-107890.31476969131</v>
      </c>
      <c r="Y51" s="43">
        <f>Предположения!F253*$Z$51</f>
        <v>-107890.31476969131</v>
      </c>
      <c r="Z51" s="43">
        <f>'Pr P&amp;L proj'!I38/2</f>
        <v>-431561.25907876523</v>
      </c>
      <c r="AA51" s="43">
        <f>'Pr P&amp;L proj'!J38/2</f>
        <v>-446665.90314652206</v>
      </c>
      <c r="AB51" s="43">
        <f>'Pr P&amp;L proj'!K38/2</f>
        <v>-462299.20975665032</v>
      </c>
      <c r="AC51" s="43">
        <f>'Pr P&amp;L proj'!L38/2</f>
        <v>-478479.68209813297</v>
      </c>
      <c r="AD51" s="43">
        <f>'Pr P&amp;L proj'!M38/2</f>
        <v>-495226.47097156756</v>
      </c>
      <c r="AE51" s="43">
        <f>'Pr P&amp;L proj'!N38/2</f>
        <v>-512559.39745557244</v>
      </c>
    </row>
    <row r="52" spans="1:31">
      <c r="A52" s="9" t="s">
        <v>627</v>
      </c>
      <c r="B52" s="54">
        <f t="shared" ref="B52:AE52" si="19">B42+B43+SUM(B47:B51)</f>
        <v>401711.76797503233</v>
      </c>
      <c r="C52" s="54">
        <f t="shared" si="19"/>
        <v>1796595.1299402951</v>
      </c>
      <c r="D52" s="54">
        <f t="shared" si="19"/>
        <v>-9009555.0254300274</v>
      </c>
      <c r="E52" s="54">
        <f t="shared" si="19"/>
        <v>-1192888.2534989144</v>
      </c>
      <c r="F52" s="54">
        <f t="shared" si="19"/>
        <v>-8004136.3810136132</v>
      </c>
      <c r="G52" s="54">
        <f t="shared" si="19"/>
        <v>-5906.3897641750009</v>
      </c>
      <c r="H52" s="54">
        <f t="shared" si="19"/>
        <v>719931.00849871174</v>
      </c>
      <c r="I52" s="54">
        <f t="shared" si="19"/>
        <v>-6259239.8073090641</v>
      </c>
      <c r="J52" s="54">
        <f t="shared" si="19"/>
        <v>-1098721.9384613403</v>
      </c>
      <c r="K52" s="54">
        <f t="shared" si="19"/>
        <v>-6643937.1270358684</v>
      </c>
      <c r="L52" s="54">
        <f t="shared" si="19"/>
        <v>1214829.1338942733</v>
      </c>
      <c r="M52" s="54">
        <f t="shared" si="19"/>
        <v>1162540.4435900827</v>
      </c>
      <c r="N52" s="54">
        <f t="shared" si="19"/>
        <v>-2940699.2470739111</v>
      </c>
      <c r="O52" s="54">
        <f t="shared" si="19"/>
        <v>595920.6516224161</v>
      </c>
      <c r="P52" s="54">
        <f t="shared" si="19"/>
        <v>32590.982032862026</v>
      </c>
      <c r="Q52" s="54">
        <f t="shared" si="19"/>
        <v>470964.0452056168</v>
      </c>
      <c r="R52" s="54">
        <f t="shared" si="19"/>
        <v>92607.63722767611</v>
      </c>
      <c r="S52" s="54">
        <f t="shared" si="19"/>
        <v>-1961177.4708881362</v>
      </c>
      <c r="T52" s="54">
        <f t="shared" si="19"/>
        <v>41762.601189072171</v>
      </c>
      <c r="U52" s="54">
        <f t="shared" si="19"/>
        <v>-1355843.187265771</v>
      </c>
      <c r="V52" s="54">
        <f t="shared" si="19"/>
        <v>-116862.89346211412</v>
      </c>
      <c r="W52" s="54">
        <f t="shared" si="19"/>
        <v>-1140612.8934621143</v>
      </c>
      <c r="X52" s="54">
        <f t="shared" si="19"/>
        <v>-1505864.3304088602</v>
      </c>
      <c r="Y52" s="54">
        <f t="shared" si="19"/>
        <v>-116862.89346211412</v>
      </c>
      <c r="Z52" s="54">
        <f t="shared" si="19"/>
        <v>-2880203.010795203</v>
      </c>
      <c r="AA52" s="54">
        <f t="shared" si="19"/>
        <v>-4318082.3789331522</v>
      </c>
      <c r="AB52" s="54">
        <f t="shared" si="19"/>
        <v>-4145624.0121958135</v>
      </c>
      <c r="AC52" s="54">
        <f t="shared" si="19"/>
        <v>-2869849.6026226664</v>
      </c>
      <c r="AD52" s="54">
        <f t="shared" si="19"/>
        <v>-2242783.0887144599</v>
      </c>
      <c r="AE52" s="54">
        <f t="shared" si="19"/>
        <v>-1664449.2468194657</v>
      </c>
    </row>
    <row r="53" spans="1:31">
      <c r="A53" s="2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1:31" s="148" customFormat="1" ht="21">
      <c r="A54" s="85" t="s">
        <v>628</v>
      </c>
      <c r="B54" s="86">
        <f t="shared" ref="B54:AE54" si="20">B52+B39+B28</f>
        <v>-2261555.8277837499</v>
      </c>
      <c r="C54" s="86">
        <f t="shared" si="20"/>
        <v>34670859.116225511</v>
      </c>
      <c r="D54" s="86">
        <f t="shared" si="20"/>
        <v>-27103180.610962003</v>
      </c>
      <c r="E54" s="86">
        <f t="shared" si="20"/>
        <v>-4923169.9552954957</v>
      </c>
      <c r="F54" s="86">
        <f t="shared" si="20"/>
        <v>382952.72218426876</v>
      </c>
      <c r="G54" s="86">
        <f t="shared" si="20"/>
        <v>-3470927.6691837716</v>
      </c>
      <c r="H54" s="86">
        <f t="shared" si="20"/>
        <v>33731349.732192174</v>
      </c>
      <c r="I54" s="86">
        <f t="shared" si="20"/>
        <v>-24534453.031877048</v>
      </c>
      <c r="J54" s="86">
        <f t="shared" si="20"/>
        <v>-5167536.0318251085</v>
      </c>
      <c r="K54" s="86">
        <f t="shared" si="20"/>
        <v>558432.99930624478</v>
      </c>
      <c r="L54" s="86">
        <f t="shared" si="20"/>
        <v>-7257262.5906810965</v>
      </c>
      <c r="M54" s="86">
        <f t="shared" si="20"/>
        <v>37077456.783742577</v>
      </c>
      <c r="N54" s="86">
        <f t="shared" si="20"/>
        <v>-33551378.973267838</v>
      </c>
      <c r="O54" s="86">
        <f t="shared" si="20"/>
        <v>-9406167.163449008</v>
      </c>
      <c r="P54" s="86">
        <f t="shared" si="20"/>
        <v>-13137351.943655372</v>
      </c>
      <c r="Q54" s="86">
        <f t="shared" si="20"/>
        <v>-2861562.3060924183</v>
      </c>
      <c r="R54" s="86">
        <f t="shared" si="20"/>
        <v>46076231.921140566</v>
      </c>
      <c r="S54" s="86">
        <f t="shared" si="20"/>
        <v>-31183921.234655097</v>
      </c>
      <c r="T54" s="86">
        <f t="shared" si="20"/>
        <v>-5057605.6687261332</v>
      </c>
      <c r="U54" s="86">
        <f t="shared" si="20"/>
        <v>6973142.7116669267</v>
      </c>
      <c r="V54" s="86">
        <f t="shared" si="20"/>
        <v>-2111296.2155056964</v>
      </c>
      <c r="W54" s="86">
        <f t="shared" si="20"/>
        <v>51643650.556845993</v>
      </c>
      <c r="X54" s="86">
        <f t="shared" si="20"/>
        <v>-33107812.182954066</v>
      </c>
      <c r="Y54" s="86">
        <f t="shared" si="20"/>
        <v>-4183973.1058249488</v>
      </c>
      <c r="Z54" s="86">
        <f t="shared" si="20"/>
        <v>12240569.052561294</v>
      </c>
      <c r="AA54" s="86">
        <f t="shared" si="20"/>
        <v>28994573.31507517</v>
      </c>
      <c r="AB54" s="86">
        <f t="shared" si="20"/>
        <v>31648627.214662142</v>
      </c>
      <c r="AC54" s="86">
        <f t="shared" si="20"/>
        <v>35785562.537624598</v>
      </c>
      <c r="AD54" s="86">
        <f t="shared" si="20"/>
        <v>39232024.17575343</v>
      </c>
      <c r="AE54" s="86">
        <f t="shared" si="20"/>
        <v>43174990.958933838</v>
      </c>
    </row>
    <row r="55" spans="1:31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1">
      <c r="A56" s="9" t="s">
        <v>629</v>
      </c>
      <c r="B56" s="54">
        <f>'Pr CF proj'!E54</f>
        <v>15796866.179107079</v>
      </c>
      <c r="C56" s="54">
        <f>B57</f>
        <v>13535310.351323329</v>
      </c>
      <c r="D56" s="54">
        <f t="shared" ref="D56:E56" si="21">C57</f>
        <v>48206169.46754884</v>
      </c>
      <c r="E56" s="54">
        <f t="shared" si="21"/>
        <v>21102988.856586836</v>
      </c>
      <c r="F56" s="54">
        <f>'Pr CF proj'!E54</f>
        <v>15796866.179107079</v>
      </c>
      <c r="G56" s="54">
        <f>F57</f>
        <v>16179818.901291348</v>
      </c>
      <c r="H56" s="54">
        <f t="shared" ref="H56:J56" si="22">G57</f>
        <v>12708891.232107576</v>
      </c>
      <c r="I56" s="54">
        <f t="shared" si="22"/>
        <v>46440240.964299753</v>
      </c>
      <c r="J56" s="54">
        <f t="shared" si="22"/>
        <v>21905787.932422705</v>
      </c>
      <c r="K56" s="54">
        <f>F57</f>
        <v>16179818.901291348</v>
      </c>
      <c r="L56" s="54">
        <f>K57</f>
        <v>16738251.900597593</v>
      </c>
      <c r="M56" s="54">
        <f t="shared" ref="M56:O56" si="23">L57</f>
        <v>9480989.3099164963</v>
      </c>
      <c r="N56" s="54">
        <f t="shared" si="23"/>
        <v>46558446.093659073</v>
      </c>
      <c r="O56" s="54">
        <f t="shared" si="23"/>
        <v>13007067.120391235</v>
      </c>
      <c r="P56" s="54">
        <f>K57</f>
        <v>16738251.900597593</v>
      </c>
      <c r="Q56" s="54">
        <f>P57</f>
        <v>3600899.9569422211</v>
      </c>
      <c r="R56" s="54">
        <f t="shared" ref="R56:T56" si="24">Q57</f>
        <v>739337.65084980289</v>
      </c>
      <c r="S56" s="54">
        <f t="shared" si="24"/>
        <v>46815569.571990371</v>
      </c>
      <c r="T56" s="54">
        <f t="shared" si="24"/>
        <v>15631648.337335274</v>
      </c>
      <c r="U56" s="54">
        <f>P57</f>
        <v>3600899.9569422211</v>
      </c>
      <c r="V56" s="54">
        <f>U57</f>
        <v>10574042.668609148</v>
      </c>
      <c r="W56" s="54">
        <f t="shared" ref="W56:Y56" si="25">V57</f>
        <v>8462746.4531034511</v>
      </c>
      <c r="X56" s="54">
        <f t="shared" si="25"/>
        <v>60106397.009949446</v>
      </c>
      <c r="Y56" s="54">
        <f t="shared" si="25"/>
        <v>26998584.82699538</v>
      </c>
      <c r="Z56" s="54">
        <f>U57</f>
        <v>10574042.668609148</v>
      </c>
      <c r="AA56" s="54">
        <f t="shared" ref="AA56:AE56" si="26">Z57</f>
        <v>22814611.72117044</v>
      </c>
      <c r="AB56" s="54">
        <f t="shared" si="26"/>
        <v>51809185.036245614</v>
      </c>
      <c r="AC56" s="54">
        <f t="shared" si="26"/>
        <v>83457812.250907749</v>
      </c>
      <c r="AD56" s="54">
        <f t="shared" si="26"/>
        <v>119243374.78853235</v>
      </c>
      <c r="AE56" s="54">
        <f t="shared" si="26"/>
        <v>158475398.96428579</v>
      </c>
    </row>
    <row r="57" spans="1:31">
      <c r="A57" s="9" t="s">
        <v>630</v>
      </c>
      <c r="B57" s="54">
        <f>B56+B54</f>
        <v>13535310.351323329</v>
      </c>
      <c r="C57" s="54">
        <f t="shared" ref="C57:E57" si="27">C56+C54</f>
        <v>48206169.46754884</v>
      </c>
      <c r="D57" s="54">
        <f t="shared" si="27"/>
        <v>21102988.856586836</v>
      </c>
      <c r="E57" s="54">
        <f t="shared" si="27"/>
        <v>16179818.901291341</v>
      </c>
      <c r="F57" s="54">
        <f t="shared" ref="F57:AE57" si="28">F56+F54</f>
        <v>16179818.901291348</v>
      </c>
      <c r="G57" s="54">
        <f>G56+G54</f>
        <v>12708891.232107576</v>
      </c>
      <c r="H57" s="54">
        <f t="shared" ref="H57:J57" si="29">H56+H54</f>
        <v>46440240.964299753</v>
      </c>
      <c r="I57" s="54">
        <f t="shared" si="29"/>
        <v>21905787.932422705</v>
      </c>
      <c r="J57" s="54">
        <f t="shared" si="29"/>
        <v>16738251.900597597</v>
      </c>
      <c r="K57" s="54">
        <f t="shared" si="28"/>
        <v>16738251.900597593</v>
      </c>
      <c r="L57" s="54">
        <f>L56+L54</f>
        <v>9480989.3099164963</v>
      </c>
      <c r="M57" s="54">
        <f t="shared" ref="M57:O57" si="30">M56+M54</f>
        <v>46558446.093659073</v>
      </c>
      <c r="N57" s="54">
        <f t="shared" si="30"/>
        <v>13007067.120391235</v>
      </c>
      <c r="O57" s="54">
        <f t="shared" si="30"/>
        <v>3600899.9569422267</v>
      </c>
      <c r="P57" s="54">
        <f t="shared" si="28"/>
        <v>3600899.9569422211</v>
      </c>
      <c r="Q57" s="54">
        <f>Q56+Q54</f>
        <v>739337.65084980289</v>
      </c>
      <c r="R57" s="54">
        <f t="shared" ref="R57:T57" si="31">R56+R54</f>
        <v>46815569.571990371</v>
      </c>
      <c r="S57" s="54">
        <f t="shared" si="31"/>
        <v>15631648.337335274</v>
      </c>
      <c r="T57" s="54">
        <f t="shared" si="31"/>
        <v>10574042.66860914</v>
      </c>
      <c r="U57" s="54">
        <f t="shared" si="28"/>
        <v>10574042.668609148</v>
      </c>
      <c r="V57" s="54">
        <f>V56+V54</f>
        <v>8462746.4531034511</v>
      </c>
      <c r="W57" s="54">
        <f t="shared" ref="W57:Y57" si="32">W56+W54</f>
        <v>60106397.009949446</v>
      </c>
      <c r="X57" s="54">
        <f t="shared" si="32"/>
        <v>26998584.82699538</v>
      </c>
      <c r="Y57" s="54">
        <f t="shared" si="32"/>
        <v>22814611.721170433</v>
      </c>
      <c r="Z57" s="54">
        <f t="shared" si="28"/>
        <v>22814611.72117044</v>
      </c>
      <c r="AA57" s="54">
        <f t="shared" si="28"/>
        <v>51809185.036245614</v>
      </c>
      <c r="AB57" s="54">
        <f t="shared" si="28"/>
        <v>83457812.250907749</v>
      </c>
      <c r="AC57" s="54">
        <f t="shared" si="28"/>
        <v>119243374.78853235</v>
      </c>
      <c r="AD57" s="54">
        <f t="shared" si="28"/>
        <v>158475398.96428579</v>
      </c>
      <c r="AE57" s="54">
        <f t="shared" si="28"/>
        <v>201650389.92321962</v>
      </c>
    </row>
    <row r="58" spans="1:31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 outlineLevelCol="1"/>
  <cols>
    <col min="1" max="1" width="79.44140625" style="49" customWidth="1"/>
    <col min="2" max="5" width="18.77734375" style="49" customWidth="1" outlineLevel="1"/>
    <col min="6" max="6" width="18.77734375" style="2" customWidth="1"/>
    <col min="7" max="10" width="18.77734375" style="2" customWidth="1" outlineLevel="1"/>
    <col min="11" max="11" width="18.77734375" style="2" customWidth="1"/>
    <col min="12" max="15" width="18.77734375" style="2" customWidth="1" outlineLevel="1"/>
    <col min="16" max="16" width="18.77734375" style="2" customWidth="1"/>
    <col min="17" max="20" width="18.77734375" style="2" customWidth="1" outlineLevel="1"/>
    <col min="21" max="21" width="18.77734375" style="2" customWidth="1"/>
    <col min="22" max="25" width="18.77734375" style="2" customWidth="1" outlineLevel="1"/>
    <col min="26" max="32" width="18.77734375" style="2" customWidth="1"/>
    <col min="33" max="16384" width="8.88671875" style="2"/>
  </cols>
  <sheetData>
    <row r="1" spans="1:31">
      <c r="A1" s="303" t="s">
        <v>740</v>
      </c>
    </row>
    <row r="2" spans="1:31" ht="21">
      <c r="A2" s="92" t="s">
        <v>631</v>
      </c>
      <c r="B2" s="92"/>
      <c r="C2" s="92"/>
      <c r="D2" s="92"/>
      <c r="E2" s="92"/>
    </row>
    <row r="3" spans="1:31" ht="21">
      <c r="A3" s="92" t="s">
        <v>551</v>
      </c>
      <c r="B3" s="92"/>
      <c r="C3" s="92"/>
      <c r="D3" s="92"/>
      <c r="E3" s="92"/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  <c r="B6" s="92"/>
      <c r="C6" s="92"/>
      <c r="D6" s="92"/>
      <c r="E6" s="92"/>
    </row>
    <row r="7" spans="1:31" s="1" customFormat="1" ht="15.6">
      <c r="A7" s="1" t="s">
        <v>446</v>
      </c>
      <c r="B7" s="42">
        <f t="shared" ref="B7:E7" si="0">B8+B9</f>
        <v>30549602.400000002</v>
      </c>
      <c r="C7" s="42">
        <f t="shared" si="0"/>
        <v>15274801.200000001</v>
      </c>
      <c r="D7" s="42">
        <f t="shared" si="0"/>
        <v>61099204.800000004</v>
      </c>
      <c r="E7" s="42">
        <f t="shared" si="0"/>
        <v>45824403.600000001</v>
      </c>
      <c r="F7" s="42">
        <f t="shared" ref="F7:AE7" si="1">F8+F9</f>
        <v>152748012</v>
      </c>
      <c r="G7" s="42">
        <f t="shared" si="1"/>
        <v>32239809.343999997</v>
      </c>
      <c r="H7" s="42">
        <f t="shared" si="1"/>
        <v>16119904.671999998</v>
      </c>
      <c r="I7" s="42">
        <f t="shared" si="1"/>
        <v>64479618.687999994</v>
      </c>
      <c r="J7" s="42">
        <f t="shared" si="1"/>
        <v>48359714.015999988</v>
      </c>
      <c r="K7" s="42">
        <f t="shared" si="1"/>
        <v>161199046.71999997</v>
      </c>
      <c r="L7" s="42">
        <f t="shared" ref="L7:O7" si="2">L8+L9</f>
        <v>37112215.028127998</v>
      </c>
      <c r="M7" s="42">
        <f t="shared" si="2"/>
        <v>18556107.514063999</v>
      </c>
      <c r="N7" s="42">
        <f t="shared" si="2"/>
        <v>74224430.056255996</v>
      </c>
      <c r="O7" s="42">
        <f t="shared" si="2"/>
        <v>55668322.54219199</v>
      </c>
      <c r="P7" s="42">
        <f t="shared" si="1"/>
        <v>185561075.14063996</v>
      </c>
      <c r="Q7" s="42">
        <f t="shared" si="1"/>
        <v>40723633.974819519</v>
      </c>
      <c r="R7" s="42">
        <f t="shared" ref="R7:T7" si="3">R8+R9</f>
        <v>20361816.987409759</v>
      </c>
      <c r="S7" s="42">
        <f t="shared" si="3"/>
        <v>81447267.949639037</v>
      </c>
      <c r="T7" s="42">
        <f t="shared" si="3"/>
        <v>61085450.962229274</v>
      </c>
      <c r="U7" s="42">
        <f t="shared" si="1"/>
        <v>203618169.87409759</v>
      </c>
      <c r="V7" s="42">
        <f t="shared" ref="V7:Y7" si="4">V8+V9</f>
        <v>44640716.03644979</v>
      </c>
      <c r="W7" s="42">
        <f t="shared" si="4"/>
        <v>22320358.018224895</v>
      </c>
      <c r="X7" s="42">
        <f t="shared" si="4"/>
        <v>89281432.07289958</v>
      </c>
      <c r="Y7" s="42">
        <f t="shared" si="4"/>
        <v>66961074.054674685</v>
      </c>
      <c r="Z7" s="42">
        <f t="shared" si="1"/>
        <v>223203580.18224895</v>
      </c>
      <c r="AA7" s="42">
        <f t="shared" si="1"/>
        <v>235594809.24179065</v>
      </c>
      <c r="AB7" s="42">
        <f t="shared" si="1"/>
        <v>248579168.23427689</v>
      </c>
      <c r="AC7" s="42">
        <f t="shared" si="1"/>
        <v>262183199.12441602</v>
      </c>
      <c r="AD7" s="42">
        <f t="shared" si="1"/>
        <v>276434575.2302779</v>
      </c>
      <c r="AE7" s="42">
        <f t="shared" si="1"/>
        <v>291362147.90412271</v>
      </c>
    </row>
    <row r="8" spans="1:31" s="1" customFormat="1" ht="15.6">
      <c r="A8" s="47" t="s">
        <v>262</v>
      </c>
      <c r="B8" s="125">
        <f>Предположения!C244*$F$8</f>
        <v>2545221.3000000003</v>
      </c>
      <c r="C8" s="125">
        <f>Предположения!D244*$F$8</f>
        <v>1272610.6500000001</v>
      </c>
      <c r="D8" s="125">
        <f>Предположения!E244*$F$8</f>
        <v>5090442.6000000006</v>
      </c>
      <c r="E8" s="125">
        <f>Предположения!F244*$F$8</f>
        <v>3817831.9499999997</v>
      </c>
      <c r="F8" s="125">
        <f>'Tr P&amp;L proj'!E7</f>
        <v>12726106.5</v>
      </c>
      <c r="G8" s="125">
        <f>Предположения!C244*$K$8</f>
        <v>2688694.5529999998</v>
      </c>
      <c r="H8" s="125">
        <f>Предположения!D244*$K$8</f>
        <v>1344347.2764999999</v>
      </c>
      <c r="I8" s="125">
        <f>Предположения!E244*$K$8</f>
        <v>5377389.1059999997</v>
      </c>
      <c r="J8" s="125">
        <f>Предположения!F244*$K$8</f>
        <v>4033041.8294999995</v>
      </c>
      <c r="K8" s="125">
        <f>'Tr P&amp;L proj'!F7</f>
        <v>13443472.764999999</v>
      </c>
      <c r="L8" s="125">
        <f>Предположения!C244*$P$8</f>
        <v>3098316.3696047501</v>
      </c>
      <c r="M8" s="125">
        <f>Предположения!D244*$P$8</f>
        <v>1549158.184802375</v>
      </c>
      <c r="N8" s="125">
        <f>Предположения!E244*$P$8</f>
        <v>6196632.7392095001</v>
      </c>
      <c r="O8" s="125">
        <f>Предположения!F244*$P$8</f>
        <v>4647474.5544071244</v>
      </c>
      <c r="P8" s="125">
        <f>'Tr P&amp;L proj'!G7</f>
        <v>15491581.84802375</v>
      </c>
      <c r="Q8" s="125">
        <f>Предположения!C244*$U$8</f>
        <v>3403118.700961052</v>
      </c>
      <c r="R8" s="125">
        <f>Предположения!D244*$U$8</f>
        <v>1701559.350480526</v>
      </c>
      <c r="S8" s="125">
        <f>Предположения!E244*$U$8</f>
        <v>6806237.4019221039</v>
      </c>
      <c r="T8" s="125">
        <f>Предположения!F244*$U$8</f>
        <v>5104678.0514415773</v>
      </c>
      <c r="U8" s="125">
        <f>'Tr P&amp;L proj'!H7</f>
        <v>17015593.504805259</v>
      </c>
      <c r="V8" s="125">
        <f>Предположения!C244*$Z$8</f>
        <v>3733960.4406324038</v>
      </c>
      <c r="W8" s="125">
        <f>Предположения!D244*$Z$8</f>
        <v>1866980.2203162019</v>
      </c>
      <c r="X8" s="125">
        <f>Предположения!E244*$Z$8</f>
        <v>7467920.8812648077</v>
      </c>
      <c r="Y8" s="125">
        <f>Предположения!F244*$Z$8</f>
        <v>5600940.6609486053</v>
      </c>
      <c r="Z8" s="125">
        <f>'Tr P&amp;L proj'!I7</f>
        <v>18669802.203162018</v>
      </c>
      <c r="AA8" s="125">
        <f>'Tr P&amp;L proj'!J7</f>
        <v>19723493.76296638</v>
      </c>
      <c r="AB8" s="125">
        <f>'Tr P&amp;L proj'!K7</f>
        <v>20828157.426383171</v>
      </c>
      <c r="AC8" s="125">
        <f>'Tr P&amp;L proj'!L7</f>
        <v>21986074.1435045</v>
      </c>
      <c r="AD8" s="125">
        <f>'Tr P&amp;L proj'!M7</f>
        <v>23199622.090102006</v>
      </c>
      <c r="AE8" s="125">
        <f>'Tr P&amp;L proj'!N7</f>
        <v>24471280.679260544</v>
      </c>
    </row>
    <row r="9" spans="1:31" s="1" customFormat="1" ht="15.6">
      <c r="A9" s="47" t="s">
        <v>263</v>
      </c>
      <c r="B9" s="125">
        <f>Предположения!C244*$F$9</f>
        <v>28004381.100000001</v>
      </c>
      <c r="C9" s="125">
        <f>Предположения!D244*$F$9</f>
        <v>14002190.550000001</v>
      </c>
      <c r="D9" s="125">
        <f>Предположения!E244*$F$9</f>
        <v>56008762.200000003</v>
      </c>
      <c r="E9" s="125">
        <f>Предположения!F244*$F$9</f>
        <v>42006571.649999999</v>
      </c>
      <c r="F9" s="125">
        <f>'Tr P&amp;L proj'!E8</f>
        <v>140021905.5</v>
      </c>
      <c r="G9" s="125">
        <f>Предположения!C244*$K$9</f>
        <v>29551114.790999997</v>
      </c>
      <c r="H9" s="125">
        <f>Предположения!D244*$K$9</f>
        <v>14775557.395499999</v>
      </c>
      <c r="I9" s="125">
        <f>Предположения!E244*$K$9</f>
        <v>59102229.581999995</v>
      </c>
      <c r="J9" s="125">
        <f>Предположения!F244*$K$9</f>
        <v>44326672.186499991</v>
      </c>
      <c r="K9" s="125">
        <f>'Tr P&amp;L proj'!F8</f>
        <v>147755573.95499998</v>
      </c>
      <c r="L9" s="125">
        <f>Предположения!C244*$P$9</f>
        <v>34013898.658523247</v>
      </c>
      <c r="M9" s="125">
        <f>Предположения!D244*$P$9</f>
        <v>17006949.329261623</v>
      </c>
      <c r="N9" s="125">
        <f>Предположения!E244*$P$9</f>
        <v>68027797.317046493</v>
      </c>
      <c r="O9" s="125">
        <f>Предположения!F244*$P$9</f>
        <v>51020847.987784863</v>
      </c>
      <c r="P9" s="125">
        <f>'Tr P&amp;L proj'!G8</f>
        <v>170069493.29261622</v>
      </c>
      <c r="Q9" s="125">
        <f>Предположения!C244*$U$9</f>
        <v>37320515.273858465</v>
      </c>
      <c r="R9" s="125">
        <f>Предположения!D244*$U$9</f>
        <v>18660257.636929233</v>
      </c>
      <c r="S9" s="125">
        <f>Предположения!E244*$U$9</f>
        <v>74641030.547716931</v>
      </c>
      <c r="T9" s="125">
        <f>Предположения!F244*$U$9</f>
        <v>55980772.910787694</v>
      </c>
      <c r="U9" s="125">
        <f>'Tr P&amp;L proj'!H8</f>
        <v>186602576.36929232</v>
      </c>
      <c r="V9" s="125">
        <f>Предположения!C244*$Z$9</f>
        <v>40906755.595817387</v>
      </c>
      <c r="W9" s="125">
        <f>Предположения!D244*$Z$9</f>
        <v>20453377.797908694</v>
      </c>
      <c r="X9" s="125">
        <f>Предположения!E244*$Z$9</f>
        <v>81813511.191634774</v>
      </c>
      <c r="Y9" s="125">
        <f>Предположения!F244*$Z$9</f>
        <v>61360133.393726081</v>
      </c>
      <c r="Z9" s="125">
        <f>'Tr P&amp;L proj'!I8</f>
        <v>204533777.97908694</v>
      </c>
      <c r="AA9" s="125">
        <f>'Tr P&amp;L proj'!J8</f>
        <v>215871315.47882426</v>
      </c>
      <c r="AB9" s="125">
        <f>'Tr P&amp;L proj'!K8</f>
        <v>227751010.80789372</v>
      </c>
      <c r="AC9" s="125">
        <f>'Tr P&amp;L proj'!L8</f>
        <v>240197124.98091152</v>
      </c>
      <c r="AD9" s="125">
        <f>'Tr P&amp;L proj'!M8</f>
        <v>253234953.14017588</v>
      </c>
      <c r="AE9" s="125">
        <f>'Tr P&amp;L proj'!N8</f>
        <v>266890867.22486216</v>
      </c>
    </row>
    <row r="10" spans="1:31" s="1" customFormat="1" ht="15.6">
      <c r="A10" s="1" t="s">
        <v>665</v>
      </c>
      <c r="B10" s="42">
        <f t="shared" ref="B10:E10" si="5">B11+SUM(B14:B21)</f>
        <v>-18228878.89618326</v>
      </c>
      <c r="C10" s="42">
        <f t="shared" si="5"/>
        <v>-15429394.221250001</v>
      </c>
      <c r="D10" s="42">
        <f t="shared" si="5"/>
        <v>-72112637.562998116</v>
      </c>
      <c r="E10" s="42">
        <f t="shared" si="5"/>
        <v>-44863706.315080002</v>
      </c>
      <c r="F10" s="42">
        <f t="shared" ref="F10:AE10" si="6">F11+SUM(F14:F21)</f>
        <v>-150634616.99551138</v>
      </c>
      <c r="G10" s="42">
        <f t="shared" si="6"/>
        <v>-19209365.262599073</v>
      </c>
      <c r="H10" s="42">
        <f t="shared" si="6"/>
        <v>-16302817.035737623</v>
      </c>
      <c r="I10" s="42">
        <f t="shared" si="6"/>
        <v>-76200620.856071591</v>
      </c>
      <c r="J10" s="42">
        <f t="shared" si="6"/>
        <v>-47410145.555307418</v>
      </c>
      <c r="K10" s="42">
        <f t="shared" si="6"/>
        <v>-159122948.70971569</v>
      </c>
      <c r="L10" s="42">
        <f t="shared" ref="L10:O10" si="7">L11+SUM(L14:L21)</f>
        <v>-22076793.94250717</v>
      </c>
      <c r="M10" s="42">
        <f t="shared" si="7"/>
        <v>-18763669.261012957</v>
      </c>
      <c r="N10" s="42">
        <f t="shared" si="7"/>
        <v>-87814259.239012107</v>
      </c>
      <c r="O10" s="42">
        <f t="shared" si="7"/>
        <v>-54622688.158374205</v>
      </c>
      <c r="P10" s="42">
        <f t="shared" si="6"/>
        <v>-183277410.60090643</v>
      </c>
      <c r="Q10" s="42">
        <f t="shared" si="6"/>
        <v>-24189940.490000989</v>
      </c>
      <c r="R10" s="42">
        <f t="shared" ref="R10:T10" si="8">R11+SUM(R14:R21)</f>
        <v>-20603226.995733932</v>
      </c>
      <c r="S10" s="42">
        <f t="shared" si="8"/>
        <v>-96471540.457630083</v>
      </c>
      <c r="T10" s="42">
        <f t="shared" si="8"/>
        <v>-60004876.809521712</v>
      </c>
      <c r="U10" s="42">
        <f t="shared" si="6"/>
        <v>-201269584.75288671</v>
      </c>
      <c r="V10" s="42">
        <f t="shared" ref="V10:Y10" si="9">V11+SUM(V14:V21)</f>
        <v>-26479509.501270723</v>
      </c>
      <c r="W10" s="42">
        <f t="shared" si="9"/>
        <v>-22600946.710084308</v>
      </c>
      <c r="X10" s="42">
        <f t="shared" si="9"/>
        <v>-105870649.55110833</v>
      </c>
      <c r="Y10" s="42">
        <f t="shared" si="9"/>
        <v>-65848969.403652996</v>
      </c>
      <c r="Z10" s="42">
        <f t="shared" si="6"/>
        <v>-220800075.16611636</v>
      </c>
      <c r="AA10" s="42">
        <f t="shared" si="6"/>
        <v>-233266323.09780723</v>
      </c>
      <c r="AB10" s="42">
        <f t="shared" si="6"/>
        <v>-246337387.99914005</v>
      </c>
      <c r="AC10" s="42">
        <f t="shared" si="6"/>
        <v>-260040460.05752623</v>
      </c>
      <c r="AD10" s="42">
        <f t="shared" si="6"/>
        <v>-274403908.22590709</v>
      </c>
      <c r="AE10" s="42">
        <f t="shared" si="6"/>
        <v>-289457331.4030816</v>
      </c>
    </row>
    <row r="11" spans="1:31" s="47" customFormat="1" ht="14.4">
      <c r="A11" s="47" t="s">
        <v>265</v>
      </c>
      <c r="B11" s="125">
        <f t="shared" ref="B11:E11" si="10">B12+B13</f>
        <v>-12450631.5</v>
      </c>
      <c r="C11" s="125">
        <f t="shared" si="10"/>
        <v>-12450631.5</v>
      </c>
      <c r="D11" s="125">
        <f t="shared" si="10"/>
        <v>-62253157.5</v>
      </c>
      <c r="E11" s="125">
        <f t="shared" si="10"/>
        <v>-37351894.5</v>
      </c>
      <c r="F11" s="125">
        <f t="shared" ref="F11:AE11" si="11">F12+F13</f>
        <v>-124506315</v>
      </c>
      <c r="G11" s="125">
        <f t="shared" si="11"/>
        <v>-13162122.764999999</v>
      </c>
      <c r="H11" s="125">
        <f t="shared" ref="H11:J11" si="12">H12+H13</f>
        <v>-13162122.764999999</v>
      </c>
      <c r="I11" s="125">
        <f t="shared" si="12"/>
        <v>-65810613.824999988</v>
      </c>
      <c r="J11" s="125">
        <f t="shared" si="12"/>
        <v>-39486368.294999994</v>
      </c>
      <c r="K11" s="125">
        <f t="shared" si="11"/>
        <v>-131621227.64999998</v>
      </c>
      <c r="L11" s="125">
        <f t="shared" ref="L11:O11" si="13">L12+L13</f>
        <v>-15178324.348023746</v>
      </c>
      <c r="M11" s="125">
        <f t="shared" si="13"/>
        <v>-15178324.348023746</v>
      </c>
      <c r="N11" s="125">
        <f t="shared" si="13"/>
        <v>-75891621.740118742</v>
      </c>
      <c r="O11" s="125">
        <f t="shared" si="13"/>
        <v>-45534973.044071242</v>
      </c>
      <c r="P11" s="125">
        <f t="shared" si="11"/>
        <v>-151783243.48023748</v>
      </c>
      <c r="Q11" s="125">
        <f t="shared" si="11"/>
        <v>-16683038.504805259</v>
      </c>
      <c r="R11" s="125">
        <f t="shared" ref="R11:T11" si="14">R12+R13</f>
        <v>-16683038.504805259</v>
      </c>
      <c r="S11" s="125">
        <f t="shared" si="14"/>
        <v>-83415192.524026304</v>
      </c>
      <c r="T11" s="125">
        <f t="shared" si="14"/>
        <v>-50049115.514415778</v>
      </c>
      <c r="U11" s="125">
        <f t="shared" si="11"/>
        <v>-166830385.04805261</v>
      </c>
      <c r="V11" s="125">
        <f t="shared" ref="V11:Y11" si="15">V12+V13</f>
        <v>-18317137.203162018</v>
      </c>
      <c r="W11" s="125">
        <f t="shared" si="15"/>
        <v>-18317137.203162018</v>
      </c>
      <c r="X11" s="125">
        <f t="shared" si="15"/>
        <v>-91585686.015810102</v>
      </c>
      <c r="Y11" s="125">
        <f t="shared" si="15"/>
        <v>-54951411.609486058</v>
      </c>
      <c r="Z11" s="125">
        <f t="shared" si="11"/>
        <v>-183171372.0316202</v>
      </c>
      <c r="AA11" s="125">
        <f t="shared" si="11"/>
        <v>-193633287.6296638</v>
      </c>
      <c r="AB11" s="125">
        <f t="shared" si="11"/>
        <v>-204604924.26383173</v>
      </c>
      <c r="AC11" s="125">
        <f t="shared" si="11"/>
        <v>-216109091.435045</v>
      </c>
      <c r="AD11" s="125">
        <f t="shared" si="11"/>
        <v>-228169570.90102005</v>
      </c>
      <c r="AE11" s="125">
        <f t="shared" si="11"/>
        <v>-240811156.79260546</v>
      </c>
    </row>
    <row r="12" spans="1:31" s="47" customFormat="1" ht="14.4">
      <c r="A12" s="126" t="s">
        <v>266</v>
      </c>
      <c r="B12" s="125">
        <f>Предположения!C245*$F$12</f>
        <v>-5372581.5</v>
      </c>
      <c r="C12" s="125">
        <f>Предположения!D245*$F$12</f>
        <v>-5372581.5</v>
      </c>
      <c r="D12" s="125">
        <f>Предположения!E245*$F$12</f>
        <v>-26862907.5</v>
      </c>
      <c r="E12" s="125">
        <f>Предположения!F245*$F$12</f>
        <v>-16117744.5</v>
      </c>
      <c r="F12" s="125">
        <f>'Tr P&amp;L proj'!E11</f>
        <v>-53725815</v>
      </c>
      <c r="G12" s="125">
        <f>Предположения!C245*$K$12</f>
        <v>-5484029.2649999997</v>
      </c>
      <c r="H12" s="125">
        <f>Предположения!D245*$K$12</f>
        <v>-5484029.2649999997</v>
      </c>
      <c r="I12" s="125">
        <f>Предположения!E245*$K$12</f>
        <v>-27420146.324999996</v>
      </c>
      <c r="J12" s="125">
        <f>Предположения!F245*$K$12</f>
        <v>-16452087.794999996</v>
      </c>
      <c r="K12" s="125">
        <f>'Tr P&amp;L proj'!F11</f>
        <v>-54840292.649999991</v>
      </c>
      <c r="L12" s="125">
        <f>Предположения!C245*$P$12</f>
        <v>-6866655.6767737493</v>
      </c>
      <c r="M12" s="125">
        <f>Предположения!D245*$P$12</f>
        <v>-6866655.6767737493</v>
      </c>
      <c r="N12" s="125">
        <f>Предположения!E245*$P$12</f>
        <v>-34333278.383868746</v>
      </c>
      <c r="O12" s="125">
        <f>Предположения!F245*$P$12</f>
        <v>-20599967.030321248</v>
      </c>
      <c r="P12" s="125">
        <f>'Tr P&amp;L proj'!G11</f>
        <v>-68666556.767737493</v>
      </c>
      <c r="Q12" s="125">
        <f>Предположения!C245*$U$12</f>
        <v>-7702656.3398552611</v>
      </c>
      <c r="R12" s="125">
        <f>Предположения!D245*$U$12</f>
        <v>-7702656.3398552611</v>
      </c>
      <c r="S12" s="125">
        <f>Предположения!E245*$U$12</f>
        <v>-38513281.699276306</v>
      </c>
      <c r="T12" s="125">
        <f>Предположения!F245*$U$12</f>
        <v>-23107969.019565783</v>
      </c>
      <c r="U12" s="125">
        <f>'Tr P&amp;L proj'!H11</f>
        <v>-77026563.398552611</v>
      </c>
      <c r="V12" s="125">
        <f>Предположения!C245*$Z$12</f>
        <v>-8631225.1815753039</v>
      </c>
      <c r="W12" s="125">
        <f>Предположения!D245*$Z$12</f>
        <v>-8631225.1815753039</v>
      </c>
      <c r="X12" s="125">
        <f>Предположения!E245*$Z$12</f>
        <v>-43156125.907876521</v>
      </c>
      <c r="Y12" s="125">
        <f>Предположения!F245*$Z$12</f>
        <v>-25893675.544725914</v>
      </c>
      <c r="Z12" s="125">
        <f>'Tr P&amp;L proj'!I11</f>
        <v>-86312251.815753043</v>
      </c>
      <c r="AA12" s="125">
        <f>'Tr P&amp;L proj'!J11</f>
        <v>-89333180.629304409</v>
      </c>
      <c r="AB12" s="125">
        <f>'Tr P&amp;L proj'!K11</f>
        <v>-92459841.951330066</v>
      </c>
      <c r="AC12" s="125">
        <f>'Tr P&amp;L proj'!L11</f>
        <v>-95695936.419626594</v>
      </c>
      <c r="AD12" s="125">
        <f>'Tr P&amp;L proj'!M11</f>
        <v>-99045294.194313511</v>
      </c>
      <c r="AE12" s="125">
        <f>'Tr P&amp;L proj'!N11</f>
        <v>-102511879.49111448</v>
      </c>
    </row>
    <row r="13" spans="1:31" s="47" customFormat="1" ht="14.4">
      <c r="A13" s="126" t="s">
        <v>267</v>
      </c>
      <c r="B13" s="125">
        <f>Предположения!C245*$F$13</f>
        <v>-7078050</v>
      </c>
      <c r="C13" s="125">
        <f>Предположения!D245*$F$13</f>
        <v>-7078050</v>
      </c>
      <c r="D13" s="125">
        <f>Предположения!E245*$F$13</f>
        <v>-35390250</v>
      </c>
      <c r="E13" s="125">
        <f>Предположения!F245*$F$13</f>
        <v>-21234150</v>
      </c>
      <c r="F13" s="125">
        <f>'Tr P&amp;L proj'!E12</f>
        <v>-70780500</v>
      </c>
      <c r="G13" s="125">
        <f>Предположения!C245*$K$13</f>
        <v>-7678093.4999999991</v>
      </c>
      <c r="H13" s="125">
        <f>Предположения!D245*$K$13</f>
        <v>-7678093.4999999991</v>
      </c>
      <c r="I13" s="125">
        <f>Предположения!E245*$K$13</f>
        <v>-38390467.499999993</v>
      </c>
      <c r="J13" s="125">
        <f>Предположения!F245*$K$13</f>
        <v>-23034280.499999996</v>
      </c>
      <c r="K13" s="125">
        <f>'Tr P&amp;L proj'!F12</f>
        <v>-76780934.999999985</v>
      </c>
      <c r="L13" s="125">
        <f>Предположения!C245*$P$13</f>
        <v>-8311668.6712499978</v>
      </c>
      <c r="M13" s="125">
        <f>Предположения!D245*$P$13</f>
        <v>-8311668.6712499978</v>
      </c>
      <c r="N13" s="125">
        <f>Предположения!E245*$P$13</f>
        <v>-41558343.356249988</v>
      </c>
      <c r="O13" s="125">
        <f>Предположения!F245*$P$13</f>
        <v>-24935006.013749991</v>
      </c>
      <c r="P13" s="125">
        <f>'Tr P&amp;L proj'!G12</f>
        <v>-83116686.712499976</v>
      </c>
      <c r="Q13" s="125">
        <f>Предположения!C245*$U$13</f>
        <v>-8980382.1649499983</v>
      </c>
      <c r="R13" s="125">
        <f>Предположения!D245*$U$13</f>
        <v>-8980382.1649499983</v>
      </c>
      <c r="S13" s="125">
        <f>Предположения!E245*$U$13</f>
        <v>-44901910.824749991</v>
      </c>
      <c r="T13" s="125">
        <f>Предположения!F245*$U$13</f>
        <v>-26941146.494849995</v>
      </c>
      <c r="U13" s="125">
        <f>'Tr P&amp;L proj'!H12</f>
        <v>-89803821.649499983</v>
      </c>
      <c r="V13" s="125">
        <f>Предположения!C245*$Z$13</f>
        <v>-9685912.0215867143</v>
      </c>
      <c r="W13" s="125">
        <f>Предположения!D245*$Z$13</f>
        <v>-9685912.0215867143</v>
      </c>
      <c r="X13" s="125">
        <f>Предположения!E245*$Z$13</f>
        <v>-48429560.107933573</v>
      </c>
      <c r="Y13" s="125">
        <f>Предположения!F245*$Z$13</f>
        <v>-29057736.064760145</v>
      </c>
      <c r="Z13" s="125">
        <f>'Tr P&amp;L proj'!I12</f>
        <v>-96859120.215867147</v>
      </c>
      <c r="AA13" s="125">
        <f>'Tr P&amp;L proj'!J12</f>
        <v>-104300107.00035939</v>
      </c>
      <c r="AB13" s="125">
        <f>'Tr P&amp;L proj'!K12</f>
        <v>-112145082.31250167</v>
      </c>
      <c r="AC13" s="125">
        <f>'Tr P&amp;L proj'!L12</f>
        <v>-120413155.01541843</v>
      </c>
      <c r="AD13" s="125">
        <f>'Tr P&amp;L proj'!M12</f>
        <v>-129124276.70670655</v>
      </c>
      <c r="AE13" s="125">
        <f>'Tr P&amp;L proj'!N12</f>
        <v>-138299277.30149099</v>
      </c>
    </row>
    <row r="14" spans="1:31" s="47" customFormat="1" ht="14.4">
      <c r="A14" s="47" t="s">
        <v>272</v>
      </c>
      <c r="B14" s="125">
        <f>Предположения!C249*$F$14</f>
        <v>0</v>
      </c>
      <c r="C14" s="125">
        <f>Предположения!D249*$F$14</f>
        <v>0</v>
      </c>
      <c r="D14" s="125">
        <f>Предположения!E249*$F$14</f>
        <v>-263954.20574811433</v>
      </c>
      <c r="E14" s="125">
        <f>Предположения!F249*$F$14</f>
        <v>0</v>
      </c>
      <c r="F14" s="125">
        <f>'Tr CF proj'!E14</f>
        <v>-263954.20574811433</v>
      </c>
      <c r="G14" s="125">
        <f>Предположения!C249*$K$14</f>
        <v>0</v>
      </c>
      <c r="H14" s="125">
        <f>Предположения!D249*$K$14</f>
        <v>0</v>
      </c>
      <c r="I14" s="125">
        <f>Предположения!E249*$K$14</f>
        <v>-255709.89917397697</v>
      </c>
      <c r="J14" s="125">
        <f>Предположения!F249*$K$14</f>
        <v>0</v>
      </c>
      <c r="K14" s="125">
        <f>'Tr CF proj'!F14</f>
        <v>-255709.89917397697</v>
      </c>
      <c r="L14" s="125">
        <f>Предположения!C249*$P$14</f>
        <v>0</v>
      </c>
      <c r="M14" s="125">
        <f>Предположения!D249*$P$14</f>
        <v>0</v>
      </c>
      <c r="N14" s="125">
        <f>Предположения!E249*$P$14</f>
        <v>-278622.86236147856</v>
      </c>
      <c r="O14" s="125">
        <f>Предположения!F249*$P$14</f>
        <v>0</v>
      </c>
      <c r="P14" s="125">
        <f>'Tr CF proj'!G14</f>
        <v>-278622.86236147856</v>
      </c>
      <c r="Q14" s="125">
        <f>Предположения!C249*$U$14</f>
        <v>0</v>
      </c>
      <c r="R14" s="125">
        <f>Предположения!D249*$U$14</f>
        <v>0</v>
      </c>
      <c r="S14" s="125">
        <f>Предположения!E249*$U$14</f>
        <v>-282431.48523931659</v>
      </c>
      <c r="T14" s="125">
        <f>Предположения!F249*$U$14</f>
        <v>0</v>
      </c>
      <c r="U14" s="125">
        <f>'Tr CF proj'!H14</f>
        <v>-282431.48523931659</v>
      </c>
      <c r="V14" s="125">
        <f>Предположения!C249*$Z$14</f>
        <v>0</v>
      </c>
      <c r="W14" s="125">
        <f>Предположения!D249*$Z$14</f>
        <v>0</v>
      </c>
      <c r="X14" s="125">
        <f>Предположения!E249*$Z$14</f>
        <v>-284266.84264057368</v>
      </c>
      <c r="Y14" s="125">
        <f>Предположения!F249*$Z$14</f>
        <v>0</v>
      </c>
      <c r="Z14" s="125">
        <f>'Tr CF proj'!I14</f>
        <v>-284266.84264057368</v>
      </c>
      <c r="AA14" s="125">
        <f>'Tr CF proj'!J14</f>
        <v>-269166.48946858471</v>
      </c>
      <c r="AB14" s="125">
        <f>'Tr CF proj'!K14</f>
        <v>-252143.90456375806</v>
      </c>
      <c r="AC14" s="125">
        <f>'Tr CF proj'!L14</f>
        <v>-233094.51598077128</v>
      </c>
      <c r="AD14" s="125">
        <f>'Tr CF proj'!M14</f>
        <v>-211906.36377576308</v>
      </c>
      <c r="AE14" s="125">
        <f>'Tr CF proj'!N14</f>
        <v>-188459.41839608518</v>
      </c>
    </row>
    <row r="15" spans="1:31" s="47" customFormat="1" ht="14.4">
      <c r="A15" s="47" t="s">
        <v>150</v>
      </c>
      <c r="B15" s="125">
        <f>Предположения!C253*$F$15</f>
        <v>-1059.09375</v>
      </c>
      <c r="C15" s="125">
        <f>Предположения!D253*$F$15</f>
        <v>-1059.09375</v>
      </c>
      <c r="D15" s="125">
        <f>Предположения!E253*$F$15</f>
        <v>-1059.09375</v>
      </c>
      <c r="E15" s="125">
        <f>Предположения!F253*$F$15</f>
        <v>-1059.09375</v>
      </c>
      <c r="F15" s="125">
        <f>'Tr P&amp;L proj'!E14</f>
        <v>-4236.375</v>
      </c>
      <c r="G15" s="125">
        <f>Предположения!C253*$K$15</f>
        <v>-1198.7882156250002</v>
      </c>
      <c r="H15" s="125">
        <f>Предположения!D253*$K$15</f>
        <v>-1198.7882156250002</v>
      </c>
      <c r="I15" s="125">
        <f>Предположения!E253*$K$15</f>
        <v>-1198.7882156250002</v>
      </c>
      <c r="J15" s="125">
        <f>Предположения!F253*$K$15</f>
        <v>-1198.7882156250002</v>
      </c>
      <c r="K15" s="125">
        <f>'Tr P&amp;L proj'!F14</f>
        <v>-4795.152862500001</v>
      </c>
      <c r="L15" s="125">
        <f>Предположения!C253*$P$15</f>
        <v>-1359.5457153403129</v>
      </c>
      <c r="M15" s="125">
        <f>Предположения!D253*$P$15</f>
        <v>-1359.5457153403129</v>
      </c>
      <c r="N15" s="125">
        <f>Предположения!E253*$P$15</f>
        <v>-1359.5457153403129</v>
      </c>
      <c r="O15" s="125">
        <f>Предположения!F253*$P$15</f>
        <v>-1359.5457153403129</v>
      </c>
      <c r="P15" s="125">
        <f>'Tr P&amp;L proj'!G14</f>
        <v>-5438.1828613612515</v>
      </c>
      <c r="Q15" s="125">
        <f>Предположения!C253*$U$15</f>
        <v>-1544.8517963411973</v>
      </c>
      <c r="R15" s="125">
        <f>Предположения!D253*$U$15</f>
        <v>-1544.8517963411973</v>
      </c>
      <c r="S15" s="125">
        <f>Предположения!E253*$U$15</f>
        <v>-1544.8517963411973</v>
      </c>
      <c r="T15" s="125">
        <f>Предположения!F253*$U$15</f>
        <v>-1544.8517963411973</v>
      </c>
      <c r="U15" s="125">
        <f>'Tr P&amp;L proj'!H14</f>
        <v>-6179.4071853647893</v>
      </c>
      <c r="V15" s="125">
        <f>Предположения!C253*$Z$15</f>
        <v>-1758.8137701344531</v>
      </c>
      <c r="W15" s="125">
        <f>Предположения!D253*$Z$15</f>
        <v>-1758.8137701344531</v>
      </c>
      <c r="X15" s="125">
        <f>Предположения!E253*$Z$15</f>
        <v>-1758.8137701344531</v>
      </c>
      <c r="Y15" s="125">
        <f>Предположения!F253*$Z$15</f>
        <v>-1758.8137701344531</v>
      </c>
      <c r="Z15" s="125">
        <f>'Tr P&amp;L proj'!I14</f>
        <v>-7035.2550805378123</v>
      </c>
      <c r="AA15" s="125">
        <f>'Tr P&amp;L proj'!J14</f>
        <v>-8025.115470369482</v>
      </c>
      <c r="AB15" s="125">
        <f>'Tr P&amp;L proj'!K14</f>
        <v>-9171.9044710852813</v>
      </c>
      <c r="AC15" s="125">
        <f>'Tr P&amp;L proj'!L14</f>
        <v>-10502.747809839757</v>
      </c>
      <c r="AD15" s="125">
        <f>'Tr P&amp;L proj'!M14</f>
        <v>-12049.802562229153</v>
      </c>
      <c r="AE15" s="125">
        <f>'Tr P&amp;L proj'!N14</f>
        <v>-13851.248045282413</v>
      </c>
    </row>
    <row r="16" spans="1:31" s="47" customFormat="1" ht="14.4">
      <c r="A16" s="47" t="s">
        <v>155</v>
      </c>
      <c r="B16" s="125">
        <f>Предположения!C253*$F$16</f>
        <v>-269915.11299999995</v>
      </c>
      <c r="C16" s="125">
        <f>Предположения!D253*$F$16</f>
        <v>-269915.11299999995</v>
      </c>
      <c r="D16" s="125">
        <f>Предположения!E253*$F$16</f>
        <v>-269915.11299999995</v>
      </c>
      <c r="E16" s="125">
        <f>Предположения!F253*$F$16</f>
        <v>-269915.11299999995</v>
      </c>
      <c r="F16" s="125">
        <f>'Tr P&amp;L proj'!E17</f>
        <v>-1079660.4519999998</v>
      </c>
      <c r="G16" s="125">
        <f>Предположения!C253*$K$16</f>
        <v>-277742.65127699991</v>
      </c>
      <c r="H16" s="125">
        <f>Предположения!D253*$K$16</f>
        <v>-277742.65127699991</v>
      </c>
      <c r="I16" s="125">
        <f>Предположения!E253*$K$16</f>
        <v>-277742.65127699991</v>
      </c>
      <c r="J16" s="125">
        <f>Предположения!F253*$K$16</f>
        <v>-277742.65127699991</v>
      </c>
      <c r="K16" s="125">
        <f>'Tr P&amp;L proj'!F17</f>
        <v>-1110970.6051079996</v>
      </c>
      <c r="L16" s="125">
        <f>Предположения!C253*$P$16</f>
        <v>-286352.67346658686</v>
      </c>
      <c r="M16" s="125">
        <f>Предположения!D253*$P$16</f>
        <v>-286352.67346658686</v>
      </c>
      <c r="N16" s="125">
        <f>Предположения!E253*$P$16</f>
        <v>-286352.67346658686</v>
      </c>
      <c r="O16" s="125">
        <f>Предположения!F253*$P$16</f>
        <v>-286352.67346658686</v>
      </c>
      <c r="P16" s="125">
        <f>'Tr P&amp;L proj'!G17</f>
        <v>-1145410.6938663474</v>
      </c>
      <c r="Q16" s="125">
        <f>Предположения!C253*$U$16</f>
        <v>-295802.31169098418</v>
      </c>
      <c r="R16" s="125">
        <f>Предположения!D253*$U$16</f>
        <v>-295802.31169098418</v>
      </c>
      <c r="S16" s="125">
        <f>Предположения!E253*$U$16</f>
        <v>-295802.31169098418</v>
      </c>
      <c r="T16" s="125">
        <f>Предположения!F253*$U$16</f>
        <v>-295802.31169098418</v>
      </c>
      <c r="U16" s="125">
        <f>'Tr P&amp;L proj'!H17</f>
        <v>-1183209.2467639367</v>
      </c>
      <c r="V16" s="125">
        <f>Предположения!C253*$Z$16</f>
        <v>-306155.39260016859</v>
      </c>
      <c r="W16" s="125">
        <f>Предположения!D253*$Z$16</f>
        <v>-306155.39260016859</v>
      </c>
      <c r="X16" s="125">
        <f>Предположения!E253*$Z$16</f>
        <v>-306155.39260016859</v>
      </c>
      <c r="Y16" s="125">
        <f>Предположения!F253*$Z$16</f>
        <v>-306155.39260016859</v>
      </c>
      <c r="Z16" s="125">
        <f>'Tr P&amp;L proj'!I17</f>
        <v>-1224621.5704006744</v>
      </c>
      <c r="AA16" s="125">
        <f>'Tr P&amp;L proj'!J17</f>
        <v>-1269932.5685054993</v>
      </c>
      <c r="AB16" s="125">
        <f>'Tr P&amp;L proj'!K17</f>
        <v>-1319459.9386772136</v>
      </c>
      <c r="AC16" s="125">
        <f>'Tr P&amp;L proj'!L17</f>
        <v>-1373557.7961629792</v>
      </c>
      <c r="AD16" s="125">
        <f>'Tr P&amp;L proj'!M17</f>
        <v>-1432620.7813979872</v>
      </c>
      <c r="AE16" s="125">
        <f>'Tr P&amp;L proj'!N17</f>
        <v>-1497088.7165608965</v>
      </c>
    </row>
    <row r="17" spans="1:31" s="47" customFormat="1" ht="14.4">
      <c r="A17" s="47" t="s">
        <v>280</v>
      </c>
      <c r="B17" s="125">
        <f>Предположения!C244*$F$17</f>
        <v>-4105679.4000000004</v>
      </c>
      <c r="C17" s="125">
        <f>Предположения!D244*$F$17</f>
        <v>-2052839.7000000002</v>
      </c>
      <c r="D17" s="125">
        <f>Предположения!E244*$F$17</f>
        <v>-8211358.8000000007</v>
      </c>
      <c r="E17" s="125">
        <f>Предположения!F244*$F$17</f>
        <v>-6158519.0999999996</v>
      </c>
      <c r="F17" s="125">
        <f>'Tr P&amp;L proj'!E18</f>
        <v>-20528397</v>
      </c>
      <c r="G17" s="125">
        <f>Предположения!C244*$K$17</f>
        <v>-4340003.8139999993</v>
      </c>
      <c r="H17" s="125">
        <f>Предположения!D244*$K$17</f>
        <v>-2170001.9069999997</v>
      </c>
      <c r="I17" s="125">
        <f>Предположения!E244*$K$17</f>
        <v>-8680007.6279999986</v>
      </c>
      <c r="J17" s="125">
        <f>Предположения!F244*$K$17</f>
        <v>-6510005.720999999</v>
      </c>
      <c r="K17" s="125">
        <f>'Tr P&amp;L proj'!F18</f>
        <v>-21700019.069999997</v>
      </c>
      <c r="L17" s="125">
        <f>Предположения!C244*$P$17</f>
        <v>-5001324.3320804993</v>
      </c>
      <c r="M17" s="125">
        <f>Предположения!D244*$P$17</f>
        <v>-2500662.1660402496</v>
      </c>
      <c r="N17" s="125">
        <f>Предположения!E244*$P$17</f>
        <v>-10002648.664160999</v>
      </c>
      <c r="O17" s="125">
        <f>Предположения!F244*$P$17</f>
        <v>-7501986.4981207484</v>
      </c>
      <c r="P17" s="125">
        <f>'Tr P&amp;L proj'!G18</f>
        <v>-25006621.660402495</v>
      </c>
      <c r="Q17" s="125">
        <f>Предположения!C244*$U$17</f>
        <v>-5495248.9652089942</v>
      </c>
      <c r="R17" s="125">
        <f>Предположения!D244*$U$17</f>
        <v>-2747624.4826044971</v>
      </c>
      <c r="S17" s="125">
        <f>Предположения!E244*$U$17</f>
        <v>-10990497.930417988</v>
      </c>
      <c r="T17" s="125">
        <f>Предположения!F244*$U$17</f>
        <v>-8242873.4478134904</v>
      </c>
      <c r="U17" s="125">
        <f>'Tr P&amp;L proj'!H18</f>
        <v>-27476244.826044969</v>
      </c>
      <c r="V17" s="125">
        <f>Предположения!C244*$Z$17</f>
        <v>-6031517.6301257517</v>
      </c>
      <c r="W17" s="125">
        <f>Предположения!D244*$Z$17</f>
        <v>-3015758.8150628759</v>
      </c>
      <c r="X17" s="125">
        <f>Предположения!E244*$Z$17</f>
        <v>-12063035.260251503</v>
      </c>
      <c r="Y17" s="125">
        <f>Предположения!F244*$Z$17</f>
        <v>-9047276.4451886266</v>
      </c>
      <c r="Z17" s="125">
        <f>'Tr P&amp;L proj'!I18</f>
        <v>-30157588.150628757</v>
      </c>
      <c r="AA17" s="125">
        <f>'Tr P&amp;L proj'!J18</f>
        <v>-31876901.612126805</v>
      </c>
      <c r="AB17" s="125">
        <f>'Tr P&amp;L proj'!K18</f>
        <v>-33679623.970445193</v>
      </c>
      <c r="AC17" s="125">
        <f>'Tr P&amp;L proj'!L18</f>
        <v>-35569487.689371005</v>
      </c>
      <c r="AD17" s="125">
        <f>'Tr P&amp;L proj'!M18</f>
        <v>-37550384.329257831</v>
      </c>
      <c r="AE17" s="125">
        <f>'Tr P&amp;L proj'!N18</f>
        <v>-39626371.111517258</v>
      </c>
    </row>
    <row r="18" spans="1:31" s="47" customFormat="1" ht="14.4">
      <c r="A18" s="47" t="s">
        <v>268</v>
      </c>
      <c r="B18" s="125">
        <f>Предположения!C244*$F$18</f>
        <v>-305496.02400000003</v>
      </c>
      <c r="C18" s="125">
        <f>Предположения!D244*$F$18</f>
        <v>-152748.01200000002</v>
      </c>
      <c r="D18" s="125">
        <f>Предположения!E244*$F$18</f>
        <v>-610992.04800000007</v>
      </c>
      <c r="E18" s="125">
        <f>Предположения!F244*$F$18</f>
        <v>-458244.03600000002</v>
      </c>
      <c r="F18" s="125">
        <f>'Tr P&amp;L proj'!E19</f>
        <v>-1527480.12</v>
      </c>
      <c r="G18" s="125">
        <f>Предположения!C244*$K$18</f>
        <v>-322398.09343999997</v>
      </c>
      <c r="H18" s="125">
        <f>Предположения!D244*$K$18</f>
        <v>-161199.04671999998</v>
      </c>
      <c r="I18" s="125">
        <f>Предположения!E244*$K$18</f>
        <v>-644796.18687999994</v>
      </c>
      <c r="J18" s="125">
        <f>Предположения!F244*$K$18</f>
        <v>-483597.14015999995</v>
      </c>
      <c r="K18" s="125">
        <f>'Tr P&amp;L proj'!F19</f>
        <v>-1611990.4671999998</v>
      </c>
      <c r="L18" s="125">
        <f>Предположения!C244*$P$18</f>
        <v>-371122.15028127993</v>
      </c>
      <c r="M18" s="125">
        <f>Предположения!D244*$P$18</f>
        <v>-185561.07514063996</v>
      </c>
      <c r="N18" s="125">
        <f>Предположения!E244*$P$18</f>
        <v>-742244.30056255986</v>
      </c>
      <c r="O18" s="125">
        <f>Предположения!F244*$P$18</f>
        <v>-556683.22542191984</v>
      </c>
      <c r="P18" s="125">
        <f>'Tr P&amp;L proj'!G19</f>
        <v>-1855610.7514063995</v>
      </c>
      <c r="Q18" s="125">
        <f>Предположения!C244*$U$18</f>
        <v>-407236.3397481952</v>
      </c>
      <c r="R18" s="125">
        <f>Предположения!D244*$U$18</f>
        <v>-203618.1698740976</v>
      </c>
      <c r="S18" s="125">
        <f>Предположения!E244*$U$18</f>
        <v>-814472.6794963904</v>
      </c>
      <c r="T18" s="125">
        <f>Предположения!F244*$U$18</f>
        <v>-610854.50962229271</v>
      </c>
      <c r="U18" s="125">
        <f>'Tr P&amp;L proj'!H19</f>
        <v>-2036181.6987409759</v>
      </c>
      <c r="V18" s="125">
        <f>Предположения!C244*$Z$18</f>
        <v>-446407.16036449792</v>
      </c>
      <c r="W18" s="125">
        <f>Предположения!D244*$Z$18</f>
        <v>-223203.58018224896</v>
      </c>
      <c r="X18" s="125">
        <f>Предположения!E244*$Z$18</f>
        <v>-892814.32072899584</v>
      </c>
      <c r="Y18" s="125">
        <f>Предположения!F244*$Z$18</f>
        <v>-669610.74054674688</v>
      </c>
      <c r="Z18" s="125">
        <f>'Tr P&amp;L proj'!I19</f>
        <v>-2232035.8018224896</v>
      </c>
      <c r="AA18" s="125">
        <f>'Tr P&amp;L proj'!J19</f>
        <v>-2355948.0924179065</v>
      </c>
      <c r="AB18" s="125">
        <f>'Tr P&amp;L proj'!K19</f>
        <v>-2485791.6823427691</v>
      </c>
      <c r="AC18" s="125">
        <f>'Tr P&amp;L proj'!L19</f>
        <v>-2621831.9912441601</v>
      </c>
      <c r="AD18" s="125">
        <f>'Tr P&amp;L proj'!M19</f>
        <v>-2764345.7523027789</v>
      </c>
      <c r="AE18" s="125">
        <f>'Tr P&amp;L proj'!N19</f>
        <v>-2913621.4790412271</v>
      </c>
    </row>
    <row r="19" spans="1:31" s="47" customFormat="1" ht="14.4">
      <c r="A19" s="47" t="s">
        <v>281</v>
      </c>
      <c r="B19" s="125">
        <f>Предположения!C247*$F$19</f>
        <v>0</v>
      </c>
      <c r="C19" s="125">
        <f>Предположения!D247*$F$19</f>
        <v>0</v>
      </c>
      <c r="D19" s="125">
        <f>Предположения!E247*$F$19</f>
        <v>0</v>
      </c>
      <c r="E19" s="125">
        <f>Предположения!F247*$F$19</f>
        <v>-121873.66982999971</v>
      </c>
      <c r="F19" s="125">
        <f>'Tr P&amp;L proj'!E20</f>
        <v>-121873.66982999971</v>
      </c>
      <c r="G19" s="125">
        <f>Предположения!C247*$K$19</f>
        <v>0</v>
      </c>
      <c r="H19" s="125">
        <f>Предположения!D247*$K$19</f>
        <v>0</v>
      </c>
      <c r="I19" s="125">
        <f>Предположения!E247*$K$19</f>
        <v>0</v>
      </c>
      <c r="J19" s="125">
        <f>Предположения!F247*$K$19</f>
        <v>-120681.08212979978</v>
      </c>
      <c r="K19" s="125">
        <f>'Tr P&amp;L proj'!F20</f>
        <v>-120681.08212979978</v>
      </c>
      <c r="L19" s="125">
        <f>Предположения!C247*$P$19</f>
        <v>0</v>
      </c>
      <c r="M19" s="125">
        <f>Предположения!D247*$P$19</f>
        <v>0</v>
      </c>
      <c r="N19" s="125">
        <f>Предположения!E247*$P$19</f>
        <v>0</v>
      </c>
      <c r="O19" s="125">
        <f>Предположения!F247*$P$19</f>
        <v>-129923.71895197533</v>
      </c>
      <c r="P19" s="125">
        <f>'Tr P&amp;L proj'!G20</f>
        <v>-129923.71895197533</v>
      </c>
      <c r="Q19" s="125">
        <f>Предположения!C247*$U$19</f>
        <v>0</v>
      </c>
      <c r="R19" s="125">
        <f>Предположения!D247*$U$19</f>
        <v>0</v>
      </c>
      <c r="S19" s="125">
        <f>Предположения!E247*$U$19</f>
        <v>0</v>
      </c>
      <c r="T19" s="125">
        <f>Предположения!F247*$U$19</f>
        <v>-133087.49922007366</v>
      </c>
      <c r="U19" s="125">
        <f>'Tr P&amp;L proj'!H20</f>
        <v>-133087.49922007366</v>
      </c>
      <c r="V19" s="125">
        <f>Предположения!C247*$Z$19</f>
        <v>0</v>
      </c>
      <c r="W19" s="125">
        <f>Предположения!D247*$Z$19</f>
        <v>0</v>
      </c>
      <c r="X19" s="125">
        <f>Предположения!E247*$Z$19</f>
        <v>0</v>
      </c>
      <c r="Y19" s="125">
        <f>Предположения!F247*$Z$19</f>
        <v>-135823.49675440078</v>
      </c>
      <c r="Z19" s="125">
        <f>'Tr P&amp;L proj'!I20</f>
        <v>-135823.49675440078</v>
      </c>
      <c r="AA19" s="125">
        <f>'Tr P&amp;L proj'!J20</f>
        <v>-133130.06634435602</v>
      </c>
      <c r="AB19" s="125">
        <f>'Tr P&amp;L proj'!K20</f>
        <v>-130003.46573015382</v>
      </c>
      <c r="AC19" s="125">
        <f>'Tr P&amp;L proj'!L20</f>
        <v>-126424.31098319996</v>
      </c>
      <c r="AD19" s="125">
        <f>'Tr P&amp;L proj'!M20</f>
        <v>-122372.39193338812</v>
      </c>
      <c r="AE19" s="125">
        <f>'Tr P&amp;L proj'!N20</f>
        <v>-117826.63807751975</v>
      </c>
    </row>
    <row r="20" spans="1:31" s="47" customFormat="1" ht="14.4">
      <c r="A20" s="8" t="s">
        <v>282</v>
      </c>
      <c r="B20" s="125">
        <f>Предположения!C253*$F$20</f>
        <v>-502200.80250000005</v>
      </c>
      <c r="C20" s="125">
        <f>Предположения!D253*$F$20</f>
        <v>-502200.80250000005</v>
      </c>
      <c r="D20" s="125">
        <f>Предположения!E253*$F$20</f>
        <v>-502200.80250000005</v>
      </c>
      <c r="E20" s="125">
        <f>Предположения!F253*$F$20</f>
        <v>-502200.80250000005</v>
      </c>
      <c r="F20" s="125">
        <f>'Tr P&amp;L proj'!E21</f>
        <v>-2008803.2100000002</v>
      </c>
      <c r="G20" s="125">
        <f>Предположения!C253*$K$20</f>
        <v>-530551.8775249999</v>
      </c>
      <c r="H20" s="125">
        <f>Предположения!D253*$K$20</f>
        <v>-530551.8775249999</v>
      </c>
      <c r="I20" s="125">
        <f>Предположения!E253*$K$20</f>
        <v>-530551.8775249999</v>
      </c>
      <c r="J20" s="125">
        <f>Предположения!F253*$K$20</f>
        <v>-530551.8775249999</v>
      </c>
      <c r="K20" s="125">
        <f>'Tr P&amp;L proj'!F21</f>
        <v>-2122207.5100999996</v>
      </c>
      <c r="L20" s="125">
        <f>Предположения!C253*$P$20</f>
        <v>-611409.45262639364</v>
      </c>
      <c r="M20" s="125">
        <f>Предположения!D253*$P$20</f>
        <v>-611409.45262639364</v>
      </c>
      <c r="N20" s="125">
        <f>Предположения!E253*$P$20</f>
        <v>-611409.45262639364</v>
      </c>
      <c r="O20" s="125">
        <f>Предположения!F253*$P$20</f>
        <v>-611409.45262639364</v>
      </c>
      <c r="P20" s="125">
        <f>'Tr P&amp;L proj'!G21</f>
        <v>-2445637.8105055746</v>
      </c>
      <c r="Q20" s="125">
        <f>Предположения!C253*$U$20</f>
        <v>-671598.67496275355</v>
      </c>
      <c r="R20" s="125">
        <f>Предположения!D253*$U$20</f>
        <v>-671598.67496275355</v>
      </c>
      <c r="S20" s="125">
        <f>Предположения!E253*$U$20</f>
        <v>-671598.67496275355</v>
      </c>
      <c r="T20" s="125">
        <f>Предположения!F253*$U$20</f>
        <v>-671598.67496275355</v>
      </c>
      <c r="U20" s="125">
        <f>'Tr P&amp;L proj'!H21</f>
        <v>-2686394.6998510142</v>
      </c>
      <c r="V20" s="125">
        <f>Предположения!C253*$Z$20</f>
        <v>-736932.90530686174</v>
      </c>
      <c r="W20" s="125">
        <f>Предположения!D253*$Z$20</f>
        <v>-736932.90530686174</v>
      </c>
      <c r="X20" s="125">
        <f>Предположения!E253*$Z$20</f>
        <v>-736932.90530686174</v>
      </c>
      <c r="Y20" s="125">
        <f>Предположения!F253*$Z$20</f>
        <v>-736932.90530686174</v>
      </c>
      <c r="Z20" s="125">
        <f>'Tr P&amp;L proj'!I21</f>
        <v>-2947731.6212274469</v>
      </c>
      <c r="AA20" s="125">
        <f>'Tr P&amp;L proj'!J21</f>
        <v>-3114306.9225055911</v>
      </c>
      <c r="AB20" s="125">
        <f>'Tr P&amp;L proj'!K21</f>
        <v>-3288945.0838097017</v>
      </c>
      <c r="AC20" s="125">
        <f>'Tr P&amp;L proj'!L21</f>
        <v>-3472006.9099725299</v>
      </c>
      <c r="AD20" s="125">
        <f>'Tr P&amp;L proj'!M21</f>
        <v>-3663868.58516159</v>
      </c>
      <c r="AE20" s="125">
        <f>'Tr P&amp;L proj'!N21</f>
        <v>-3864922.3074466684</v>
      </c>
    </row>
    <row r="21" spans="1:31" s="47" customFormat="1" ht="14.4">
      <c r="A21" s="47" t="s">
        <v>608</v>
      </c>
      <c r="B21" s="125">
        <f>Предположения!C248*$F$21</f>
        <v>-593896.96293325722</v>
      </c>
      <c r="C21" s="125">
        <f>Предположения!D248*$F$21</f>
        <v>0</v>
      </c>
      <c r="D21" s="125">
        <f>Предположения!E248*$F$21</f>
        <v>0</v>
      </c>
      <c r="E21" s="125">
        <f>Предположения!F248*$F$21</f>
        <v>0</v>
      </c>
      <c r="F21" s="125">
        <f>'Tr P&amp;L proj'!E36</f>
        <v>-593896.96293325722</v>
      </c>
      <c r="G21" s="125">
        <f>Предположения!C248*$K$21</f>
        <v>-575347.27314144815</v>
      </c>
      <c r="H21" s="125">
        <f>Предположения!D248*$K$21</f>
        <v>0</v>
      </c>
      <c r="I21" s="125">
        <f>Предположения!E248*$K$21</f>
        <v>0</v>
      </c>
      <c r="J21" s="125">
        <f>Предположения!F248*$K$21</f>
        <v>0</v>
      </c>
      <c r="K21" s="125">
        <f>'Tr P&amp;L proj'!F36</f>
        <v>-575347.27314144815</v>
      </c>
      <c r="L21" s="125">
        <f>Предположения!C248*$P$21</f>
        <v>-626901.44031332666</v>
      </c>
      <c r="M21" s="125">
        <f>Предположения!D248*$P$21</f>
        <v>0</v>
      </c>
      <c r="N21" s="125">
        <f>Предположения!E248*$P$21</f>
        <v>0</v>
      </c>
      <c r="O21" s="125">
        <f>Предположения!F248*$P$21</f>
        <v>0</v>
      </c>
      <c r="P21" s="125">
        <f>'Tr P&amp;L proj'!G36</f>
        <v>-626901.44031332666</v>
      </c>
      <c r="Q21" s="125">
        <f>Предположения!C248*$U$21</f>
        <v>-635470.84178846225</v>
      </c>
      <c r="R21" s="125">
        <f>Предположения!D248*$U$21</f>
        <v>0</v>
      </c>
      <c r="S21" s="125">
        <f>Предположения!E248*$U$21</f>
        <v>0</v>
      </c>
      <c r="T21" s="125">
        <f>Предположения!F248*$U$21</f>
        <v>0</v>
      </c>
      <c r="U21" s="125">
        <f>'Tr P&amp;L proj'!H36</f>
        <v>-635470.84178846225</v>
      </c>
      <c r="V21" s="125">
        <f>Предположения!C248*$Z$21</f>
        <v>-639600.39594129077</v>
      </c>
      <c r="W21" s="125">
        <f>Предположения!D248*$Z$21</f>
        <v>0</v>
      </c>
      <c r="X21" s="125">
        <f>Предположения!E248*$Z$21</f>
        <v>0</v>
      </c>
      <c r="Y21" s="125">
        <f>Предположения!F248*$Z$21</f>
        <v>0</v>
      </c>
      <c r="Z21" s="125">
        <f>'Tr P&amp;L proj'!I36</f>
        <v>-639600.39594129077</v>
      </c>
      <c r="AA21" s="125">
        <f>'Tr P&amp;L proj'!J36</f>
        <v>-605624.6013043155</v>
      </c>
      <c r="AB21" s="125">
        <f>'Tr P&amp;L proj'!K36</f>
        <v>-567323.78526845563</v>
      </c>
      <c r="AC21" s="125">
        <f>'Tr P&amp;L proj'!L36</f>
        <v>-524462.66095673537</v>
      </c>
      <c r="AD21" s="125">
        <f>'Tr P&amp;L proj'!M36</f>
        <v>-476789.31849546684</v>
      </c>
      <c r="AE21" s="125">
        <f>'Tr P&amp;L proj'!N36</f>
        <v>-424033.69139119162</v>
      </c>
    </row>
    <row r="22" spans="1:31" s="44" customFormat="1" ht="15.6">
      <c r="A22" s="1" t="s">
        <v>612</v>
      </c>
      <c r="B22" s="42">
        <f>Предположения!C253*$F$22</f>
        <v>557821.41119754314</v>
      </c>
      <c r="C22" s="42">
        <f>Предположения!D253*$F$22</f>
        <v>557821.41119754314</v>
      </c>
      <c r="D22" s="42">
        <f>Предположения!E253*$F$22</f>
        <v>557821.41119754314</v>
      </c>
      <c r="E22" s="42">
        <f>Предположения!F253*$F$22</f>
        <v>557821.41119754314</v>
      </c>
      <c r="F22" s="42">
        <f>'Tr BS proj'!E50</f>
        <v>2231285.6447901726</v>
      </c>
      <c r="G22" s="42">
        <f>Предположения!C253*$K$22</f>
        <v>166725.2123913113</v>
      </c>
      <c r="H22" s="42">
        <f>Предположения!D253*$K$22</f>
        <v>166725.2123913113</v>
      </c>
      <c r="I22" s="42">
        <f>Предположения!E253*$K$22</f>
        <v>166725.2123913113</v>
      </c>
      <c r="J22" s="42">
        <f>Предположения!F253*$K$22</f>
        <v>166725.2123913113</v>
      </c>
      <c r="K22" s="42">
        <f>'Tr BS proj'!F50</f>
        <v>666900.84956524521</v>
      </c>
      <c r="L22" s="42">
        <f>Предположения!C253*$P$22</f>
        <v>484199.56822878029</v>
      </c>
      <c r="M22" s="42">
        <f>Предположения!D253*$P$22</f>
        <v>484199.56822878029</v>
      </c>
      <c r="N22" s="42">
        <f>Предположения!E253*$P$22</f>
        <v>484199.56822878029</v>
      </c>
      <c r="O22" s="42">
        <f>Предположения!F253*$P$22</f>
        <v>484199.56822878029</v>
      </c>
      <c r="P22" s="42">
        <f>'Tr BS proj'!G50</f>
        <v>1936798.2729151212</v>
      </c>
      <c r="Q22" s="42">
        <f>Предположения!C253*$U$22</f>
        <v>357829.7551956065</v>
      </c>
      <c r="R22" s="42">
        <f>Предположения!D253*$U$22</f>
        <v>357829.7551956065</v>
      </c>
      <c r="S22" s="42">
        <f>Предположения!E253*$U$22</f>
        <v>357829.7551956065</v>
      </c>
      <c r="T22" s="42">
        <f>Предположения!F253*$U$22</f>
        <v>357829.7551956065</v>
      </c>
      <c r="U22" s="42">
        <f>'Tr BS proj'!H50</f>
        <v>1431319.020782426</v>
      </c>
      <c r="V22" s="42">
        <f>Предположения!C253*$Z$22</f>
        <v>387907.50959902909</v>
      </c>
      <c r="W22" s="42">
        <f>Предположения!D253*$Z$22</f>
        <v>387907.50959902909</v>
      </c>
      <c r="X22" s="42">
        <f>Предположения!E253*$Z$22</f>
        <v>387907.50959902909</v>
      </c>
      <c r="Y22" s="42">
        <f>Предположения!F253*$Z$22</f>
        <v>387907.50959902909</v>
      </c>
      <c r="Z22" s="42">
        <f>'Tr BS proj'!I50</f>
        <v>1551630.0383961163</v>
      </c>
      <c r="AA22" s="42">
        <f>'Tr BS proj'!J50</f>
        <v>976609.70888534933</v>
      </c>
      <c r="AB22" s="42">
        <f>'Tr BS proj'!K50</f>
        <v>1022986.3439487331</v>
      </c>
      <c r="AC22" s="42">
        <f>'Tr BS proj'!L50</f>
        <v>1071437.4632470272</v>
      </c>
      <c r="AD22" s="42">
        <f>'Tr BS proj'!M50</f>
        <v>1122051.3331395648</v>
      </c>
      <c r="AE22" s="42">
        <f>'Tr BS proj'!N50</f>
        <v>1174919.8298704363</v>
      </c>
    </row>
    <row r="23" spans="1:31" s="44" customFormat="1" ht="15.6">
      <c r="A23" s="47" t="s">
        <v>732</v>
      </c>
      <c r="B23" s="125">
        <f>-Предположения!C252*$F$8</f>
        <v>-2545221.3000000003</v>
      </c>
      <c r="C23" s="125">
        <f>-Предположения!D252*$F$8</f>
        <v>-10180885.200000001</v>
      </c>
      <c r="D23" s="125">
        <f>-Предположения!E252*$F$8</f>
        <v>0</v>
      </c>
      <c r="E23" s="125">
        <f>-Предположения!F252*$F$8</f>
        <v>0</v>
      </c>
      <c r="F23" s="125">
        <f>SUM(B23:E23)</f>
        <v>-12726106.500000002</v>
      </c>
      <c r="G23" s="125">
        <f>-Предположения!C252*$K$8</f>
        <v>-2688694.5529999998</v>
      </c>
      <c r="H23" s="125">
        <f>-Предположения!D252*$K$8</f>
        <v>-10754778.211999999</v>
      </c>
      <c r="I23" s="125">
        <f>-Предположения!E252*$K$8</f>
        <v>0</v>
      </c>
      <c r="J23" s="125">
        <f>-Предположения!F252*$K$8</f>
        <v>0</v>
      </c>
      <c r="K23" s="125">
        <f>SUM(G23:J23)</f>
        <v>-13443472.764999999</v>
      </c>
      <c r="L23" s="125">
        <f>-Предположения!C252*$P$8</f>
        <v>-3098316.3696047501</v>
      </c>
      <c r="M23" s="125">
        <f>-Предположения!D252*$P$8</f>
        <v>-12393265.478419</v>
      </c>
      <c r="N23" s="125">
        <f>-Предположения!E252*$P$8</f>
        <v>0</v>
      </c>
      <c r="O23" s="125">
        <f>-Предположения!F252*$P$8</f>
        <v>0</v>
      </c>
      <c r="P23" s="125">
        <f>SUM(L23:O23)</f>
        <v>-15491581.84802375</v>
      </c>
      <c r="Q23" s="125">
        <f>-Предположения!C252*$U$8</f>
        <v>-3403118.700961052</v>
      </c>
      <c r="R23" s="125">
        <f>-Предположения!D252*$U$8</f>
        <v>-13612474.803844208</v>
      </c>
      <c r="S23" s="125">
        <f>-Предположения!E252*$U$8</f>
        <v>0</v>
      </c>
      <c r="T23" s="125">
        <f>-Предположения!F252*$U$8</f>
        <v>0</v>
      </c>
      <c r="U23" s="125">
        <f>SUM(Q23:T23)</f>
        <v>-17015593.504805259</v>
      </c>
      <c r="V23" s="125">
        <f>-Предположения!C252*$Z$8</f>
        <v>-3733960.4406324038</v>
      </c>
      <c r="W23" s="125">
        <f>-Предположения!D252*$Z$8</f>
        <v>-14935841.762529615</v>
      </c>
      <c r="X23" s="125">
        <f>-Предположения!E252*$Z$8</f>
        <v>0</v>
      </c>
      <c r="Y23" s="125">
        <f>-Предположения!F252*$Z$8</f>
        <v>0</v>
      </c>
      <c r="Z23" s="125">
        <f>SUM(V23:Y23)</f>
        <v>-18669802.203162018</v>
      </c>
      <c r="AA23" s="42"/>
      <c r="AB23" s="42"/>
      <c r="AC23" s="42"/>
      <c r="AD23" s="42"/>
      <c r="AE23" s="42"/>
    </row>
    <row r="24" spans="1:31" s="44" customFormat="1" ht="15.6">
      <c r="A24" s="47" t="s">
        <v>738</v>
      </c>
      <c r="B24" s="125">
        <f>Предположения!C246*$F$8</f>
        <v>0</v>
      </c>
      <c r="C24" s="125">
        <f>Предположения!D246*$F$8</f>
        <v>0</v>
      </c>
      <c r="D24" s="125">
        <f>Предположения!E246*$F$8</f>
        <v>10180885.200000001</v>
      </c>
      <c r="E24" s="125">
        <f>Предположения!F246*$F$8</f>
        <v>2545221.3000000003</v>
      </c>
      <c r="F24" s="125">
        <f>SUM(B24:E24)</f>
        <v>12726106.500000002</v>
      </c>
      <c r="G24" s="125">
        <f>Предположения!C246*$K$8</f>
        <v>0</v>
      </c>
      <c r="H24" s="125">
        <f>Предположения!D246*$K$8</f>
        <v>0</v>
      </c>
      <c r="I24" s="125">
        <f>Предположения!E246*$K$8</f>
        <v>10754778.211999999</v>
      </c>
      <c r="J24" s="125">
        <f>Предположения!F246*$K$8</f>
        <v>2688694.5529999998</v>
      </c>
      <c r="K24" s="125">
        <f>SUM(G24:J24)</f>
        <v>13443472.764999999</v>
      </c>
      <c r="L24" s="125">
        <f>Предположения!C246*$P$8</f>
        <v>0</v>
      </c>
      <c r="M24" s="125">
        <f>Предположения!D246*$P$8</f>
        <v>0</v>
      </c>
      <c r="N24" s="125">
        <f>Предположения!E246*$P$8</f>
        <v>12393265.478419</v>
      </c>
      <c r="O24" s="125">
        <f>Предположения!F246*$P$8</f>
        <v>3098316.3696047501</v>
      </c>
      <c r="P24" s="125">
        <f>SUM(L24:O24)</f>
        <v>15491581.84802375</v>
      </c>
      <c r="Q24" s="125">
        <f>Предположения!C246*$U$8</f>
        <v>0</v>
      </c>
      <c r="R24" s="125">
        <f>Предположения!D246*$U$8</f>
        <v>0</v>
      </c>
      <c r="S24" s="125">
        <f>Предположения!E246*$U$8</f>
        <v>13612474.803844208</v>
      </c>
      <c r="T24" s="125">
        <f>Предположения!F246*$U$8</f>
        <v>3403118.700961052</v>
      </c>
      <c r="U24" s="125">
        <f>SUM(Q24:T24)</f>
        <v>17015593.504805259</v>
      </c>
      <c r="V24" s="125">
        <f>Предположения!C246*$Z$8</f>
        <v>0</v>
      </c>
      <c r="W24" s="125">
        <f>Предположения!D246*$Z$8</f>
        <v>0</v>
      </c>
      <c r="X24" s="125">
        <f>Предположения!E246*$Z$8</f>
        <v>14935841.762529615</v>
      </c>
      <c r="Y24" s="125">
        <f>Предположения!F246*$Z$8</f>
        <v>3733960.4406324038</v>
      </c>
      <c r="Z24" s="125">
        <f>SUM(V24:Y24)</f>
        <v>18669802.203162018</v>
      </c>
      <c r="AA24" s="42"/>
      <c r="AB24" s="42"/>
      <c r="AC24" s="42"/>
      <c r="AD24" s="42"/>
      <c r="AE24" s="42"/>
    </row>
    <row r="25" spans="1:31">
      <c r="A25" s="9" t="s">
        <v>610</v>
      </c>
      <c r="B25" s="54">
        <f>B7+B10-B22+B23+B24</f>
        <v>9217680.7926191986</v>
      </c>
      <c r="C25" s="54">
        <f t="shared" ref="C25:AE25" si="16">C7+C10-C22+C23+C24</f>
        <v>-10893299.632447544</v>
      </c>
      <c r="D25" s="54">
        <f t="shared" si="16"/>
        <v>-1390368.9741956536</v>
      </c>
      <c r="E25" s="54">
        <f t="shared" si="16"/>
        <v>2948097.1737224567</v>
      </c>
      <c r="F25" s="54">
        <f t="shared" si="16"/>
        <v>-117890.6403015554</v>
      </c>
      <c r="G25" s="54">
        <f t="shared" si="16"/>
        <v>10175024.316009613</v>
      </c>
      <c r="H25" s="54">
        <f t="shared" si="16"/>
        <v>-11104415.788128935</v>
      </c>
      <c r="I25" s="54">
        <f t="shared" si="16"/>
        <v>-1132949.1684629098</v>
      </c>
      <c r="J25" s="54">
        <f t="shared" si="16"/>
        <v>3471537.8013012582</v>
      </c>
      <c r="K25" s="54">
        <f t="shared" si="16"/>
        <v>1409197.1607190296</v>
      </c>
      <c r="L25" s="54">
        <f t="shared" si="16"/>
        <v>11452905.147787297</v>
      </c>
      <c r="M25" s="54">
        <f t="shared" si="16"/>
        <v>-13085026.793596737</v>
      </c>
      <c r="N25" s="54">
        <f t="shared" si="16"/>
        <v>-1680763.272565892</v>
      </c>
      <c r="O25" s="54">
        <f t="shared" si="16"/>
        <v>3659751.1851937543</v>
      </c>
      <c r="P25" s="54">
        <f t="shared" si="16"/>
        <v>346866.26681840792</v>
      </c>
      <c r="Q25" s="54">
        <f t="shared" si="16"/>
        <v>12772745.028661871</v>
      </c>
      <c r="R25" s="54">
        <f t="shared" si="16"/>
        <v>-14211714.567363987</v>
      </c>
      <c r="S25" s="54">
        <f t="shared" si="16"/>
        <v>-1769627.4593424443</v>
      </c>
      <c r="T25" s="54">
        <f t="shared" si="16"/>
        <v>4125863.0984730073</v>
      </c>
      <c r="U25" s="54">
        <f t="shared" si="16"/>
        <v>917266.10042844713</v>
      </c>
      <c r="V25" s="54">
        <f t="shared" si="16"/>
        <v>14039338.584947634</v>
      </c>
      <c r="W25" s="54">
        <f t="shared" si="16"/>
        <v>-15604337.963988058</v>
      </c>
      <c r="X25" s="54">
        <f t="shared" si="16"/>
        <v>-2041283.2252781652</v>
      </c>
      <c r="Y25" s="54">
        <f t="shared" si="16"/>
        <v>4458157.5820550639</v>
      </c>
      <c r="Z25" s="54">
        <f t="shared" si="16"/>
        <v>851874.97773647681</v>
      </c>
      <c r="AA25" s="54">
        <f t="shared" si="16"/>
        <v>1351876.4350980744</v>
      </c>
      <c r="AB25" s="54">
        <f t="shared" si="16"/>
        <v>1218793.8911881037</v>
      </c>
      <c r="AC25" s="54">
        <f t="shared" si="16"/>
        <v>1071301.6036427654</v>
      </c>
      <c r="AD25" s="54">
        <f t="shared" si="16"/>
        <v>908615.67123124376</v>
      </c>
      <c r="AE25" s="54">
        <f t="shared" si="16"/>
        <v>729896.67117067799</v>
      </c>
    </row>
    <row r="26" spans="1:31">
      <c r="A26" s="9"/>
      <c r="B26" s="9"/>
      <c r="C26" s="9"/>
      <c r="D26" s="9"/>
      <c r="E26" s="9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</row>
    <row r="27" spans="1:31" ht="21">
      <c r="A27" s="92" t="s">
        <v>611</v>
      </c>
      <c r="B27" s="92"/>
      <c r="C27" s="92"/>
      <c r="D27" s="92"/>
      <c r="E27" s="92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</row>
    <row r="28" spans="1:31" s="47" customFormat="1" ht="14.4">
      <c r="A28" s="8" t="s">
        <v>613</v>
      </c>
      <c r="B28" s="125">
        <f>Предположения!C253*$F$28</f>
        <v>0</v>
      </c>
      <c r="C28" s="125">
        <f>Предположения!D253*$F$28</f>
        <v>0</v>
      </c>
      <c r="D28" s="125">
        <f>Предположения!E253*$F$28</f>
        <v>0</v>
      </c>
      <c r="E28" s="125">
        <f>Предположения!F253*$F$28</f>
        <v>0</v>
      </c>
      <c r="F28" s="125">
        <f>'Tr CF proj'!E26</f>
        <v>0</v>
      </c>
      <c r="G28" s="125">
        <f>Предположения!C253*$K$28</f>
        <v>0</v>
      </c>
      <c r="H28" s="125">
        <f>Предположения!D253*$K$28</f>
        <v>0</v>
      </c>
      <c r="I28" s="125">
        <f>Предположения!E253*$K$28</f>
        <v>0</v>
      </c>
      <c r="J28" s="125">
        <f>Предположения!F253*$K$28</f>
        <v>0</v>
      </c>
      <c r="K28" s="125">
        <f>'Tr CF proj'!F26</f>
        <v>0</v>
      </c>
      <c r="L28" s="125">
        <f>Предположения!C253*$P$28</f>
        <v>0</v>
      </c>
      <c r="M28" s="125">
        <f>Предположения!D253*$P$28</f>
        <v>0</v>
      </c>
      <c r="N28" s="125">
        <f>Предположения!E253*$P$28</f>
        <v>0</v>
      </c>
      <c r="O28" s="125">
        <f>Предположения!F253*$P$28</f>
        <v>0</v>
      </c>
      <c r="P28" s="125">
        <f>'Tr CF proj'!G26</f>
        <v>0</v>
      </c>
      <c r="Q28" s="125">
        <f>Предположения!C253*$U$28</f>
        <v>0</v>
      </c>
      <c r="R28" s="125">
        <f>Предположения!D253*$U$28</f>
        <v>0</v>
      </c>
      <c r="S28" s="125">
        <f>Предположения!E253*$U$28</f>
        <v>0</v>
      </c>
      <c r="T28" s="125">
        <f>Предположения!F253*$U$28</f>
        <v>0</v>
      </c>
      <c r="U28" s="125">
        <f>'Tr CF proj'!H26</f>
        <v>0</v>
      </c>
      <c r="V28" s="125">
        <f>Предположения!C253*$Z$28</f>
        <v>0</v>
      </c>
      <c r="W28" s="125">
        <f>Предположения!D253*$Z$28</f>
        <v>0</v>
      </c>
      <c r="X28" s="125">
        <f>Предположения!E253*$Z$28</f>
        <v>0</v>
      </c>
      <c r="Y28" s="125">
        <f>Предположения!F253*$Z$28</f>
        <v>0</v>
      </c>
      <c r="Z28" s="125">
        <f>'Tr CF proj'!I26</f>
        <v>0</v>
      </c>
      <c r="AA28" s="125">
        <f>'Tr CF proj'!J26</f>
        <v>0</v>
      </c>
      <c r="AB28" s="125">
        <f>'Tr CF proj'!K26</f>
        <v>0</v>
      </c>
      <c r="AC28" s="125">
        <f>'Tr CF proj'!L26</f>
        <v>0</v>
      </c>
      <c r="AD28" s="125">
        <f>'Tr CF proj'!M26</f>
        <v>0</v>
      </c>
      <c r="AE28" s="125">
        <f>'Tr CF proj'!N26</f>
        <v>0</v>
      </c>
    </row>
    <row r="29" spans="1:31" s="47" customFormat="1" ht="14.4">
      <c r="A29" s="8" t="s">
        <v>614</v>
      </c>
      <c r="B29" s="125">
        <f>Предположения!C253*$F$29</f>
        <v>0</v>
      </c>
      <c r="C29" s="125">
        <f>Предположения!D253*$F$29</f>
        <v>0</v>
      </c>
      <c r="D29" s="125">
        <f>Предположения!E253*$F$29</f>
        <v>0</v>
      </c>
      <c r="E29" s="125">
        <f>Предположения!F253*$F$29</f>
        <v>0</v>
      </c>
      <c r="F29" s="125">
        <f>'Tr CF proj'!E27</f>
        <v>0</v>
      </c>
      <c r="G29" s="125">
        <f>Предположения!C253*$K$29</f>
        <v>0</v>
      </c>
      <c r="H29" s="125">
        <f>Предположения!D253*$K$29</f>
        <v>0</v>
      </c>
      <c r="I29" s="125">
        <f>Предположения!E253*$K$29</f>
        <v>0</v>
      </c>
      <c r="J29" s="125">
        <f>Предположения!F253*$K$29</f>
        <v>0</v>
      </c>
      <c r="K29" s="125">
        <f>'Tr CF proj'!F27</f>
        <v>0</v>
      </c>
      <c r="L29" s="125">
        <f>Предположения!C253*$P$29</f>
        <v>0</v>
      </c>
      <c r="M29" s="125">
        <f>Предположения!D253*$P$29</f>
        <v>0</v>
      </c>
      <c r="N29" s="125">
        <f>Предположения!E253*$P$29</f>
        <v>0</v>
      </c>
      <c r="O29" s="125">
        <f>Предположения!F253*$P$29</f>
        <v>0</v>
      </c>
      <c r="P29" s="125">
        <f>'Tr CF proj'!G27</f>
        <v>0</v>
      </c>
      <c r="Q29" s="125">
        <f>Предположения!C253*$U$29</f>
        <v>0</v>
      </c>
      <c r="R29" s="125">
        <f>Предположения!D253*$U$29</f>
        <v>0</v>
      </c>
      <c r="S29" s="125">
        <f>Предположения!E253*$U$29</f>
        <v>0</v>
      </c>
      <c r="T29" s="125">
        <f>Предположения!F253*$U$29</f>
        <v>0</v>
      </c>
      <c r="U29" s="125">
        <f>'Tr CF proj'!H27</f>
        <v>0</v>
      </c>
      <c r="V29" s="125">
        <f>Предположения!C253*$Z$29</f>
        <v>0</v>
      </c>
      <c r="W29" s="125">
        <f>Предположения!D253*$Z$29</f>
        <v>0</v>
      </c>
      <c r="X29" s="125">
        <f>Предположения!E253*$Z$29</f>
        <v>0</v>
      </c>
      <c r="Y29" s="125">
        <f>Предположения!F253*$Z$29</f>
        <v>0</v>
      </c>
      <c r="Z29" s="125">
        <f>'Tr CF proj'!I27</f>
        <v>0</v>
      </c>
      <c r="AA29" s="125">
        <f>'Tr CF proj'!J27</f>
        <v>0</v>
      </c>
      <c r="AB29" s="125">
        <f>'Tr CF proj'!K27</f>
        <v>0</v>
      </c>
      <c r="AC29" s="125">
        <f>'Tr CF proj'!L27</f>
        <v>0</v>
      </c>
      <c r="AD29" s="125">
        <f>'Tr CF proj'!M27</f>
        <v>0</v>
      </c>
      <c r="AE29" s="125">
        <f>'Tr CF proj'!N27</f>
        <v>0</v>
      </c>
    </row>
    <row r="30" spans="1:31" s="47" customFormat="1" ht="14.4">
      <c r="A30" s="8" t="s">
        <v>615</v>
      </c>
      <c r="B30" s="125">
        <f>Предположения!C253*$F$30</f>
        <v>0</v>
      </c>
      <c r="C30" s="125">
        <f>Предположения!D253*$F$30</f>
        <v>0</v>
      </c>
      <c r="D30" s="125">
        <f>Предположения!E253*$F$30</f>
        <v>0</v>
      </c>
      <c r="E30" s="125">
        <f>Предположения!F253*$F$30</f>
        <v>0</v>
      </c>
      <c r="F30" s="125">
        <f>'Tr CF proj'!E28</f>
        <v>0</v>
      </c>
      <c r="G30" s="125">
        <f>Предположения!C253*$K$30</f>
        <v>0</v>
      </c>
      <c r="H30" s="125">
        <f>Предположения!D253*$K$30</f>
        <v>0</v>
      </c>
      <c r="I30" s="125">
        <f>Предположения!E253*$K$30</f>
        <v>0</v>
      </c>
      <c r="J30" s="125">
        <f>Предположения!F253*$K$30</f>
        <v>0</v>
      </c>
      <c r="K30" s="125">
        <f>'Tr CF proj'!F28</f>
        <v>0</v>
      </c>
      <c r="L30" s="125">
        <f>Предположения!C253*$P$30</f>
        <v>0</v>
      </c>
      <c r="M30" s="125">
        <f>Предположения!D253*$P$30</f>
        <v>0</v>
      </c>
      <c r="N30" s="125">
        <f>Предположения!E253*$P$30</f>
        <v>0</v>
      </c>
      <c r="O30" s="125">
        <f>Предположения!F253*$P$30</f>
        <v>0</v>
      </c>
      <c r="P30" s="125">
        <f>'Tr CF proj'!G28</f>
        <v>0</v>
      </c>
      <c r="Q30" s="125">
        <f>Предположения!C253*$U$30</f>
        <v>0</v>
      </c>
      <c r="R30" s="125">
        <f>Предположения!D253*$U$30</f>
        <v>0</v>
      </c>
      <c r="S30" s="125">
        <f>Предположения!E253*$U$30</f>
        <v>0</v>
      </c>
      <c r="T30" s="125">
        <f>Предположения!F253*$U$30</f>
        <v>0</v>
      </c>
      <c r="U30" s="125">
        <f>'Tr CF proj'!H28</f>
        <v>0</v>
      </c>
      <c r="V30" s="125">
        <f>Предположения!C253*$Z$30</f>
        <v>0</v>
      </c>
      <c r="W30" s="125">
        <f>Предположения!D253*$Z$30</f>
        <v>0</v>
      </c>
      <c r="X30" s="125">
        <f>Предположения!E253*$Z$30</f>
        <v>0</v>
      </c>
      <c r="Y30" s="125">
        <f>Предположения!F253*$Z$30</f>
        <v>0</v>
      </c>
      <c r="Z30" s="125">
        <f>'Tr CF proj'!I28</f>
        <v>0</v>
      </c>
      <c r="AA30" s="125">
        <f>'Tr CF proj'!J28</f>
        <v>0</v>
      </c>
      <c r="AB30" s="125">
        <f>'Tr CF proj'!K28</f>
        <v>0</v>
      </c>
      <c r="AC30" s="125">
        <f>'Tr CF proj'!L28</f>
        <v>0</v>
      </c>
      <c r="AD30" s="125">
        <f>'Tr CF proj'!M28</f>
        <v>0</v>
      </c>
      <c r="AE30" s="125">
        <f>'Tr CF proj'!N28</f>
        <v>0</v>
      </c>
    </row>
    <row r="31" spans="1:31" s="47" customFormat="1" ht="14.4">
      <c r="A31" s="8" t="s">
        <v>616</v>
      </c>
      <c r="B31" s="125">
        <f>Предположения!C253*$F$31</f>
        <v>0</v>
      </c>
      <c r="C31" s="125">
        <f>Предположения!D253*$F$31</f>
        <v>0</v>
      </c>
      <c r="D31" s="125">
        <f>Предположения!E253*$F$31</f>
        <v>0</v>
      </c>
      <c r="E31" s="125">
        <f>Предположения!F253*$F$31</f>
        <v>0</v>
      </c>
      <c r="F31" s="125">
        <f>'Tr CF proj'!E29</f>
        <v>0</v>
      </c>
      <c r="G31" s="125">
        <f>Предположения!C253*$K$31</f>
        <v>0</v>
      </c>
      <c r="H31" s="125">
        <f>Предположения!D253*$K$31</f>
        <v>0</v>
      </c>
      <c r="I31" s="125">
        <f>Предположения!E253*$K$31</f>
        <v>0</v>
      </c>
      <c r="J31" s="125">
        <f>Предположения!F253*$K$31</f>
        <v>0</v>
      </c>
      <c r="K31" s="125">
        <f>'Tr CF proj'!F29</f>
        <v>0</v>
      </c>
      <c r="L31" s="125">
        <f>Предположения!C253*$P$31</f>
        <v>0</v>
      </c>
      <c r="M31" s="125">
        <f>Предположения!D253*$P$31</f>
        <v>0</v>
      </c>
      <c r="N31" s="125">
        <f>Предположения!E253*$P$31</f>
        <v>0</v>
      </c>
      <c r="O31" s="125">
        <f>Предположения!F253*$P$31</f>
        <v>0</v>
      </c>
      <c r="P31" s="125">
        <f>'Tr CF proj'!G29</f>
        <v>0</v>
      </c>
      <c r="Q31" s="125">
        <f>Предположения!C253*$U$31</f>
        <v>0</v>
      </c>
      <c r="R31" s="125">
        <f>Предположения!D253*$U$31</f>
        <v>0</v>
      </c>
      <c r="S31" s="125">
        <f>Предположения!E253*$U$31</f>
        <v>0</v>
      </c>
      <c r="T31" s="125">
        <f>Предположения!F253*$U$31</f>
        <v>0</v>
      </c>
      <c r="U31" s="125">
        <f>'Tr CF proj'!H29</f>
        <v>0</v>
      </c>
      <c r="V31" s="125">
        <f>Предположения!C253*$Z$31</f>
        <v>0</v>
      </c>
      <c r="W31" s="125">
        <f>Предположения!D253*$Z$31</f>
        <v>0</v>
      </c>
      <c r="X31" s="125">
        <f>Предположения!E253*$Z$31</f>
        <v>0</v>
      </c>
      <c r="Y31" s="125">
        <f>Предположения!F253*$Z$31</f>
        <v>0</v>
      </c>
      <c r="Z31" s="125">
        <f>'Tr CF proj'!I29</f>
        <v>0</v>
      </c>
      <c r="AA31" s="125">
        <f>'Tr CF proj'!J29</f>
        <v>0</v>
      </c>
      <c r="AB31" s="125">
        <f>'Tr CF proj'!K29</f>
        <v>0</v>
      </c>
      <c r="AC31" s="125">
        <f>'Tr CF proj'!L29</f>
        <v>0</v>
      </c>
      <c r="AD31" s="125">
        <f>'Tr CF proj'!M29</f>
        <v>0</v>
      </c>
      <c r="AE31" s="125">
        <f>'Tr CF proj'!N29</f>
        <v>0</v>
      </c>
    </row>
    <row r="32" spans="1:31" s="47" customFormat="1" ht="14.4">
      <c r="A32" s="8" t="s">
        <v>617</v>
      </c>
      <c r="B32" s="125">
        <f>Предположения!C253*$F$32</f>
        <v>0</v>
      </c>
      <c r="C32" s="125">
        <f>Предположения!D253*$F$32</f>
        <v>0</v>
      </c>
      <c r="D32" s="125">
        <f>Предположения!E253*$F$32</f>
        <v>0</v>
      </c>
      <c r="E32" s="125">
        <f>Предположения!F253*$F$32</f>
        <v>0</v>
      </c>
      <c r="F32" s="125">
        <f>'Tr CF proj'!E30</f>
        <v>0</v>
      </c>
      <c r="G32" s="125">
        <f>Предположения!C253*$K$32</f>
        <v>0</v>
      </c>
      <c r="H32" s="125">
        <f>Предположения!D253*$K$32</f>
        <v>0</v>
      </c>
      <c r="I32" s="125">
        <f>Предположения!E253*$K$32</f>
        <v>0</v>
      </c>
      <c r="J32" s="125">
        <f>Предположения!F253*$K$32</f>
        <v>0</v>
      </c>
      <c r="K32" s="125">
        <f>'Tr CF proj'!F30</f>
        <v>0</v>
      </c>
      <c r="L32" s="125">
        <f>Предположения!C253*$P$32</f>
        <v>0</v>
      </c>
      <c r="M32" s="125">
        <f>Предположения!D253*$P$32</f>
        <v>0</v>
      </c>
      <c r="N32" s="125">
        <f>Предположения!E253*$P$32</f>
        <v>0</v>
      </c>
      <c r="O32" s="125">
        <f>Предположения!F253*$P$32</f>
        <v>0</v>
      </c>
      <c r="P32" s="125">
        <f>'Tr CF proj'!G30</f>
        <v>0</v>
      </c>
      <c r="Q32" s="125">
        <f>Предположения!C253*$U$32</f>
        <v>0</v>
      </c>
      <c r="R32" s="125">
        <f>Предположения!D253*$U$32</f>
        <v>0</v>
      </c>
      <c r="S32" s="125">
        <f>Предположения!E253*$U$32</f>
        <v>0</v>
      </c>
      <c r="T32" s="125">
        <f>Предположения!F253*$U$32</f>
        <v>0</v>
      </c>
      <c r="U32" s="125">
        <f>'Tr CF proj'!H30</f>
        <v>0</v>
      </c>
      <c r="V32" s="125">
        <f>Предположения!C253*$Z$32</f>
        <v>0</v>
      </c>
      <c r="W32" s="125">
        <f>Предположения!D253*$Z$32</f>
        <v>0</v>
      </c>
      <c r="X32" s="125">
        <f>Предположения!E253*$Z$32</f>
        <v>0</v>
      </c>
      <c r="Y32" s="125">
        <f>Предположения!F253*$Z$32</f>
        <v>0</v>
      </c>
      <c r="Z32" s="125">
        <f>'Tr CF proj'!I30</f>
        <v>0</v>
      </c>
      <c r="AA32" s="125">
        <f>'Tr CF proj'!J30</f>
        <v>0</v>
      </c>
      <c r="AB32" s="125">
        <f>'Tr CF proj'!K30</f>
        <v>0</v>
      </c>
      <c r="AC32" s="125">
        <f>'Tr CF proj'!L30</f>
        <v>0</v>
      </c>
      <c r="AD32" s="125">
        <f>'Tr CF proj'!M30</f>
        <v>0</v>
      </c>
      <c r="AE32" s="125">
        <f>'Tr CF proj'!N30</f>
        <v>0</v>
      </c>
    </row>
    <row r="33" spans="1:31" s="47" customFormat="1" ht="14.4">
      <c r="A33" s="8" t="s">
        <v>618</v>
      </c>
      <c r="B33" s="125">
        <f>Предположения!C253*$F$33</f>
        <v>0</v>
      </c>
      <c r="C33" s="125">
        <f>Предположения!D253*$F$33</f>
        <v>0</v>
      </c>
      <c r="D33" s="125">
        <f>Предположения!E253*$F$33</f>
        <v>0</v>
      </c>
      <c r="E33" s="125">
        <f>Предположения!F253*$F$33</f>
        <v>0</v>
      </c>
      <c r="F33" s="125">
        <f>'Tr CF proj'!E31</f>
        <v>0</v>
      </c>
      <c r="G33" s="125">
        <f>Предположения!C253*$K$33</f>
        <v>0</v>
      </c>
      <c r="H33" s="125">
        <f>Предположения!D253*$K$33</f>
        <v>0</v>
      </c>
      <c r="I33" s="125">
        <f>Предположения!E253*$K$33</f>
        <v>0</v>
      </c>
      <c r="J33" s="125">
        <f>Предположения!F253*$K$33</f>
        <v>0</v>
      </c>
      <c r="K33" s="125">
        <f>'Tr CF proj'!F31</f>
        <v>0</v>
      </c>
      <c r="L33" s="125">
        <f>Предположения!C253*$P$33</f>
        <v>0</v>
      </c>
      <c r="M33" s="125">
        <f>Предположения!D253*$P$33</f>
        <v>0</v>
      </c>
      <c r="N33" s="125">
        <f>Предположения!E253*$P$33</f>
        <v>0</v>
      </c>
      <c r="O33" s="125">
        <f>Предположения!F253*$P$33</f>
        <v>0</v>
      </c>
      <c r="P33" s="125">
        <f>'Tr CF proj'!G31</f>
        <v>0</v>
      </c>
      <c r="Q33" s="125">
        <f>Предположения!C253*$U$33</f>
        <v>0</v>
      </c>
      <c r="R33" s="125">
        <f>Предположения!D253*$U$33</f>
        <v>0</v>
      </c>
      <c r="S33" s="125">
        <f>Предположения!E253*$U$33</f>
        <v>0</v>
      </c>
      <c r="T33" s="125">
        <f>Предположения!F253*$U$33</f>
        <v>0</v>
      </c>
      <c r="U33" s="125">
        <f>'Tr CF proj'!H31</f>
        <v>0</v>
      </c>
      <c r="V33" s="125">
        <f>Предположения!C253*$Z$33</f>
        <v>0</v>
      </c>
      <c r="W33" s="125">
        <f>Предположения!D253*$Z$33</f>
        <v>0</v>
      </c>
      <c r="X33" s="125">
        <f>Предположения!E253*$Z$33</f>
        <v>0</v>
      </c>
      <c r="Y33" s="125">
        <f>Предположения!F253*$Z$33</f>
        <v>0</v>
      </c>
      <c r="Z33" s="125">
        <f>'Tr CF proj'!I31</f>
        <v>0</v>
      </c>
      <c r="AA33" s="125">
        <f>'Tr CF proj'!J31</f>
        <v>0</v>
      </c>
      <c r="AB33" s="125">
        <f>'Tr CF proj'!K31</f>
        <v>0</v>
      </c>
      <c r="AC33" s="125">
        <f>'Tr CF proj'!L31</f>
        <v>0</v>
      </c>
      <c r="AD33" s="125">
        <f>'Tr CF proj'!M31</f>
        <v>0</v>
      </c>
      <c r="AE33" s="125">
        <f>'Tr CF proj'!N31</f>
        <v>0</v>
      </c>
    </row>
    <row r="34" spans="1:31" s="47" customFormat="1" ht="14.4">
      <c r="A34" s="8" t="s">
        <v>619</v>
      </c>
      <c r="B34" s="125">
        <f>Предположения!C253*$F$34</f>
        <v>0</v>
      </c>
      <c r="C34" s="125">
        <f>Предположения!D253*$F$34</f>
        <v>0</v>
      </c>
      <c r="D34" s="125">
        <f>Предположения!E253*$F$34</f>
        <v>0</v>
      </c>
      <c r="E34" s="125">
        <f>Предположения!F253*$F$34</f>
        <v>0</v>
      </c>
      <c r="F34" s="125">
        <f>'Tr CF proj'!E32</f>
        <v>0</v>
      </c>
      <c r="G34" s="125">
        <f>Предположения!C253*$K$34</f>
        <v>0</v>
      </c>
      <c r="H34" s="125">
        <f>Предположения!D253*$K$34</f>
        <v>0</v>
      </c>
      <c r="I34" s="125">
        <f>Предположения!E253*$K$34</f>
        <v>0</v>
      </c>
      <c r="J34" s="125">
        <f>Предположения!F253*$K$34</f>
        <v>0</v>
      </c>
      <c r="K34" s="125">
        <f>'Tr CF proj'!F32</f>
        <v>0</v>
      </c>
      <c r="L34" s="125">
        <f>Предположения!C253*$P$34</f>
        <v>0</v>
      </c>
      <c r="M34" s="125">
        <f>Предположения!D253*$P$34</f>
        <v>0</v>
      </c>
      <c r="N34" s="125">
        <f>Предположения!E253*$P$34</f>
        <v>0</v>
      </c>
      <c r="O34" s="125">
        <f>Предположения!F253*$P$34</f>
        <v>0</v>
      </c>
      <c r="P34" s="125">
        <f>'Tr CF proj'!G32</f>
        <v>0</v>
      </c>
      <c r="Q34" s="125">
        <f>Предположения!C253*$U$34</f>
        <v>0</v>
      </c>
      <c r="R34" s="125">
        <f>Предположения!D253*$U$34</f>
        <v>0</v>
      </c>
      <c r="S34" s="125">
        <f>Предположения!E253*$U$34</f>
        <v>0</v>
      </c>
      <c r="T34" s="125">
        <f>Предположения!F253*$U$34</f>
        <v>0</v>
      </c>
      <c r="U34" s="125">
        <f>'Tr CF proj'!H32</f>
        <v>0</v>
      </c>
      <c r="V34" s="125">
        <f>Предположения!C253*$Z$34</f>
        <v>0</v>
      </c>
      <c r="W34" s="125">
        <f>Предположения!D253*$Z$34</f>
        <v>0</v>
      </c>
      <c r="X34" s="125">
        <f>Предположения!E253*$Z$34</f>
        <v>0</v>
      </c>
      <c r="Y34" s="125">
        <f>Предположения!F253*$Z$34</f>
        <v>0</v>
      </c>
      <c r="Z34" s="125">
        <f>'Tr CF proj'!I32</f>
        <v>0</v>
      </c>
      <c r="AA34" s="125">
        <f>'Tr CF proj'!J32</f>
        <v>0</v>
      </c>
      <c r="AB34" s="125">
        <f>'Tr CF proj'!K32</f>
        <v>0</v>
      </c>
      <c r="AC34" s="125">
        <f>'Tr CF proj'!L32</f>
        <v>0</v>
      </c>
      <c r="AD34" s="125">
        <f>'Tr CF proj'!M32</f>
        <v>0</v>
      </c>
      <c r="AE34" s="125">
        <f>'Tr CF proj'!N32</f>
        <v>0</v>
      </c>
    </row>
    <row r="35" spans="1:31" s="47" customFormat="1" ht="14.4">
      <c r="A35" s="8" t="s">
        <v>651</v>
      </c>
      <c r="B35" s="125">
        <f>Предположения!C253*$F$35</f>
        <v>0</v>
      </c>
      <c r="C35" s="125">
        <f>Предположения!D253*$F$35</f>
        <v>0</v>
      </c>
      <c r="D35" s="125">
        <f>Предположения!E253*$F$35</f>
        <v>0</v>
      </c>
      <c r="E35" s="125">
        <f>Предположения!F253*$F$35</f>
        <v>0</v>
      </c>
      <c r="F35" s="125">
        <f>'Tr CF proj'!E33</f>
        <v>0</v>
      </c>
      <c r="G35" s="125">
        <f>Предположения!C253*$K$35</f>
        <v>0</v>
      </c>
      <c r="H35" s="125">
        <f>Предположения!D253*$K$35</f>
        <v>0</v>
      </c>
      <c r="I35" s="125">
        <f>Предположения!E253*$K$35</f>
        <v>0</v>
      </c>
      <c r="J35" s="125">
        <f>Предположения!F253*$K$35</f>
        <v>0</v>
      </c>
      <c r="K35" s="125">
        <f>'Tr CF proj'!F33</f>
        <v>0</v>
      </c>
      <c r="L35" s="125">
        <f>Предположения!C253*$P$35</f>
        <v>0</v>
      </c>
      <c r="M35" s="125">
        <f>Предположения!D253*$P$35</f>
        <v>0</v>
      </c>
      <c r="N35" s="125">
        <f>Предположения!E253*$P$35</f>
        <v>0</v>
      </c>
      <c r="O35" s="125">
        <f>Предположения!F253*$P$35</f>
        <v>0</v>
      </c>
      <c r="P35" s="125">
        <f>'Tr CF proj'!G33</f>
        <v>0</v>
      </c>
      <c r="Q35" s="125">
        <f>Предположения!C253*$U$35</f>
        <v>0</v>
      </c>
      <c r="R35" s="125">
        <f>Предположения!D253*$U$35</f>
        <v>0</v>
      </c>
      <c r="S35" s="125">
        <f>Предположения!E253*$U$35</f>
        <v>0</v>
      </c>
      <c r="T35" s="125">
        <f>Предположения!F253*$U$35</f>
        <v>0</v>
      </c>
      <c r="U35" s="125">
        <f>'Tr CF proj'!H33</f>
        <v>0</v>
      </c>
      <c r="V35" s="125">
        <f>Предположения!C253*$Z$35</f>
        <v>0</v>
      </c>
      <c r="W35" s="125">
        <f>Предположения!D253*$Z$35</f>
        <v>0</v>
      </c>
      <c r="X35" s="125">
        <f>Предположения!E253*$Z$35</f>
        <v>0</v>
      </c>
      <c r="Y35" s="125">
        <f>Предположения!F253*$Z$35</f>
        <v>0</v>
      </c>
      <c r="Z35" s="125">
        <f>'Tr CF proj'!I33</f>
        <v>0</v>
      </c>
      <c r="AA35" s="125">
        <f>'Tr CF proj'!J33</f>
        <v>0</v>
      </c>
      <c r="AB35" s="125">
        <f>'Tr CF proj'!K33</f>
        <v>0</v>
      </c>
      <c r="AC35" s="125">
        <f>'Tr CF proj'!L33</f>
        <v>0</v>
      </c>
      <c r="AD35" s="125">
        <f>'Tr CF proj'!M33</f>
        <v>0</v>
      </c>
      <c r="AE35" s="125">
        <f>'Tr CF proj'!N33</f>
        <v>0</v>
      </c>
    </row>
    <row r="36" spans="1:31" s="36" customFormat="1">
      <c r="A36" s="9" t="s">
        <v>620</v>
      </c>
      <c r="B36" s="54">
        <f t="shared" ref="B36:E36" si="17">SUM(B28:B35)</f>
        <v>0</v>
      </c>
      <c r="C36" s="54">
        <f t="shared" si="17"/>
        <v>0</v>
      </c>
      <c r="D36" s="54">
        <f t="shared" si="17"/>
        <v>0</v>
      </c>
      <c r="E36" s="54">
        <f t="shared" si="17"/>
        <v>0</v>
      </c>
      <c r="F36" s="54">
        <f t="shared" ref="F36:AE36" si="18">SUM(F28:F35)</f>
        <v>0</v>
      </c>
      <c r="G36" s="54">
        <f t="shared" si="18"/>
        <v>0</v>
      </c>
      <c r="H36" s="54">
        <f t="shared" si="18"/>
        <v>0</v>
      </c>
      <c r="I36" s="54">
        <f t="shared" si="18"/>
        <v>0</v>
      </c>
      <c r="J36" s="54">
        <f t="shared" si="18"/>
        <v>0</v>
      </c>
      <c r="K36" s="54">
        <f t="shared" si="18"/>
        <v>0</v>
      </c>
      <c r="L36" s="54">
        <f t="shared" ref="L36:O36" si="19">SUM(L28:L35)</f>
        <v>0</v>
      </c>
      <c r="M36" s="54">
        <f t="shared" si="19"/>
        <v>0</v>
      </c>
      <c r="N36" s="54">
        <f t="shared" si="19"/>
        <v>0</v>
      </c>
      <c r="O36" s="54">
        <f t="shared" si="19"/>
        <v>0</v>
      </c>
      <c r="P36" s="54">
        <f t="shared" si="18"/>
        <v>0</v>
      </c>
      <c r="Q36" s="54">
        <f t="shared" si="18"/>
        <v>0</v>
      </c>
      <c r="R36" s="54">
        <f t="shared" ref="R36:T36" si="20">SUM(R28:R35)</f>
        <v>0</v>
      </c>
      <c r="S36" s="54">
        <f t="shared" si="20"/>
        <v>0</v>
      </c>
      <c r="T36" s="54">
        <f t="shared" si="20"/>
        <v>0</v>
      </c>
      <c r="U36" s="54">
        <f t="shared" si="18"/>
        <v>0</v>
      </c>
      <c r="V36" s="54">
        <f t="shared" ref="V36:Y36" si="21">SUM(V28:V35)</f>
        <v>0</v>
      </c>
      <c r="W36" s="54">
        <f t="shared" si="21"/>
        <v>0</v>
      </c>
      <c r="X36" s="54">
        <f t="shared" si="21"/>
        <v>0</v>
      </c>
      <c r="Y36" s="54">
        <f t="shared" si="21"/>
        <v>0</v>
      </c>
      <c r="Z36" s="54">
        <f t="shared" si="18"/>
        <v>0</v>
      </c>
      <c r="AA36" s="54">
        <f t="shared" si="18"/>
        <v>0</v>
      </c>
      <c r="AB36" s="54">
        <f t="shared" si="18"/>
        <v>0</v>
      </c>
      <c r="AC36" s="54">
        <f t="shared" si="18"/>
        <v>0</v>
      </c>
      <c r="AD36" s="54">
        <f t="shared" si="18"/>
        <v>0</v>
      </c>
      <c r="AE36" s="54">
        <f t="shared" si="18"/>
        <v>0</v>
      </c>
    </row>
    <row r="37" spans="1:31" s="44" customFormat="1">
      <c r="A37" s="9"/>
      <c r="B37" s="9"/>
      <c r="C37" s="9"/>
      <c r="D37" s="9"/>
      <c r="E37" s="9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31" ht="21">
      <c r="A38" s="92" t="s">
        <v>621</v>
      </c>
      <c r="B38" s="92"/>
      <c r="C38" s="92"/>
      <c r="D38" s="92"/>
      <c r="E38" s="92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s="1" customFormat="1" ht="15.6">
      <c r="A39" s="95" t="s">
        <v>404</v>
      </c>
      <c r="B39" s="42">
        <f>Предположения!C253*$F$39</f>
        <v>0</v>
      </c>
      <c r="C39" s="42">
        <f>Предположения!D253*$F$39</f>
        <v>0</v>
      </c>
      <c r="D39" s="42">
        <f>Предположения!E253*$F$39</f>
        <v>0</v>
      </c>
      <c r="E39" s="42">
        <f>Предположения!F253*$F$39</f>
        <v>0</v>
      </c>
      <c r="F39" s="42">
        <f>'Tr P&amp;L proj'!E28</f>
        <v>0</v>
      </c>
      <c r="G39" s="42">
        <f>Предположения!C253*$K$39</f>
        <v>0</v>
      </c>
      <c r="H39" s="42">
        <f>Предположения!D253*$K$39</f>
        <v>0</v>
      </c>
      <c r="I39" s="42">
        <f>Предположения!E253*$K$39</f>
        <v>0</v>
      </c>
      <c r="J39" s="42">
        <f>Предположения!F253*$K$39</f>
        <v>0</v>
      </c>
      <c r="K39" s="42">
        <f>'Tr P&amp;L proj'!F28</f>
        <v>0</v>
      </c>
      <c r="L39" s="42">
        <f>Предположения!C253*$P$39</f>
        <v>0</v>
      </c>
      <c r="M39" s="42">
        <f>Предположения!D253*$P$39</f>
        <v>0</v>
      </c>
      <c r="N39" s="42">
        <f>Предположения!E253*$P$39</f>
        <v>0</v>
      </c>
      <c r="O39" s="42">
        <f>Предположения!F253*$P$39</f>
        <v>0</v>
      </c>
      <c r="P39" s="42">
        <f>'Tr P&amp;L proj'!G28</f>
        <v>0</v>
      </c>
      <c r="Q39" s="42">
        <f>Предположения!C253*$U$39</f>
        <v>0</v>
      </c>
      <c r="R39" s="42">
        <f>Предположения!D253*$U$39</f>
        <v>0</v>
      </c>
      <c r="S39" s="42">
        <f>Предположения!E253*$U$39</f>
        <v>0</v>
      </c>
      <c r="T39" s="42">
        <f>Предположения!F253*$U$39</f>
        <v>0</v>
      </c>
      <c r="U39" s="42">
        <f>'Tr P&amp;L proj'!H28</f>
        <v>0</v>
      </c>
      <c r="V39" s="42">
        <f>Предположения!C253*$Z$39</f>
        <v>0</v>
      </c>
      <c r="W39" s="42">
        <f>Предположения!D253*$Z$39</f>
        <v>0</v>
      </c>
      <c r="X39" s="42">
        <f>Предположения!E253*$Z$39</f>
        <v>0</v>
      </c>
      <c r="Y39" s="42">
        <f>Предположения!F253*$Z$39</f>
        <v>0</v>
      </c>
      <c r="Z39" s="42">
        <f>'Tr P&amp;L proj'!I28</f>
        <v>0</v>
      </c>
      <c r="AA39" s="42">
        <f>'Tr P&amp;L proj'!J28</f>
        <v>0</v>
      </c>
      <c r="AB39" s="42">
        <f>'Tr P&amp;L proj'!K28</f>
        <v>0</v>
      </c>
      <c r="AC39" s="42">
        <f>'Tr P&amp;L proj'!L28</f>
        <v>0</v>
      </c>
      <c r="AD39" s="42">
        <f>'Tr P&amp;L proj'!M28</f>
        <v>0</v>
      </c>
      <c r="AE39" s="42">
        <f>'Tr P&amp;L proj'!N28</f>
        <v>0</v>
      </c>
    </row>
    <row r="40" spans="1:31" s="1" customFormat="1" ht="15.6">
      <c r="A40" s="1" t="s">
        <v>449</v>
      </c>
      <c r="B40" s="42">
        <f t="shared" ref="B40:E40" si="22">B41+B42+B43+B44+B45</f>
        <v>-48361.613037105759</v>
      </c>
      <c r="C40" s="42">
        <f t="shared" si="22"/>
        <v>-24180.806518552879</v>
      </c>
      <c r="D40" s="42">
        <f t="shared" si="22"/>
        <v>-96723.226074211518</v>
      </c>
      <c r="E40" s="42">
        <f t="shared" si="22"/>
        <v>-72542.419555658635</v>
      </c>
      <c r="F40" s="42">
        <f t="shared" ref="F40:AE40" si="23">F41+F42+F43+F44+F45</f>
        <v>-241808.06518552877</v>
      </c>
      <c r="G40" s="42">
        <f t="shared" si="23"/>
        <v>-51037.298733701165</v>
      </c>
      <c r="H40" s="42">
        <f t="shared" si="23"/>
        <v>-25518.649366850583</v>
      </c>
      <c r="I40" s="42">
        <f t="shared" si="23"/>
        <v>-102074.59746740233</v>
      </c>
      <c r="J40" s="42">
        <f t="shared" si="23"/>
        <v>-76555.94810055173</v>
      </c>
      <c r="K40" s="42">
        <f t="shared" si="23"/>
        <v>-255186.49366850581</v>
      </c>
      <c r="L40" s="42">
        <f t="shared" ref="L40:O40" si="24">L41+L42+L43+L44+L45</f>
        <v>-58750.570912182695</v>
      </c>
      <c r="M40" s="42">
        <f t="shared" si="24"/>
        <v>-29375.285456091347</v>
      </c>
      <c r="N40" s="42">
        <f t="shared" si="24"/>
        <v>-117501.14182436539</v>
      </c>
      <c r="O40" s="42">
        <f t="shared" si="24"/>
        <v>-88125.85636827405</v>
      </c>
      <c r="P40" s="42">
        <f t="shared" si="23"/>
        <v>-293752.85456091352</v>
      </c>
      <c r="Q40" s="42">
        <f t="shared" si="23"/>
        <v>-64467.635354722479</v>
      </c>
      <c r="R40" s="42">
        <f t="shared" ref="R40:T40" si="25">R41+R42+R43+R44+R45</f>
        <v>-32233.817677361239</v>
      </c>
      <c r="S40" s="42">
        <f t="shared" si="25"/>
        <v>-128935.27070944496</v>
      </c>
      <c r="T40" s="42">
        <f t="shared" si="25"/>
        <v>-96701.453032083722</v>
      </c>
      <c r="U40" s="42">
        <f t="shared" si="23"/>
        <v>-322338.17677361239</v>
      </c>
      <c r="V40" s="42">
        <f t="shared" ref="V40:Y40" si="26">V41+V42+V43+V44+V45</f>
        <v>-70668.580441299171</v>
      </c>
      <c r="W40" s="42">
        <f t="shared" si="26"/>
        <v>-35334.290220649586</v>
      </c>
      <c r="X40" s="42">
        <f t="shared" si="26"/>
        <v>-141337.16088259834</v>
      </c>
      <c r="Y40" s="42">
        <f t="shared" si="26"/>
        <v>-106002.87066194875</v>
      </c>
      <c r="Z40" s="42">
        <f t="shared" si="23"/>
        <v>-353342.90220649587</v>
      </c>
      <c r="AA40" s="42">
        <f t="shared" si="23"/>
        <v>-372958.86371674109</v>
      </c>
      <c r="AB40" s="42">
        <f t="shared" si="23"/>
        <v>-393513.7808285096</v>
      </c>
      <c r="AC40" s="42">
        <f t="shared" si="23"/>
        <v>-415049.67085546919</v>
      </c>
      <c r="AD40" s="42">
        <f t="shared" si="23"/>
        <v>-437610.34210263239</v>
      </c>
      <c r="AE40" s="42">
        <f t="shared" si="23"/>
        <v>-461241.46776454139</v>
      </c>
    </row>
    <row r="41" spans="1:31" s="47" customFormat="1" ht="14.4">
      <c r="A41" s="47" t="s">
        <v>285</v>
      </c>
      <c r="B41" s="125">
        <f>Предположения!C244*$F$41</f>
        <v>-22912.201800000003</v>
      </c>
      <c r="C41" s="125">
        <f>Предположения!D244*$F$41</f>
        <v>-11456.100900000001</v>
      </c>
      <c r="D41" s="125">
        <f>Предположения!E244*$F$41</f>
        <v>-45824.403600000005</v>
      </c>
      <c r="E41" s="125">
        <f>Предположения!F244*$F$41</f>
        <v>-34368.3027</v>
      </c>
      <c r="F41" s="125">
        <f>'Tr P&amp;L proj'!E24</f>
        <v>-114561.00900000001</v>
      </c>
      <c r="G41" s="125">
        <f>Предположения!C244*$K$41</f>
        <v>-24179.857007999995</v>
      </c>
      <c r="H41" s="125">
        <f>Предположения!D244*$K$41</f>
        <v>-12089.928503999998</v>
      </c>
      <c r="I41" s="125">
        <f>Предположения!E244*$K$41</f>
        <v>-48359.714015999991</v>
      </c>
      <c r="J41" s="125">
        <f>Предположения!F244*$K$41</f>
        <v>-36269.785511999988</v>
      </c>
      <c r="K41" s="125">
        <f>'Tr P&amp;L proj'!F24</f>
        <v>-120899.28503999997</v>
      </c>
      <c r="L41" s="125">
        <f>Предположения!C244*$P$41</f>
        <v>-27834.161271095993</v>
      </c>
      <c r="M41" s="125">
        <f>Предположения!D244*$P$41</f>
        <v>-13917.080635547996</v>
      </c>
      <c r="N41" s="125">
        <f>Предположения!E244*$P$41</f>
        <v>-55668.322542191985</v>
      </c>
      <c r="O41" s="125">
        <f>Предположения!F244*$P$41</f>
        <v>-41751.241906643983</v>
      </c>
      <c r="P41" s="125">
        <f>'Tr P&amp;L proj'!G24</f>
        <v>-139170.80635547996</v>
      </c>
      <c r="Q41" s="125">
        <f>Предположения!C244*$U$41</f>
        <v>-30542.725481114641</v>
      </c>
      <c r="R41" s="125">
        <f>Предположения!D244*$U$41</f>
        <v>-15271.362740557321</v>
      </c>
      <c r="S41" s="125">
        <f>Предположения!E244*$U$41</f>
        <v>-61085.450962229283</v>
      </c>
      <c r="T41" s="125">
        <f>Предположения!F244*$U$41</f>
        <v>-45814.088221671962</v>
      </c>
      <c r="U41" s="125">
        <f>'Tr P&amp;L proj'!H24</f>
        <v>-152713.62740557321</v>
      </c>
      <c r="V41" s="125">
        <f>Предположения!C244*$Z$41</f>
        <v>-33480.537027337348</v>
      </c>
      <c r="W41" s="125">
        <f>Предположения!D244*$Z$41</f>
        <v>-16740.268513668674</v>
      </c>
      <c r="X41" s="125">
        <f>Предположения!E244*$Z$41</f>
        <v>-66961.074054674697</v>
      </c>
      <c r="Y41" s="125">
        <f>Предположения!F244*$Z$41</f>
        <v>-50220.805541006011</v>
      </c>
      <c r="Z41" s="125">
        <f>'Tr P&amp;L proj'!I24</f>
        <v>-167402.68513668672</v>
      </c>
      <c r="AA41" s="125">
        <f>'Tr P&amp;L proj'!J24</f>
        <v>-176696.10693134301</v>
      </c>
      <c r="AB41" s="125">
        <f>'Tr P&amp;L proj'!K24</f>
        <v>-186434.37617570767</v>
      </c>
      <c r="AC41" s="125">
        <f>'Tr P&amp;L proj'!L24</f>
        <v>-196637.39934331202</v>
      </c>
      <c r="AD41" s="125">
        <f>'Tr P&amp;L proj'!M24</f>
        <v>-207325.93142270844</v>
      </c>
      <c r="AE41" s="125">
        <f>'Tr P&amp;L proj'!N24</f>
        <v>-218521.61092809204</v>
      </c>
    </row>
    <row r="42" spans="1:31" s="47" customFormat="1" ht="28.8">
      <c r="A42" s="8" t="s">
        <v>283</v>
      </c>
      <c r="B42" s="125">
        <f>Предположения!C244*$F$42</f>
        <v>0</v>
      </c>
      <c r="C42" s="125">
        <f>Предположения!D244*$F$42</f>
        <v>0</v>
      </c>
      <c r="D42" s="125">
        <f>Предположения!E244*$F$42</f>
        <v>0</v>
      </c>
      <c r="E42" s="125">
        <f>Предположения!F244*$F$42</f>
        <v>0</v>
      </c>
      <c r="F42" s="125">
        <f>'Tr P&amp;L proj'!E25</f>
        <v>0</v>
      </c>
      <c r="G42" s="125">
        <f>Предположения!C244*$K$42</f>
        <v>0</v>
      </c>
      <c r="H42" s="125">
        <f>Предположения!D244*$K$42</f>
        <v>0</v>
      </c>
      <c r="I42" s="125">
        <f>Предположения!E244*$K$42</f>
        <v>0</v>
      </c>
      <c r="J42" s="125">
        <f>Предположения!F244*$K$42</f>
        <v>0</v>
      </c>
      <c r="K42" s="125">
        <f>'Tr P&amp;L proj'!F25</f>
        <v>0</v>
      </c>
      <c r="L42" s="125">
        <f>Предположения!C244*$P$42</f>
        <v>0</v>
      </c>
      <c r="M42" s="125">
        <f>Предположения!D244*$P$42</f>
        <v>0</v>
      </c>
      <c r="N42" s="125">
        <f>Предположения!E244*$P$42</f>
        <v>0</v>
      </c>
      <c r="O42" s="125">
        <f>Предположения!F244*$P$42</f>
        <v>0</v>
      </c>
      <c r="P42" s="125">
        <f>'Tr P&amp;L proj'!G25</f>
        <v>0</v>
      </c>
      <c r="Q42" s="125">
        <f>Предположения!C244*$U$42</f>
        <v>0</v>
      </c>
      <c r="R42" s="125">
        <f>Предположения!D244*$U$42</f>
        <v>0</v>
      </c>
      <c r="S42" s="125">
        <f>Предположения!E244*$U$42</f>
        <v>0</v>
      </c>
      <c r="T42" s="125">
        <f>Предположения!F244*$U$42</f>
        <v>0</v>
      </c>
      <c r="U42" s="125">
        <f>'Tr P&amp;L proj'!H25</f>
        <v>0</v>
      </c>
      <c r="V42" s="125">
        <f>Предположения!C244*$Z$42</f>
        <v>0</v>
      </c>
      <c r="W42" s="125">
        <f>Предположения!D244*$Z$42</f>
        <v>0</v>
      </c>
      <c r="X42" s="125">
        <f>Предположения!E244*$Z$42</f>
        <v>0</v>
      </c>
      <c r="Y42" s="125">
        <f>Предположения!F244*$Z$42</f>
        <v>0</v>
      </c>
      <c r="Z42" s="125">
        <f>'Tr P&amp;L proj'!I25</f>
        <v>0</v>
      </c>
      <c r="AA42" s="125">
        <f>'Tr P&amp;L proj'!J25</f>
        <v>0</v>
      </c>
      <c r="AB42" s="125">
        <f>'Tr P&amp;L proj'!K25</f>
        <v>0</v>
      </c>
      <c r="AC42" s="125">
        <f>'Tr P&amp;L proj'!L25</f>
        <v>0</v>
      </c>
      <c r="AD42" s="125">
        <f>'Tr P&amp;L proj'!M25</f>
        <v>0</v>
      </c>
      <c r="AE42" s="125">
        <f>'Tr P&amp;L proj'!N25</f>
        <v>0</v>
      </c>
    </row>
    <row r="43" spans="1:31" s="47" customFormat="1" ht="14.4">
      <c r="A43" s="47" t="s">
        <v>212</v>
      </c>
      <c r="B43" s="125">
        <f>Предположения!C244*$F$43</f>
        <v>0</v>
      </c>
      <c r="C43" s="125">
        <f>Предположения!D244*$F$43</f>
        <v>0</v>
      </c>
      <c r="D43" s="125">
        <f>Предположения!E244*$F$43</f>
        <v>0</v>
      </c>
      <c r="E43" s="125">
        <f>Предположения!F244*$F$43</f>
        <v>0</v>
      </c>
      <c r="F43" s="125">
        <f>'Tr P&amp;L proj'!E26</f>
        <v>0</v>
      </c>
      <c r="G43" s="125">
        <f>Предположения!C244*$K$43</f>
        <v>0</v>
      </c>
      <c r="H43" s="125">
        <f>Предположения!D244*$K$43</f>
        <v>0</v>
      </c>
      <c r="I43" s="125">
        <f>Предположения!E244*$K$43</f>
        <v>0</v>
      </c>
      <c r="J43" s="125">
        <f>Предположения!F244*$K$43</f>
        <v>0</v>
      </c>
      <c r="K43" s="125">
        <f>'Tr P&amp;L proj'!F26</f>
        <v>0</v>
      </c>
      <c r="L43" s="125">
        <f>Предположения!C244*$P$43</f>
        <v>0</v>
      </c>
      <c r="M43" s="125">
        <f>Предположения!D244*$P$43</f>
        <v>0</v>
      </c>
      <c r="N43" s="125">
        <f>Предположения!E244*$P$43</f>
        <v>0</v>
      </c>
      <c r="O43" s="125">
        <f>Предположения!F244*$P$43</f>
        <v>0</v>
      </c>
      <c r="P43" s="125">
        <f>'Tr P&amp;L proj'!G26</f>
        <v>0</v>
      </c>
      <c r="Q43" s="125">
        <f>Предположения!C244*$U$43</f>
        <v>0</v>
      </c>
      <c r="R43" s="125">
        <f>Предположения!D244*$U$43</f>
        <v>0</v>
      </c>
      <c r="S43" s="125">
        <f>Предположения!E244*$U$43</f>
        <v>0</v>
      </c>
      <c r="T43" s="125">
        <f>Предположения!F244*$U$43</f>
        <v>0</v>
      </c>
      <c r="U43" s="125">
        <f>'Tr P&amp;L proj'!H26</f>
        <v>0</v>
      </c>
      <c r="V43" s="125">
        <f>Предположения!C244*$Z$43</f>
        <v>0</v>
      </c>
      <c r="W43" s="125">
        <f>Предположения!D244*$Z$43</f>
        <v>0</v>
      </c>
      <c r="X43" s="125">
        <f>Предположения!E244*$Z$43</f>
        <v>0</v>
      </c>
      <c r="Y43" s="125">
        <f>Предположения!F244*$Z$43</f>
        <v>0</v>
      </c>
      <c r="Z43" s="125">
        <f>'Tr P&amp;L proj'!I26</f>
        <v>0</v>
      </c>
      <c r="AA43" s="125">
        <f>'Tr P&amp;L proj'!J26</f>
        <v>0</v>
      </c>
      <c r="AB43" s="125">
        <f>'Tr P&amp;L proj'!K26</f>
        <v>0</v>
      </c>
      <c r="AC43" s="125">
        <f>'Tr P&amp;L proj'!L26</f>
        <v>0</v>
      </c>
      <c r="AD43" s="125">
        <f>'Tr P&amp;L proj'!M26</f>
        <v>0</v>
      </c>
      <c r="AE43" s="125">
        <f>'Tr P&amp;L proj'!N26</f>
        <v>0</v>
      </c>
    </row>
    <row r="44" spans="1:31" s="44" customFormat="1" ht="28.8">
      <c r="A44" s="8" t="s">
        <v>284</v>
      </c>
      <c r="B44" s="125">
        <f>Предположения!C244*$F$44</f>
        <v>0</v>
      </c>
      <c r="C44" s="125">
        <f>Предположения!D244*$F$44</f>
        <v>0</v>
      </c>
      <c r="D44" s="125">
        <f>Предположения!E244*$F$44</f>
        <v>0</v>
      </c>
      <c r="E44" s="125">
        <f>Предположения!F244*$F$44</f>
        <v>0</v>
      </c>
      <c r="F44" s="125">
        <f>'Tr P&amp;L proj'!E27</f>
        <v>0</v>
      </c>
      <c r="G44" s="125">
        <f>Предположения!C244*$K$44</f>
        <v>0</v>
      </c>
      <c r="H44" s="125">
        <f>Предположения!D244*$K$44</f>
        <v>0</v>
      </c>
      <c r="I44" s="125">
        <f>Предположения!E244*$K$44</f>
        <v>0</v>
      </c>
      <c r="J44" s="125">
        <f>Предположения!F244*$K$44</f>
        <v>0</v>
      </c>
      <c r="K44" s="125">
        <f>'Tr P&amp;L proj'!F27</f>
        <v>0</v>
      </c>
      <c r="L44" s="125">
        <f>Предположения!C244*$P$44</f>
        <v>0</v>
      </c>
      <c r="M44" s="125">
        <f>Предположения!D244*$P$44</f>
        <v>0</v>
      </c>
      <c r="N44" s="125">
        <f>Предположения!E244*$P$44</f>
        <v>0</v>
      </c>
      <c r="O44" s="125">
        <f>Предположения!F244*$P$44</f>
        <v>0</v>
      </c>
      <c r="P44" s="125">
        <f>'Tr P&amp;L proj'!G27</f>
        <v>0</v>
      </c>
      <c r="Q44" s="125">
        <f>Предположения!C244*$U$44</f>
        <v>0</v>
      </c>
      <c r="R44" s="125">
        <f>Предположения!D244*$U$44</f>
        <v>0</v>
      </c>
      <c r="S44" s="125">
        <f>Предположения!E244*$U$44</f>
        <v>0</v>
      </c>
      <c r="T44" s="125">
        <f>Предположения!F244*$U$44</f>
        <v>0</v>
      </c>
      <c r="U44" s="125">
        <f>'Tr P&amp;L proj'!H27</f>
        <v>0</v>
      </c>
      <c r="V44" s="125">
        <f>Предположения!C244*$Z$44</f>
        <v>0</v>
      </c>
      <c r="W44" s="125">
        <f>Предположения!D244*$Z$44</f>
        <v>0</v>
      </c>
      <c r="X44" s="125">
        <f>Предположения!E244*$Z$44</f>
        <v>0</v>
      </c>
      <c r="Y44" s="125">
        <f>Предположения!F244*$Z$44</f>
        <v>0</v>
      </c>
      <c r="Z44" s="125">
        <f>'Tr P&amp;L proj'!I27</f>
        <v>0</v>
      </c>
      <c r="AA44" s="125">
        <f>'Tr P&amp;L proj'!J27</f>
        <v>0</v>
      </c>
      <c r="AB44" s="125">
        <f>'Tr P&amp;L proj'!K27</f>
        <v>0</v>
      </c>
      <c r="AC44" s="125">
        <f>'Tr P&amp;L proj'!L27</f>
        <v>0</v>
      </c>
      <c r="AD44" s="125">
        <f>'Tr P&amp;L proj'!M27</f>
        <v>0</v>
      </c>
      <c r="AE44" s="125">
        <f>'Tr P&amp;L proj'!N27</f>
        <v>0</v>
      </c>
    </row>
    <row r="45" spans="1:31" s="44" customFormat="1" ht="28.8">
      <c r="A45" s="8" t="s">
        <v>295</v>
      </c>
      <c r="B45" s="125">
        <f>Предположения!C244*$F$45</f>
        <v>-25449.411237105756</v>
      </c>
      <c r="C45" s="125">
        <f>Предположения!D244*$F$45</f>
        <v>-12724.705618552878</v>
      </c>
      <c r="D45" s="125">
        <f>Предположения!E244*$F$45</f>
        <v>-50898.822474211513</v>
      </c>
      <c r="E45" s="125">
        <f>Предположения!F244*$F$45</f>
        <v>-38174.116855658634</v>
      </c>
      <c r="F45" s="43">
        <f>'Tr P&amp;L proj'!E29</f>
        <v>-127247.05618552878</v>
      </c>
      <c r="G45" s="125">
        <f>Предположения!C244*$K$45</f>
        <v>-26857.44172570117</v>
      </c>
      <c r="H45" s="125">
        <f>Предположения!D244*$K$45</f>
        <v>-13428.720862850585</v>
      </c>
      <c r="I45" s="125">
        <f>Предположения!E244*$K$45</f>
        <v>-53714.88345140234</v>
      </c>
      <c r="J45" s="125">
        <f>Предположения!F244*$K$45</f>
        <v>-40286.16258855175</v>
      </c>
      <c r="K45" s="43">
        <f>'Tr P&amp;L proj'!F29</f>
        <v>-134287.20862850585</v>
      </c>
      <c r="L45" s="125">
        <f>Предположения!C244*$P$45</f>
        <v>-30916.409641086706</v>
      </c>
      <c r="M45" s="125">
        <f>Предположения!D244*$P$45</f>
        <v>-15458.204820543353</v>
      </c>
      <c r="N45" s="125">
        <f>Предположения!E244*$P$45</f>
        <v>-61832.819282173412</v>
      </c>
      <c r="O45" s="125">
        <f>Предположения!F244*$P$45</f>
        <v>-46374.614461630059</v>
      </c>
      <c r="P45" s="43">
        <f>'Tr P&amp;L proj'!G29</f>
        <v>-154582.04820543353</v>
      </c>
      <c r="Q45" s="125">
        <f>Предположения!C244*$U$45</f>
        <v>-33924.909873607838</v>
      </c>
      <c r="R45" s="125">
        <f>Предположения!D244*$U$45</f>
        <v>-16962.454936803919</v>
      </c>
      <c r="S45" s="125">
        <f>Предположения!E244*$U$45</f>
        <v>-67849.819747215675</v>
      </c>
      <c r="T45" s="125">
        <f>Предположения!F244*$U$45</f>
        <v>-50887.364810411753</v>
      </c>
      <c r="U45" s="43">
        <f>'Tr P&amp;L proj'!H29</f>
        <v>-169624.54936803918</v>
      </c>
      <c r="V45" s="125">
        <f>Предположения!C244*$Z$45</f>
        <v>-37188.043413961823</v>
      </c>
      <c r="W45" s="125">
        <f>Предположения!D244*$Z$45</f>
        <v>-18594.021706980911</v>
      </c>
      <c r="X45" s="125">
        <f>Предположения!E244*$Z$45</f>
        <v>-74376.086827923646</v>
      </c>
      <c r="Y45" s="125">
        <f>Предположения!F244*$Z$45</f>
        <v>-55782.065120942738</v>
      </c>
      <c r="Z45" s="43">
        <f>'Tr P&amp;L proj'!I29</f>
        <v>-185940.21706980912</v>
      </c>
      <c r="AA45" s="43">
        <f>'Tr P&amp;L proj'!J29</f>
        <v>-196262.75678539809</v>
      </c>
      <c r="AB45" s="43">
        <f>'Tr P&amp;L proj'!K29</f>
        <v>-207079.40465280192</v>
      </c>
      <c r="AC45" s="43">
        <f>'Tr P&amp;L proj'!L29</f>
        <v>-218412.2715121572</v>
      </c>
      <c r="AD45" s="43">
        <f>'Tr P&amp;L proj'!M29</f>
        <v>-230284.41067992395</v>
      </c>
      <c r="AE45" s="43">
        <f>'Tr P&amp;L proj'!N29</f>
        <v>-242719.85683644935</v>
      </c>
    </row>
    <row r="46" spans="1:31" s="44" customFormat="1" ht="15.6">
      <c r="A46" s="95" t="s">
        <v>456</v>
      </c>
      <c r="B46" s="43">
        <f>Предположения!C250*$F$46</f>
        <v>0</v>
      </c>
      <c r="C46" s="43">
        <f>Предположения!D250*$F$46</f>
        <v>0</v>
      </c>
      <c r="D46" s="43">
        <f>Предположения!E250*$F$46</f>
        <v>0</v>
      </c>
      <c r="E46" s="43">
        <f>Предположения!F250*$F$46</f>
        <v>0</v>
      </c>
      <c r="F46" s="43">
        <f>'Tr Fin'!E24</f>
        <v>0</v>
      </c>
      <c r="G46" s="43">
        <f>Предположения!C250*$K$46</f>
        <v>0</v>
      </c>
      <c r="H46" s="43">
        <f>Предположения!D250*$K$46</f>
        <v>0</v>
      </c>
      <c r="I46" s="43">
        <f>Предположения!E250*$K$46</f>
        <v>0</v>
      </c>
      <c r="J46" s="43">
        <f>Предположения!F250*$K$46</f>
        <v>0</v>
      </c>
      <c r="K46" s="43">
        <f>'Tr Fin'!F24</f>
        <v>0</v>
      </c>
      <c r="L46" s="43">
        <f>Предположения!C250*$P$46</f>
        <v>0</v>
      </c>
      <c r="M46" s="43">
        <f>Предположения!D250*$P$46</f>
        <v>0</v>
      </c>
      <c r="N46" s="43">
        <f>Предположения!E250*$P$46</f>
        <v>0</v>
      </c>
      <c r="O46" s="43">
        <f>Предположения!F250*$P$46</f>
        <v>0</v>
      </c>
      <c r="P46" s="43">
        <f>'Tr Fin'!G24</f>
        <v>0</v>
      </c>
      <c r="Q46" s="43">
        <f>Предположения!C250*$U$46</f>
        <v>0</v>
      </c>
      <c r="R46" s="43">
        <f>Предположения!D250*$U$46</f>
        <v>0</v>
      </c>
      <c r="S46" s="43">
        <f>Предположения!E250*$U$46</f>
        <v>0</v>
      </c>
      <c r="T46" s="43">
        <f>Предположения!F250*$U$46</f>
        <v>0</v>
      </c>
      <c r="U46" s="43">
        <f>'Tr Fin'!H24</f>
        <v>0</v>
      </c>
      <c r="V46" s="43">
        <f>Предположения!C250*$Z$46</f>
        <v>0</v>
      </c>
      <c r="W46" s="43">
        <f>Предположения!D250*$Z$46</f>
        <v>0</v>
      </c>
      <c r="X46" s="43">
        <f>Предположения!E250*$Z$46</f>
        <v>0</v>
      </c>
      <c r="Y46" s="43">
        <f>Предположения!F250*$Z$46</f>
        <v>0</v>
      </c>
      <c r="Z46" s="43">
        <f>'Tr Fin'!I24</f>
        <v>0</v>
      </c>
      <c r="AA46" s="43">
        <f>'Tr Fin'!J24</f>
        <v>0</v>
      </c>
      <c r="AB46" s="43">
        <f>'Tr Fin'!K24</f>
        <v>0</v>
      </c>
      <c r="AC46" s="43">
        <f>'Tr Fin'!L24</f>
        <v>0</v>
      </c>
      <c r="AD46" s="43">
        <f>'Tr Fin'!M24</f>
        <v>0</v>
      </c>
      <c r="AE46" s="43">
        <f>'Tr Fin'!N24</f>
        <v>0</v>
      </c>
    </row>
    <row r="47" spans="1:31" s="44" customFormat="1" ht="15.6">
      <c r="A47" s="95" t="s">
        <v>457</v>
      </c>
      <c r="B47" s="43">
        <f>Предположения!C251*$F$47</f>
        <v>0</v>
      </c>
      <c r="C47" s="43">
        <f>Предположения!D251*$F$47</f>
        <v>0</v>
      </c>
      <c r="D47" s="43">
        <f>Предположения!E251*$F$47</f>
        <v>0</v>
      </c>
      <c r="E47" s="43">
        <f>Предположения!F251*$F$47</f>
        <v>0</v>
      </c>
      <c r="F47" s="43">
        <f>'Tr Fin'!E25</f>
        <v>0</v>
      </c>
      <c r="G47" s="43">
        <f>Предположения!C251*$K$47</f>
        <v>0</v>
      </c>
      <c r="H47" s="43">
        <f>Предположения!D251*$K$47</f>
        <v>0</v>
      </c>
      <c r="I47" s="43">
        <f>Предположения!E251*$K$47</f>
        <v>0</v>
      </c>
      <c r="J47" s="43">
        <f>Предположения!F251*$K$47</f>
        <v>0</v>
      </c>
      <c r="K47" s="43">
        <f>'Tr Fin'!F25</f>
        <v>0</v>
      </c>
      <c r="L47" s="43">
        <f>Предположения!C251*$P$47</f>
        <v>0</v>
      </c>
      <c r="M47" s="43">
        <f>Предположения!D251*$P$47</f>
        <v>0</v>
      </c>
      <c r="N47" s="43">
        <f>Предположения!E251*$P$47</f>
        <v>0</v>
      </c>
      <c r="O47" s="43">
        <f>Предположения!F251*$P$47</f>
        <v>0</v>
      </c>
      <c r="P47" s="43">
        <f>'Tr Fin'!G25</f>
        <v>0</v>
      </c>
      <c r="Q47" s="43">
        <f>Предположения!C251*$U$47</f>
        <v>0</v>
      </c>
      <c r="R47" s="43">
        <f>Предположения!D251*$U$47</f>
        <v>0</v>
      </c>
      <c r="S47" s="43">
        <f>Предположения!E251*$U$47</f>
        <v>0</v>
      </c>
      <c r="T47" s="43">
        <f>Предположения!F251*$U$47</f>
        <v>0</v>
      </c>
      <c r="U47" s="43">
        <f>'Tr Fin'!H25</f>
        <v>0</v>
      </c>
      <c r="V47" s="43">
        <f>Предположения!C251*$Z$47</f>
        <v>0</v>
      </c>
      <c r="W47" s="43">
        <f>Предположения!D251*$Z$47</f>
        <v>0</v>
      </c>
      <c r="X47" s="43">
        <f>Предположения!E251*$Z$47</f>
        <v>0</v>
      </c>
      <c r="Y47" s="43">
        <f>Предположения!F251*$Z$47</f>
        <v>0</v>
      </c>
      <c r="Z47" s="43">
        <f>'Tr Fin'!I25</f>
        <v>0</v>
      </c>
      <c r="AA47" s="43">
        <f>'Tr Fin'!J25</f>
        <v>0</v>
      </c>
      <c r="AB47" s="43">
        <f>'Tr Fin'!K25</f>
        <v>0</v>
      </c>
      <c r="AC47" s="43">
        <f>'Tr Fin'!L25</f>
        <v>0</v>
      </c>
      <c r="AD47" s="43">
        <f>'Tr Fin'!M25</f>
        <v>0</v>
      </c>
      <c r="AE47" s="43">
        <f>'Tr Fin'!N25</f>
        <v>0</v>
      </c>
    </row>
    <row r="48" spans="1:31">
      <c r="A48" s="9" t="s">
        <v>627</v>
      </c>
      <c r="B48" s="54">
        <f>B39+B40+B46+B47</f>
        <v>-48361.613037105759</v>
      </c>
      <c r="C48" s="54">
        <f t="shared" ref="C48:AE48" si="27">C39+C40+C46+C47</f>
        <v>-24180.806518552879</v>
      </c>
      <c r="D48" s="54">
        <f t="shared" si="27"/>
        <v>-96723.226074211518</v>
      </c>
      <c r="E48" s="54">
        <f t="shared" si="27"/>
        <v>-72542.419555658635</v>
      </c>
      <c r="F48" s="54">
        <f t="shared" si="27"/>
        <v>-241808.06518552877</v>
      </c>
      <c r="G48" s="54">
        <f t="shared" si="27"/>
        <v>-51037.298733701165</v>
      </c>
      <c r="H48" s="54">
        <f t="shared" si="27"/>
        <v>-25518.649366850583</v>
      </c>
      <c r="I48" s="54">
        <f t="shared" si="27"/>
        <v>-102074.59746740233</v>
      </c>
      <c r="J48" s="54">
        <f t="shared" si="27"/>
        <v>-76555.94810055173</v>
      </c>
      <c r="K48" s="54">
        <f t="shared" si="27"/>
        <v>-255186.49366850581</v>
      </c>
      <c r="L48" s="54">
        <f t="shared" si="27"/>
        <v>-58750.570912182695</v>
      </c>
      <c r="M48" s="54">
        <f t="shared" si="27"/>
        <v>-29375.285456091347</v>
      </c>
      <c r="N48" s="54">
        <f t="shared" si="27"/>
        <v>-117501.14182436539</v>
      </c>
      <c r="O48" s="54">
        <f t="shared" si="27"/>
        <v>-88125.85636827405</v>
      </c>
      <c r="P48" s="54">
        <f t="shared" si="27"/>
        <v>-293752.85456091352</v>
      </c>
      <c r="Q48" s="54">
        <f t="shared" si="27"/>
        <v>-64467.635354722479</v>
      </c>
      <c r="R48" s="54">
        <f t="shared" si="27"/>
        <v>-32233.817677361239</v>
      </c>
      <c r="S48" s="54">
        <f t="shared" si="27"/>
        <v>-128935.27070944496</v>
      </c>
      <c r="T48" s="54">
        <f t="shared" si="27"/>
        <v>-96701.453032083722</v>
      </c>
      <c r="U48" s="54">
        <f t="shared" si="27"/>
        <v>-322338.17677361239</v>
      </c>
      <c r="V48" s="54">
        <f t="shared" si="27"/>
        <v>-70668.580441299171</v>
      </c>
      <c r="W48" s="54">
        <f t="shared" si="27"/>
        <v>-35334.290220649586</v>
      </c>
      <c r="X48" s="54">
        <f t="shared" si="27"/>
        <v>-141337.16088259834</v>
      </c>
      <c r="Y48" s="54">
        <f t="shared" si="27"/>
        <v>-106002.87066194875</v>
      </c>
      <c r="Z48" s="54">
        <f t="shared" si="27"/>
        <v>-353342.90220649587</v>
      </c>
      <c r="AA48" s="54">
        <f t="shared" si="27"/>
        <v>-372958.86371674109</v>
      </c>
      <c r="AB48" s="54">
        <f t="shared" si="27"/>
        <v>-393513.7808285096</v>
      </c>
      <c r="AC48" s="54">
        <f t="shared" si="27"/>
        <v>-415049.67085546919</v>
      </c>
      <c r="AD48" s="54">
        <f t="shared" si="27"/>
        <v>-437610.34210263239</v>
      </c>
      <c r="AE48" s="54">
        <f t="shared" si="27"/>
        <v>-461241.46776454139</v>
      </c>
    </row>
    <row r="49" spans="1:31">
      <c r="A49" s="2"/>
      <c r="B49" s="2"/>
      <c r="C49" s="2"/>
      <c r="D49" s="2"/>
      <c r="E49" s="2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</row>
    <row r="50" spans="1:31" s="148" customFormat="1" ht="21">
      <c r="A50" s="85" t="s">
        <v>628</v>
      </c>
      <c r="B50" s="86">
        <f t="shared" ref="B50:AE50" si="28">B48+B36+B25</f>
        <v>9169319.1795820929</v>
      </c>
      <c r="C50" s="86">
        <f t="shared" si="28"/>
        <v>-10917480.438966097</v>
      </c>
      <c r="D50" s="86">
        <f t="shared" si="28"/>
        <v>-1487092.2002698651</v>
      </c>
      <c r="E50" s="86">
        <f t="shared" si="28"/>
        <v>2875554.7541667982</v>
      </c>
      <c r="F50" s="86">
        <f t="shared" si="28"/>
        <v>-359698.70548708417</v>
      </c>
      <c r="G50" s="86">
        <f t="shared" si="28"/>
        <v>10123987.017275911</v>
      </c>
      <c r="H50" s="86">
        <f t="shared" si="28"/>
        <v>-11129934.437495785</v>
      </c>
      <c r="I50" s="86">
        <f t="shared" si="28"/>
        <v>-1235023.765930312</v>
      </c>
      <c r="J50" s="86">
        <f t="shared" si="28"/>
        <v>3394981.8532007067</v>
      </c>
      <c r="K50" s="86">
        <f t="shared" si="28"/>
        <v>1154010.6670505237</v>
      </c>
      <c r="L50" s="86">
        <f t="shared" si="28"/>
        <v>11394154.576875115</v>
      </c>
      <c r="M50" s="86">
        <f t="shared" si="28"/>
        <v>-13114402.079052828</v>
      </c>
      <c r="N50" s="86">
        <f t="shared" si="28"/>
        <v>-1798264.4143902573</v>
      </c>
      <c r="O50" s="86">
        <f t="shared" si="28"/>
        <v>3571625.3288254803</v>
      </c>
      <c r="P50" s="86">
        <f t="shared" si="28"/>
        <v>53113.412257494405</v>
      </c>
      <c r="Q50" s="86">
        <f t="shared" si="28"/>
        <v>12708277.393307149</v>
      </c>
      <c r="R50" s="86">
        <f t="shared" si="28"/>
        <v>-14243948.385041349</v>
      </c>
      <c r="S50" s="86">
        <f t="shared" si="28"/>
        <v>-1898562.7300518893</v>
      </c>
      <c r="T50" s="86">
        <f t="shared" si="28"/>
        <v>4029161.6454409235</v>
      </c>
      <c r="U50" s="86">
        <f t="shared" si="28"/>
        <v>594927.92365483474</v>
      </c>
      <c r="V50" s="86">
        <f t="shared" si="28"/>
        <v>13968670.004506335</v>
      </c>
      <c r="W50" s="86">
        <f t="shared" si="28"/>
        <v>-15639672.254208708</v>
      </c>
      <c r="X50" s="86">
        <f t="shared" si="28"/>
        <v>-2182620.3861607634</v>
      </c>
      <c r="Y50" s="86">
        <f t="shared" si="28"/>
        <v>4352154.7113931151</v>
      </c>
      <c r="Z50" s="86">
        <f t="shared" si="28"/>
        <v>498532.07552998094</v>
      </c>
      <c r="AA50" s="86">
        <f t="shared" si="28"/>
        <v>978917.57138133328</v>
      </c>
      <c r="AB50" s="86">
        <f t="shared" si="28"/>
        <v>825280.11035959411</v>
      </c>
      <c r="AC50" s="86">
        <f t="shared" si="28"/>
        <v>656251.93278729625</v>
      </c>
      <c r="AD50" s="86">
        <f t="shared" si="28"/>
        <v>471005.32912861137</v>
      </c>
      <c r="AE50" s="86">
        <f t="shared" si="28"/>
        <v>268655.2034061366</v>
      </c>
    </row>
    <row r="51" spans="1:31"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1">
      <c r="A52" s="9" t="s">
        <v>629</v>
      </c>
      <c r="B52" s="299">
        <f>F52</f>
        <v>7788737.0909754727</v>
      </c>
      <c r="C52" s="299">
        <f>B53</f>
        <v>16958056.270557567</v>
      </c>
      <c r="D52" s="299">
        <f t="shared" ref="D52:E52" si="29">C53</f>
        <v>6040575.8315914702</v>
      </c>
      <c r="E52" s="299">
        <f t="shared" si="29"/>
        <v>4553483.6313216053</v>
      </c>
      <c r="F52" s="54">
        <f>'Tr CF proj'!D51</f>
        <v>7788737.0909754727</v>
      </c>
      <c r="G52" s="54">
        <f>F53</f>
        <v>7429038.3854883881</v>
      </c>
      <c r="H52" s="54">
        <f t="shared" ref="H52:J52" si="30">G53</f>
        <v>17553025.402764298</v>
      </c>
      <c r="I52" s="54">
        <f t="shared" si="30"/>
        <v>6423090.9652685132</v>
      </c>
      <c r="J52" s="54">
        <f t="shared" si="30"/>
        <v>5188067.1993382014</v>
      </c>
      <c r="K52" s="54">
        <f>F53</f>
        <v>7429038.3854883881</v>
      </c>
      <c r="L52" s="54">
        <f>K53</f>
        <v>8583049.0525389127</v>
      </c>
      <c r="M52" s="54">
        <f t="shared" ref="M52:O52" si="31">L53</f>
        <v>19977203.629414029</v>
      </c>
      <c r="N52" s="54">
        <f t="shared" si="31"/>
        <v>6862801.5503612012</v>
      </c>
      <c r="O52" s="54">
        <f t="shared" si="31"/>
        <v>5064537.1359709436</v>
      </c>
      <c r="P52" s="54">
        <f>K53</f>
        <v>8583049.0525389127</v>
      </c>
      <c r="Q52" s="54">
        <f>P53</f>
        <v>8636162.4647964071</v>
      </c>
      <c r="R52" s="54">
        <f t="shared" ref="R52:T52" si="32">Q53</f>
        <v>21344439.858103558</v>
      </c>
      <c r="S52" s="54">
        <f t="shared" si="32"/>
        <v>7100491.4730622098</v>
      </c>
      <c r="T52" s="54">
        <f t="shared" si="32"/>
        <v>5201928.7430103207</v>
      </c>
      <c r="U52" s="54">
        <f>P53</f>
        <v>8636162.4647964071</v>
      </c>
      <c r="V52" s="54">
        <f>U53</f>
        <v>9231090.388451241</v>
      </c>
      <c r="W52" s="54">
        <f t="shared" ref="W52:Y52" si="33">V53</f>
        <v>23199760.392957576</v>
      </c>
      <c r="X52" s="54">
        <f t="shared" si="33"/>
        <v>7560088.1387488674</v>
      </c>
      <c r="Y52" s="54">
        <f t="shared" si="33"/>
        <v>5377467.7525881045</v>
      </c>
      <c r="Z52" s="54">
        <f>U53</f>
        <v>9231090.388451241</v>
      </c>
      <c r="AA52" s="54">
        <f t="shared" ref="AA52:AE52" si="34">Z53</f>
        <v>9729622.4639812224</v>
      </c>
      <c r="AB52" s="54">
        <f t="shared" si="34"/>
        <v>10708540.035362557</v>
      </c>
      <c r="AC52" s="54">
        <f t="shared" si="34"/>
        <v>11533820.145722151</v>
      </c>
      <c r="AD52" s="54">
        <f t="shared" si="34"/>
        <v>12190072.078509446</v>
      </c>
      <c r="AE52" s="54">
        <f t="shared" si="34"/>
        <v>12661077.407638058</v>
      </c>
    </row>
    <row r="53" spans="1:31">
      <c r="A53" s="9" t="s">
        <v>630</v>
      </c>
      <c r="B53" s="299">
        <f>B52+B50</f>
        <v>16958056.270557567</v>
      </c>
      <c r="C53" s="299">
        <f>C52+C50</f>
        <v>6040575.8315914702</v>
      </c>
      <c r="D53" s="299">
        <f t="shared" ref="D53:E53" si="35">D52+D50</f>
        <v>4553483.6313216053</v>
      </c>
      <c r="E53" s="299">
        <f t="shared" si="35"/>
        <v>7429038.385488404</v>
      </c>
      <c r="F53" s="54">
        <f t="shared" ref="F53:AE53" si="36">F52+F50</f>
        <v>7429038.3854883881</v>
      </c>
      <c r="G53" s="54">
        <f>G52+G50</f>
        <v>17553025.402764298</v>
      </c>
      <c r="H53" s="54">
        <f t="shared" ref="H53:J53" si="37">H52+H50</f>
        <v>6423090.9652685132</v>
      </c>
      <c r="I53" s="54">
        <f t="shared" si="37"/>
        <v>5188067.1993382014</v>
      </c>
      <c r="J53" s="54">
        <f t="shared" si="37"/>
        <v>8583049.052538909</v>
      </c>
      <c r="K53" s="54">
        <f t="shared" si="36"/>
        <v>8583049.0525389127</v>
      </c>
      <c r="L53" s="54">
        <f>L52+L50</f>
        <v>19977203.629414029</v>
      </c>
      <c r="M53" s="54">
        <f t="shared" ref="M53:O53" si="38">M52+M50</f>
        <v>6862801.5503612012</v>
      </c>
      <c r="N53" s="54">
        <f t="shared" si="38"/>
        <v>5064537.1359709436</v>
      </c>
      <c r="O53" s="54">
        <f t="shared" si="38"/>
        <v>8636162.4647964239</v>
      </c>
      <c r="P53" s="54">
        <f t="shared" si="36"/>
        <v>8636162.4647964071</v>
      </c>
      <c r="Q53" s="54">
        <f>Q52+Q50</f>
        <v>21344439.858103558</v>
      </c>
      <c r="R53" s="54">
        <f t="shared" ref="R53:T53" si="39">R52+R50</f>
        <v>7100491.4730622098</v>
      </c>
      <c r="S53" s="54">
        <f t="shared" si="39"/>
        <v>5201928.7430103207</v>
      </c>
      <c r="T53" s="54">
        <f t="shared" si="39"/>
        <v>9231090.3884512447</v>
      </c>
      <c r="U53" s="54">
        <f t="shared" si="36"/>
        <v>9231090.388451241</v>
      </c>
      <c r="V53" s="54">
        <f>V52+V50</f>
        <v>23199760.392957576</v>
      </c>
      <c r="W53" s="54">
        <f t="shared" ref="W53:Y53" si="40">W52+W50</f>
        <v>7560088.1387488674</v>
      </c>
      <c r="X53" s="54">
        <f t="shared" si="40"/>
        <v>5377467.7525881045</v>
      </c>
      <c r="Y53" s="54">
        <f t="shared" si="40"/>
        <v>9729622.4639812186</v>
      </c>
      <c r="Z53" s="54">
        <f t="shared" si="36"/>
        <v>9729622.4639812224</v>
      </c>
      <c r="AA53" s="54">
        <f t="shared" si="36"/>
        <v>10708540.035362557</v>
      </c>
      <c r="AB53" s="54">
        <f t="shared" si="36"/>
        <v>11533820.145722151</v>
      </c>
      <c r="AC53" s="54">
        <f t="shared" si="36"/>
        <v>12190072.078509446</v>
      </c>
      <c r="AD53" s="54">
        <f t="shared" si="36"/>
        <v>12661077.407638058</v>
      </c>
      <c r="AE53" s="54">
        <f t="shared" si="36"/>
        <v>12929732.611044195</v>
      </c>
    </row>
    <row r="54" spans="1:31"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63" spans="1:31" ht="14.4">
      <c r="A63" s="2"/>
      <c r="B63" s="2"/>
      <c r="C63" s="2"/>
      <c r="D63" s="2"/>
      <c r="E63" s="2"/>
    </row>
    <row r="64" spans="1:31" ht="14.4">
      <c r="A64" s="2"/>
      <c r="B64" s="2"/>
      <c r="C64" s="2"/>
      <c r="D64" s="2"/>
      <c r="E64" s="2"/>
    </row>
    <row r="65" spans="1:5" ht="14.4">
      <c r="A65" s="2"/>
      <c r="B65" s="2"/>
      <c r="C65" s="2"/>
      <c r="D65" s="2"/>
      <c r="E65" s="2"/>
    </row>
    <row r="66" spans="1:5" ht="14.4">
      <c r="A66" s="2"/>
      <c r="B66" s="2"/>
      <c r="C66" s="2"/>
      <c r="D66" s="2"/>
      <c r="E66" s="2"/>
    </row>
    <row r="67" spans="1:5" ht="14.4">
      <c r="A67" s="2"/>
      <c r="B67" s="2"/>
      <c r="C67" s="2"/>
      <c r="D67" s="2"/>
      <c r="E67" s="2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11" sqref="C11"/>
    </sheetView>
  </sheetViews>
  <sheetFormatPr defaultRowHeight="18" outlineLevelCol="1"/>
  <cols>
    <col min="1" max="1" width="79.44140625" style="49" customWidth="1"/>
    <col min="2" max="5" width="18.77734375" style="49" customWidth="1" outlineLevel="1"/>
    <col min="6" max="6" width="18.77734375" style="2" customWidth="1"/>
    <col min="7" max="10" width="18.77734375" style="2" customWidth="1" outlineLevel="1"/>
    <col min="11" max="11" width="18.77734375" style="2" customWidth="1"/>
    <col min="12" max="15" width="18.77734375" style="2" customWidth="1" outlineLevel="1"/>
    <col min="16" max="16" width="18.77734375" style="2" customWidth="1"/>
    <col min="17" max="20" width="18.77734375" style="2" customWidth="1" outlineLevel="1"/>
    <col min="21" max="21" width="18.77734375" style="2" customWidth="1"/>
    <col min="22" max="25" width="18.77734375" style="2" customWidth="1" outlineLevel="1"/>
    <col min="26" max="32" width="18.77734375" style="2" customWidth="1"/>
    <col min="33" max="16384" width="8.88671875" style="2"/>
  </cols>
  <sheetData>
    <row r="1" spans="1:31">
      <c r="A1" s="303" t="s">
        <v>740</v>
      </c>
    </row>
    <row r="2" spans="1:31" ht="21">
      <c r="A2" s="92" t="s">
        <v>631</v>
      </c>
      <c r="B2" s="92"/>
      <c r="C2" s="92"/>
      <c r="D2" s="92"/>
      <c r="E2" s="92"/>
    </row>
    <row r="3" spans="1:31" ht="21">
      <c r="A3" s="92" t="s">
        <v>549</v>
      </c>
      <c r="B3" s="92"/>
      <c r="C3" s="92"/>
      <c r="D3" s="92"/>
      <c r="E3" s="92"/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  <c r="B6" s="92"/>
      <c r="C6" s="92"/>
      <c r="D6" s="92"/>
      <c r="E6" s="92"/>
    </row>
    <row r="7" spans="1:31" s="1" customFormat="1" ht="15.6">
      <c r="A7" s="1" t="s">
        <v>446</v>
      </c>
      <c r="B7" s="42">
        <f>'Pr CF quart'!B7+'Tr CF quart'!B7</f>
        <v>35144192.400000006</v>
      </c>
      <c r="C7" s="42">
        <f>'Pr CF quart'!C7+'Tr CF quart'!C7</f>
        <v>16806331.200000003</v>
      </c>
      <c r="D7" s="42">
        <f>'Pr CF quart'!D7+'Tr CF quart'!D7</f>
        <v>113269036.80000001</v>
      </c>
      <c r="E7" s="42">
        <f>'Pr CF quart'!E7+'Tr CF quart'!E7</f>
        <v>71884866.599999994</v>
      </c>
      <c r="F7" s="42">
        <f>'Pr CF proj'!E7+'Tr CF proj'!E7</f>
        <v>237104427</v>
      </c>
      <c r="G7" s="42">
        <f>'Pr CF quart'!G7+'Tr CF quart'!G7</f>
        <v>37018182.943999998</v>
      </c>
      <c r="H7" s="42">
        <f>'Pr CF quart'!H7+'Tr CF quart'!H7</f>
        <v>17712695.871999998</v>
      </c>
      <c r="I7" s="42">
        <f>'Pr CF quart'!I7+'Tr CF quart'!I7</f>
        <v>117908600.00799999</v>
      </c>
      <c r="J7" s="42">
        <f>'Pr CF quart'!J7+'Tr CF quart'!J7</f>
        <v>75255684.545999989</v>
      </c>
      <c r="K7" s="42">
        <f>'Pr CF proj'!F7+'Tr CF proj'!F7</f>
        <v>247895163.36999997</v>
      </c>
      <c r="L7" s="42">
        <f>'Pr CF quart'!L7+'Tr CF quart'!L7</f>
        <v>43075625.280928001</v>
      </c>
      <c r="M7" s="42">
        <f>'Pr CF quart'!M7+'Tr CF quart'!M7</f>
        <v>20543910.931664001</v>
      </c>
      <c r="N7" s="42">
        <f>'Pr CF quart'!N7+'Tr CF quart'!N7</f>
        <v>141084495.976046</v>
      </c>
      <c r="O7" s="42">
        <f>'Pr CF quart'!O7+'Tr CF quart'!O7</f>
        <v>89279668.071739495</v>
      </c>
      <c r="P7" s="42">
        <f>'Pr CF proj'!G7+'Tr CF proj'!G7</f>
        <v>293983700.26037747</v>
      </c>
      <c r="Q7" s="42">
        <f>'Pr CF quart'!Q7+'Tr CF quart'!Q7</f>
        <v>47442409.526307523</v>
      </c>
      <c r="R7" s="42">
        <f>'Pr CF quart'!R7+'Tr CF quart'!R7</f>
        <v>22601408.837905761</v>
      </c>
      <c r="S7" s="42">
        <f>'Pr CF quart'!S7+'Tr CF quart'!S7</f>
        <v>156506069.77145714</v>
      </c>
      <c r="T7" s="42">
        <f>'Pr CF quart'!T7+'Tr CF quart'!T7</f>
        <v>98886682.14689979</v>
      </c>
      <c r="U7" s="42">
        <f>'Pr CF proj'!H7+'Tr CF proj'!H7</f>
        <v>325436570.28257024</v>
      </c>
      <c r="V7" s="42">
        <f>'Pr CF quart'!V7+'Tr CF quart'!V7</f>
        <v>52165744.654116355</v>
      </c>
      <c r="W7" s="42">
        <f>'Pr CF quart'!W7+'Tr CF quart'!W7</f>
        <v>24828700.890780415</v>
      </c>
      <c r="X7" s="42">
        <f>'Pr CF quart'!X7+'Tr CF quart'!X7</f>
        <v>173381290.76083514</v>
      </c>
      <c r="Y7" s="42">
        <f>'Pr CF quart'!Y7+'Tr CF quart'!Y7</f>
        <v>109306953.14338049</v>
      </c>
      <c r="Z7" s="42">
        <f>'Pr CF proj'!I7+'Tr CF proj'!I7</f>
        <v>359682689.44911242</v>
      </c>
      <c r="AA7" s="42">
        <f>'Pr CF proj'!J7+'Tr CF proj'!J7</f>
        <v>377101521.62024987</v>
      </c>
      <c r="AB7" s="42">
        <f>'Pr CF proj'!K7+'Tr CF proj'!K7</f>
        <v>395299483.20472801</v>
      </c>
      <c r="AC7" s="42">
        <f>'Pr CF proj'!L7+'Tr CF proj'!L7</f>
        <v>414310027.48392844</v>
      </c>
      <c r="AD7" s="42">
        <f>'Pr CF proj'!M7+'Tr CF proj'!M7</f>
        <v>434167997.04207271</v>
      </c>
      <c r="AE7" s="42">
        <f>'Pr CF proj'!N7+'Tr CF proj'!N7</f>
        <v>454909680.11741775</v>
      </c>
    </row>
    <row r="8" spans="1:31" s="1" customFormat="1" ht="15.6">
      <c r="A8" s="1" t="s">
        <v>665</v>
      </c>
      <c r="B8" s="42">
        <f>'Pr CF quart'!B10+'Tr CF quart'!B10</f>
        <v>-35612342.669165075</v>
      </c>
      <c r="C8" s="42">
        <f>'Pr CF quart'!C10+'Tr CF quart'!C10</f>
        <v>-26447755.412187815</v>
      </c>
      <c r="D8" s="42">
        <f>'Pr CF quart'!D10+'Tr CF quart'!D10</f>
        <v>-98775886.325753123</v>
      </c>
      <c r="E8" s="42">
        <f>'Pr CF quart'!E10+'Tr CF quart'!E10</f>
        <v>-63289731.194099613</v>
      </c>
      <c r="F8" s="42">
        <f>'Pr CF proj'!E10+'Tr CF proj'!E10</f>
        <v>-224125715.60120562</v>
      </c>
      <c r="G8" s="42">
        <f>'Pr CF quart'!G10+'Tr CF quart'!G10</f>
        <v>-37583576.69874613</v>
      </c>
      <c r="H8" s="42">
        <f>'Pr CF quart'!H10+'Tr CF quart'!H10</f>
        <v>-27919181.658771612</v>
      </c>
      <c r="I8" s="42">
        <f>'Pr CF quart'!I10+'Tr CF quart'!I10</f>
        <v>-103195339.30736703</v>
      </c>
      <c r="J8" s="42">
        <f>'Pr CF quart'!J10+'Tr CF quart'!J10</f>
        <v>-66569629.675398648</v>
      </c>
      <c r="K8" s="42">
        <f>'Pr CF proj'!F10+'Tr CF proj'!F10</f>
        <v>-235267727.34028339</v>
      </c>
      <c r="L8" s="42">
        <f>'Pr CF quart'!L10+'Tr CF quart'!L10</f>
        <v>-41625455.858644702</v>
      </c>
      <c r="M8" s="42">
        <f>'Pr CF quart'!M10+'Tr CF quart'!M10</f>
        <v>-31149650.337865118</v>
      </c>
      <c r="N8" s="42">
        <f>'Pr CF quart'!N10+'Tr CF quart'!N10</f>
        <v>-121731608.05602071</v>
      </c>
      <c r="O8" s="42">
        <f>'Pr CF quart'!O10+'Tr CF quart'!O10</f>
        <v>-75882658.734660298</v>
      </c>
      <c r="P8" s="42">
        <f>'Pr CF proj'!G10+'Tr CF proj'!G10</f>
        <v>-270389372.98719084</v>
      </c>
      <c r="Q8" s="42">
        <f>'Pr CF quart'!Q10+'Tr CF quart'!Q10</f>
        <v>-44841925.411158055</v>
      </c>
      <c r="R8" s="42">
        <f>'Pr CF quart'!R10+'Tr CF quart'!R10</f>
        <v>-33675815.619819641</v>
      </c>
      <c r="S8" s="42">
        <f>'Pr CF quart'!S10+'Tr CF quart'!S10</f>
        <v>-134327205.66303355</v>
      </c>
      <c r="T8" s="42">
        <f>'Pr CF quart'!T10+'Tr CF quart'!T10</f>
        <v>-82695533.923057422</v>
      </c>
      <c r="U8" s="42">
        <f>'Pr CF proj'!H10+'Tr CF proj'!H10</f>
        <v>-295540480.61706865</v>
      </c>
      <c r="V8" s="42">
        <f>'Pr CF quart'!V10+'Tr CF quart'!V10</f>
        <v>-48247384.261156037</v>
      </c>
      <c r="W8" s="42">
        <f>'Pr CF quart'!W10+'Tr CF quart'!W10</f>
        <v>-36360790.041958719</v>
      </c>
      <c r="X8" s="42">
        <f>'Pr CF quart'!X10+'Tr CF quart'!X10</f>
        <v>-147508617.09601122</v>
      </c>
      <c r="Y8" s="42">
        <f>'Pr CF quart'!Y10+'Tr CF quart'!Y10</f>
        <v>-89985470.798595607</v>
      </c>
      <c r="Z8" s="42">
        <f>'Pr CF proj'!I10+'Tr CF proj'!I10</f>
        <v>-322102262.1977216</v>
      </c>
      <c r="AA8" s="42">
        <f>'Pr CF proj'!J10+'Tr CF proj'!J10</f>
        <v>-337400662.59339976</v>
      </c>
      <c r="AB8" s="42">
        <f>'Pr CF proj'!K10+'Tr CF proj'!K10</f>
        <v>-353177833.2522105</v>
      </c>
      <c r="AC8" s="42">
        <f>'Pr CF proj'!L10+'Tr CF proj'!L10</f>
        <v>-369714522.28711218</v>
      </c>
      <c r="AD8" s="42">
        <f>'Pr CF proj'!M10+'Tr CF proj'!M10</f>
        <v>-386625883.15571678</v>
      </c>
      <c r="AE8" s="42">
        <f>'Pr CF proj'!N10+'Tr CF proj'!N10</f>
        <v>-404167933.63444543</v>
      </c>
    </row>
    <row r="9" spans="1:31" s="47" customFormat="1" ht="15.6">
      <c r="A9" s="1" t="s">
        <v>612</v>
      </c>
      <c r="B9" s="42">
        <f>'Pr CF quart'!B25+'Tr CF quart'!B22</f>
        <v>555953.22560599074</v>
      </c>
      <c r="C9" s="42">
        <f>'Pr CF quart'!C25+'Tr CF quart'!C22</f>
        <v>555953.22560599074</v>
      </c>
      <c r="D9" s="42">
        <f>'Pr CF quart'!D25+'Tr CF quart'!D22</f>
        <v>555953.22560599074</v>
      </c>
      <c r="E9" s="42">
        <f>'Pr CF quart'!E25+'Tr CF quart'!E22</f>
        <v>555953.22560599074</v>
      </c>
      <c r="F9" s="42">
        <f>'Pr CF proj'!E25+'Tr CF proj'!E22</f>
        <v>2223812.902423963</v>
      </c>
      <c r="G9" s="42">
        <f>'Pr CF quart'!G25+'Tr CF quart'!G22</f>
        <v>367459.04602425173</v>
      </c>
      <c r="H9" s="42">
        <f>'Pr CF quart'!H25+'Tr CF quart'!H22</f>
        <v>367459.04602425173</v>
      </c>
      <c r="I9" s="42">
        <f>'Pr CF quart'!I25+'Tr CF quart'!I22</f>
        <v>367459.04602425173</v>
      </c>
      <c r="J9" s="42">
        <f>'Pr CF quart'!J25+'Tr CF quart'!J22</f>
        <v>367459.04602425173</v>
      </c>
      <c r="K9" s="42">
        <f>'Pr CF proj'!F25+'Tr CF proj'!F22</f>
        <v>1469836.1840970069</v>
      </c>
      <c r="L9" s="42">
        <f>'Pr CF quart'!L25+'Tr CF quart'!L22</f>
        <v>1764543.2940876549</v>
      </c>
      <c r="M9" s="42">
        <f>'Pr CF quart'!M25+'Tr CF quart'!M22</f>
        <v>1764543.2940876549</v>
      </c>
      <c r="N9" s="42">
        <f>'Pr CF quart'!N25+'Tr CF quart'!N22</f>
        <v>1764543.2940876549</v>
      </c>
      <c r="O9" s="42">
        <f>'Pr CF quart'!O25+'Tr CF quart'!O22</f>
        <v>1764543.2940876549</v>
      </c>
      <c r="P9" s="42">
        <f>'Pr CF proj'!G25+'Tr CF proj'!G22</f>
        <v>7058173.1763506196</v>
      </c>
      <c r="Q9" s="42">
        <f>'Pr CF quart'!Q25+'Tr CF quart'!Q22</f>
        <v>1120874.1765522752</v>
      </c>
      <c r="R9" s="42">
        <f>'Pr CF quart'!R25+'Tr CF quart'!R22</f>
        <v>1120874.1765522752</v>
      </c>
      <c r="S9" s="42">
        <f>'Pr CF quart'!S25+'Tr CF quart'!S22</f>
        <v>1120874.1765522752</v>
      </c>
      <c r="T9" s="42">
        <f>'Pr CF quart'!T25+'Tr CF quart'!T22</f>
        <v>1120874.1765522752</v>
      </c>
      <c r="U9" s="42">
        <f>'Pr CF proj'!H25+'Tr CF proj'!H22</f>
        <v>4483496.7062091008</v>
      </c>
      <c r="V9" s="42">
        <f>'Pr CF quart'!V25+'Tr CF quart'!V22</f>
        <v>1328402.6743393773</v>
      </c>
      <c r="W9" s="42">
        <f>'Pr CF quart'!W25+'Tr CF quart'!W22</f>
        <v>1328402.6743393773</v>
      </c>
      <c r="X9" s="42">
        <f>'Pr CF quart'!X25+'Tr CF quart'!X22</f>
        <v>1328402.6743393773</v>
      </c>
      <c r="Y9" s="42">
        <f>'Pr CF quart'!Y25+'Tr CF quart'!Y22</f>
        <v>1328402.6743393773</v>
      </c>
      <c r="Z9" s="42">
        <f>'Pr CF proj'!I25+'Tr CF proj'!I22</f>
        <v>5313610.6973575093</v>
      </c>
      <c r="AA9" s="42">
        <f>'Pr CF proj'!J25+'Tr CF proj'!J22</f>
        <v>2364586.0344635248</v>
      </c>
      <c r="AB9" s="42">
        <f>'Pr CF proj'!K25+'Tr CF proj'!K22</f>
        <v>2436863.9711911939</v>
      </c>
      <c r="AC9" s="42">
        <f>'Pr CF proj'!L25+'Tr CF proj'!L22</f>
        <v>2210020.2054872029</v>
      </c>
      <c r="AD9" s="42">
        <f>'Pr CF proj'!M25+'Tr CF proj'!M22</f>
        <v>2525733.0162996463</v>
      </c>
      <c r="AE9" s="42">
        <f>'Pr CF proj'!N25+'Tr CF proj'!N22</f>
        <v>2577795.7192789279</v>
      </c>
    </row>
    <row r="10" spans="1:31">
      <c r="A10" s="9" t="s">
        <v>610</v>
      </c>
      <c r="B10" s="54">
        <f t="shared" ref="B10:E10" si="0">B7+B8-B9</f>
        <v>-1024103.4947710596</v>
      </c>
      <c r="C10" s="54">
        <f t="shared" si="0"/>
        <v>-10197377.437793802</v>
      </c>
      <c r="D10" s="54">
        <f t="shared" si="0"/>
        <v>13937197.248640899</v>
      </c>
      <c r="E10" s="54">
        <f t="shared" si="0"/>
        <v>8039182.1802943908</v>
      </c>
      <c r="F10" s="54">
        <f t="shared" ref="F10:AE10" si="1">F7+F8-F9</f>
        <v>10754898.49637042</v>
      </c>
      <c r="G10" s="54">
        <f t="shared" si="1"/>
        <v>-932852.80077038333</v>
      </c>
      <c r="H10" s="54">
        <f t="shared" si="1"/>
        <v>-10573944.832795866</v>
      </c>
      <c r="I10" s="54">
        <f t="shared" si="1"/>
        <v>14345801.654608708</v>
      </c>
      <c r="J10" s="54">
        <f t="shared" si="1"/>
        <v>8318595.8245770894</v>
      </c>
      <c r="K10" s="54">
        <f t="shared" si="1"/>
        <v>11157599.845619574</v>
      </c>
      <c r="L10" s="54">
        <f t="shared" ref="L10:O10" si="2">L7+L8-L9</f>
        <v>-314373.87180435564</v>
      </c>
      <c r="M10" s="54">
        <f t="shared" si="2"/>
        <v>-12370282.700288773</v>
      </c>
      <c r="N10" s="54">
        <f t="shared" si="2"/>
        <v>17588344.625937633</v>
      </c>
      <c r="O10" s="54">
        <f t="shared" si="2"/>
        <v>11632466.042991541</v>
      </c>
      <c r="P10" s="54">
        <f t="shared" si="1"/>
        <v>16536154.096836004</v>
      </c>
      <c r="Q10" s="54">
        <f t="shared" ref="Q10:T10" si="3">Q7+Q8-Q9</f>
        <v>1479609.938597193</v>
      </c>
      <c r="R10" s="54">
        <f t="shared" si="3"/>
        <v>-12195280.958466155</v>
      </c>
      <c r="S10" s="54">
        <f t="shared" si="3"/>
        <v>21057989.931871317</v>
      </c>
      <c r="T10" s="54">
        <f t="shared" si="3"/>
        <v>15070274.047290092</v>
      </c>
      <c r="U10" s="54">
        <f t="shared" si="1"/>
        <v>25412592.959292494</v>
      </c>
      <c r="V10" s="54">
        <f t="shared" ref="V10:Y10" si="4">V7+V8-V9</f>
        <v>2589957.7186209401</v>
      </c>
      <c r="W10" s="54">
        <f t="shared" si="4"/>
        <v>-12860491.82551768</v>
      </c>
      <c r="X10" s="54">
        <f t="shared" si="4"/>
        <v>24544270.990484543</v>
      </c>
      <c r="Y10" s="54">
        <f t="shared" si="4"/>
        <v>17993079.670445509</v>
      </c>
      <c r="Z10" s="54">
        <f t="shared" si="1"/>
        <v>32266816.554033305</v>
      </c>
      <c r="AA10" s="54">
        <f t="shared" si="1"/>
        <v>37336272.99238658</v>
      </c>
      <c r="AB10" s="54">
        <f t="shared" si="1"/>
        <v>39684785.981326312</v>
      </c>
      <c r="AC10" s="54">
        <f t="shared" si="1"/>
        <v>42385484.991329059</v>
      </c>
      <c r="AD10" s="54">
        <f t="shared" si="1"/>
        <v>45016380.870056286</v>
      </c>
      <c r="AE10" s="54">
        <f t="shared" si="1"/>
        <v>48163950.763693392</v>
      </c>
    </row>
    <row r="11" spans="1:31">
      <c r="A11" s="9"/>
      <c r="B11" s="9"/>
      <c r="C11" s="9"/>
      <c r="D11" s="9"/>
      <c r="E11" s="9"/>
      <c r="F11" s="54"/>
      <c r="G11" s="9"/>
      <c r="H11" s="9"/>
      <c r="I11" s="9"/>
      <c r="J11" s="9"/>
      <c r="K11" s="54"/>
      <c r="L11" s="9"/>
      <c r="M11" s="9"/>
      <c r="N11" s="9"/>
      <c r="O11" s="9"/>
      <c r="P11" s="54"/>
      <c r="Q11" s="9"/>
      <c r="R11" s="9"/>
      <c r="S11" s="9"/>
      <c r="T11" s="9"/>
      <c r="U11" s="54"/>
      <c r="V11" s="9"/>
      <c r="W11" s="9"/>
      <c r="X11" s="9"/>
      <c r="Y11" s="9"/>
      <c r="Z11" s="54"/>
      <c r="AA11" s="54"/>
      <c r="AB11" s="54"/>
      <c r="AC11" s="54"/>
      <c r="AD11" s="54"/>
      <c r="AE11" s="54"/>
    </row>
    <row r="12" spans="1:31" ht="21">
      <c r="A12" s="92" t="s">
        <v>611</v>
      </c>
      <c r="B12" s="92"/>
      <c r="C12" s="92"/>
      <c r="D12" s="92"/>
      <c r="E12" s="92"/>
      <c r="F12" s="54"/>
      <c r="G12" s="92"/>
      <c r="H12" s="92"/>
      <c r="I12" s="92"/>
      <c r="J12" s="92"/>
      <c r="K12" s="54"/>
      <c r="L12" s="92"/>
      <c r="M12" s="92"/>
      <c r="N12" s="92"/>
      <c r="O12" s="92"/>
      <c r="P12" s="54"/>
      <c r="Q12" s="92"/>
      <c r="R12" s="92"/>
      <c r="S12" s="92"/>
      <c r="T12" s="92"/>
      <c r="U12" s="54"/>
      <c r="V12" s="92"/>
      <c r="W12" s="92"/>
      <c r="X12" s="92"/>
      <c r="Y12" s="92"/>
      <c r="Z12" s="54"/>
      <c r="AA12" s="54"/>
      <c r="AB12" s="54"/>
      <c r="AC12" s="54"/>
      <c r="AD12" s="54"/>
      <c r="AE12" s="54"/>
    </row>
    <row r="13" spans="1:31" s="47" customFormat="1" ht="14.4">
      <c r="A13" s="8" t="s">
        <v>613</v>
      </c>
      <c r="B13" s="300">
        <f>'Pr CF quart'!B31+'Tr CF quart'!B28</f>
        <v>0</v>
      </c>
      <c r="C13" s="300">
        <f>'Pr CF quart'!C31+'Tr CF quart'!C28</f>
        <v>0</v>
      </c>
      <c r="D13" s="300">
        <f>'Pr CF quart'!D31+'Tr CF quart'!D28</f>
        <v>0</v>
      </c>
      <c r="E13" s="300">
        <f>'Pr CF quart'!E31+'Tr CF quart'!E28</f>
        <v>0</v>
      </c>
      <c r="F13" s="125">
        <f>'Pr CF proj'!E29+'Tr CF proj'!E26</f>
        <v>0</v>
      </c>
      <c r="G13" s="300">
        <f>'Pr CF quart'!G31+'Tr CF quart'!G28</f>
        <v>0</v>
      </c>
      <c r="H13" s="300">
        <f>'Pr CF quart'!H31+'Tr CF quart'!H28</f>
        <v>0</v>
      </c>
      <c r="I13" s="300">
        <f>'Pr CF quart'!I31+'Tr CF quart'!I28</f>
        <v>0</v>
      </c>
      <c r="J13" s="300">
        <f>'Pr CF quart'!J31+'Tr CF quart'!J28</f>
        <v>0</v>
      </c>
      <c r="K13" s="125">
        <f>'Pr CF proj'!F29+'Tr CF proj'!F26</f>
        <v>0</v>
      </c>
      <c r="L13" s="300">
        <f>'Pr CF quart'!L31+'Tr CF quart'!L28</f>
        <v>0</v>
      </c>
      <c r="M13" s="300">
        <f>'Pr CF quart'!M31+'Tr CF quart'!M28</f>
        <v>0</v>
      </c>
      <c r="N13" s="300">
        <f>'Pr CF quart'!N31+'Tr CF quart'!N28</f>
        <v>0</v>
      </c>
      <c r="O13" s="300">
        <f>'Pr CF quart'!O31+'Tr CF quart'!O28</f>
        <v>0</v>
      </c>
      <c r="P13" s="125">
        <f>'Pr CF proj'!G29+'Tr CF proj'!G26</f>
        <v>0</v>
      </c>
      <c r="Q13" s="300">
        <f>'Pr CF quart'!Q31+'Tr CF quart'!Q28</f>
        <v>0</v>
      </c>
      <c r="R13" s="300">
        <f>'Pr CF quart'!R31+'Tr CF quart'!R28</f>
        <v>0</v>
      </c>
      <c r="S13" s="300">
        <f>'Pr CF quart'!S31+'Tr CF quart'!S28</f>
        <v>0</v>
      </c>
      <c r="T13" s="300">
        <f>'Pr CF quart'!T31+'Tr CF quart'!T28</f>
        <v>0</v>
      </c>
      <c r="U13" s="125">
        <f>'Pr CF proj'!H29+'Tr CF proj'!H26</f>
        <v>0</v>
      </c>
      <c r="V13" s="300">
        <f>'Pr CF quart'!V31+'Tr CF quart'!V28</f>
        <v>0</v>
      </c>
      <c r="W13" s="300">
        <f>'Pr CF quart'!W31+'Tr CF quart'!W28</f>
        <v>0</v>
      </c>
      <c r="X13" s="300">
        <f>'Pr CF quart'!X31+'Tr CF quart'!X28</f>
        <v>0</v>
      </c>
      <c r="Y13" s="300">
        <f>'Pr CF quart'!Y31+'Tr CF quart'!Y28</f>
        <v>0</v>
      </c>
      <c r="Z13" s="125">
        <f>'Pr CF proj'!I29+'Tr CF proj'!I26</f>
        <v>0</v>
      </c>
      <c r="AA13" s="125">
        <f>'Pr CF proj'!J29+'Tr CF proj'!J26</f>
        <v>0</v>
      </c>
      <c r="AB13" s="125">
        <f>'Pr CF proj'!K29+'Tr CF proj'!K26</f>
        <v>0</v>
      </c>
      <c r="AC13" s="125">
        <f>'Pr CF proj'!L29+'Tr CF proj'!L26</f>
        <v>0</v>
      </c>
      <c r="AD13" s="125">
        <f>'Pr CF proj'!M29+'Tr CF proj'!M26</f>
        <v>0</v>
      </c>
      <c r="AE13" s="125">
        <f>'Pr CF proj'!N29+'Tr CF proj'!N26</f>
        <v>0</v>
      </c>
    </row>
    <row r="14" spans="1:31" s="47" customFormat="1" ht="14.4">
      <c r="A14" s="8" t="s">
        <v>614</v>
      </c>
      <c r="B14" s="300">
        <f>'Pr CF quart'!B32+'Tr CF quart'!B29</f>
        <v>-621425.00836852344</v>
      </c>
      <c r="C14" s="300">
        <f>'Pr CF quart'!C32+'Tr CF quart'!C29</f>
        <v>-621425.00836852344</v>
      </c>
      <c r="D14" s="300">
        <f>'Pr CF quart'!D32+'Tr CF quart'!D29</f>
        <v>-621425.00836852344</v>
      </c>
      <c r="E14" s="300">
        <f>'Pr CF quart'!E32+'Tr CF quart'!E29</f>
        <v>-621425.00836852344</v>
      </c>
      <c r="F14" s="125">
        <f>'Pr CF proj'!E30+'Tr CF proj'!E27</f>
        <v>-2485700.0334740938</v>
      </c>
      <c r="G14" s="300">
        <f>'Pr CF quart'!G32+'Tr CF quart'!G29</f>
        <v>-636508.13963960414</v>
      </c>
      <c r="H14" s="300">
        <f>'Pr CF quart'!H32+'Tr CF quart'!H29</f>
        <v>-636508.13963960414</v>
      </c>
      <c r="I14" s="300">
        <f>'Pr CF quart'!I32+'Tr CF quart'!I29</f>
        <v>-636508.13963960414</v>
      </c>
      <c r="J14" s="300">
        <f>'Pr CF quart'!J32+'Tr CF quart'!J29</f>
        <v>-636508.13963960414</v>
      </c>
      <c r="K14" s="125">
        <f>'Pr CF proj'!F30+'Tr CF proj'!F27</f>
        <v>-2546032.5585584166</v>
      </c>
      <c r="L14" s="300">
        <f>'Pr CF quart'!L32+'Tr CF quart'!L29</f>
        <v>-648867.52099182922</v>
      </c>
      <c r="M14" s="300">
        <f>'Pr CF quart'!M32+'Tr CF quart'!M29</f>
        <v>-648867.52099182922</v>
      </c>
      <c r="N14" s="300">
        <f>'Pr CF quart'!N32+'Tr CF quart'!N29</f>
        <v>-648867.52099182922</v>
      </c>
      <c r="O14" s="300">
        <f>'Pr CF quart'!O32+'Tr CF quart'!O29</f>
        <v>-648867.52099182922</v>
      </c>
      <c r="P14" s="125">
        <f>'Pr CF proj'!G30+'Tr CF proj'!G27</f>
        <v>-2595470.0839673169</v>
      </c>
      <c r="Q14" s="300">
        <f>'Pr CF quart'!Q32+'Tr CF quart'!Q29</f>
        <v>-658317.04799656477</v>
      </c>
      <c r="R14" s="300">
        <f>'Pr CF quart'!R32+'Tr CF quart'!R29</f>
        <v>-658317.04799656477</v>
      </c>
      <c r="S14" s="300">
        <f>'Pr CF quart'!S32+'Tr CF quart'!S29</f>
        <v>-658317.04799656477</v>
      </c>
      <c r="T14" s="300">
        <f>'Pr CF quart'!T32+'Tr CF quart'!T29</f>
        <v>-658317.04799656477</v>
      </c>
      <c r="U14" s="125">
        <f>'Pr CF proj'!H30+'Tr CF proj'!H27</f>
        <v>-2633268.1919862591</v>
      </c>
      <c r="V14" s="300">
        <f>'Pr CF quart'!V32+'Tr CF quart'!V29</f>
        <v>-664708.47564701689</v>
      </c>
      <c r="W14" s="300">
        <f>'Pr CF quart'!W32+'Tr CF quart'!W29</f>
        <v>-664708.47564701689</v>
      </c>
      <c r="X14" s="300">
        <f>'Pr CF quart'!X32+'Tr CF quart'!X29</f>
        <v>-664708.47564701689</v>
      </c>
      <c r="Y14" s="300">
        <f>'Pr CF quart'!Y32+'Tr CF quart'!Y29</f>
        <v>-664708.47564701689</v>
      </c>
      <c r="Z14" s="125">
        <f>'Pr CF proj'!I30+'Tr CF proj'!I27</f>
        <v>-2658833.9025880676</v>
      </c>
      <c r="AA14" s="125">
        <f>'Pr CF proj'!J30+'Tr CF proj'!J27</f>
        <v>-2671740.8632802414</v>
      </c>
      <c r="AB14" s="125">
        <f>'Pr CF proj'!K30+'Tr CF proj'!K27</f>
        <v>-2671740.8632802414</v>
      </c>
      <c r="AC14" s="125">
        <f>'Pr CF proj'!L30+'Tr CF proj'!L27</f>
        <v>-2658771.2474390748</v>
      </c>
      <c r="AD14" s="125">
        <f>'Pr CF proj'!M30+'Tr CF proj'!M27</f>
        <v>-2632957.9343571425</v>
      </c>
      <c r="AE14" s="125">
        <f>'Pr CF proj'!N30+'Tr CF proj'!N27</f>
        <v>-2594613.8867694172</v>
      </c>
    </row>
    <row r="15" spans="1:31" s="47" customFormat="1" ht="14.4">
      <c r="A15" s="8" t="s">
        <v>615</v>
      </c>
      <c r="B15" s="300">
        <f>'Pr CF quart'!B33+'Tr CF quart'!B30</f>
        <v>0</v>
      </c>
      <c r="C15" s="300">
        <f>'Pr CF quart'!C33+'Tr CF quart'!C30</f>
        <v>0</v>
      </c>
      <c r="D15" s="300">
        <f>'Pr CF quart'!D33+'Tr CF quart'!D30</f>
        <v>0</v>
      </c>
      <c r="E15" s="300">
        <f>'Pr CF quart'!E33+'Tr CF quart'!E30</f>
        <v>0</v>
      </c>
      <c r="F15" s="125">
        <f>'Pr CF proj'!E31+'Tr CF proj'!E28</f>
        <v>0</v>
      </c>
      <c r="G15" s="300">
        <f>'Pr CF quart'!G33+'Tr CF quart'!G30</f>
        <v>0</v>
      </c>
      <c r="H15" s="300">
        <f>'Pr CF quart'!H33+'Tr CF quart'!H30</f>
        <v>0</v>
      </c>
      <c r="I15" s="300">
        <f>'Pr CF quart'!I33+'Tr CF quart'!I30</f>
        <v>0</v>
      </c>
      <c r="J15" s="300">
        <f>'Pr CF quart'!J33+'Tr CF quart'!J30</f>
        <v>0</v>
      </c>
      <c r="K15" s="125">
        <f>'Pr CF proj'!F31+'Tr CF proj'!F28</f>
        <v>0</v>
      </c>
      <c r="L15" s="300">
        <f>'Pr CF quart'!L33+'Tr CF quart'!L30</f>
        <v>-1500000</v>
      </c>
      <c r="M15" s="300">
        <f>'Pr CF quart'!M33+'Tr CF quart'!M30</f>
        <v>-1500000</v>
      </c>
      <c r="N15" s="300">
        <f>'Pr CF quart'!N33+'Tr CF quart'!N30</f>
        <v>-1500000</v>
      </c>
      <c r="O15" s="300">
        <f>'Pr CF quart'!O33+'Tr CF quart'!O30</f>
        <v>-1500000</v>
      </c>
      <c r="P15" s="125">
        <f>'Pr CF proj'!G31+'Tr CF proj'!G28</f>
        <v>-6000000</v>
      </c>
      <c r="Q15" s="300">
        <f>'Pr CF quart'!Q33+'Tr CF quart'!Q30</f>
        <v>-750000</v>
      </c>
      <c r="R15" s="300">
        <f>'Pr CF quart'!R33+'Tr CF quart'!R30</f>
        <v>-750000</v>
      </c>
      <c r="S15" s="300">
        <f>'Pr CF quart'!S33+'Tr CF quart'!S30</f>
        <v>-750000</v>
      </c>
      <c r="T15" s="300">
        <f>'Pr CF quart'!T33+'Tr CF quart'!T30</f>
        <v>-750000</v>
      </c>
      <c r="U15" s="125">
        <f>'Pr CF proj'!H31+'Tr CF proj'!H28</f>
        <v>-3000000</v>
      </c>
      <c r="V15" s="300">
        <f>'Pr CF quart'!V33+'Tr CF quart'!V30</f>
        <v>-750000</v>
      </c>
      <c r="W15" s="300">
        <f>'Pr CF quart'!W33+'Tr CF quart'!W30</f>
        <v>-750000</v>
      </c>
      <c r="X15" s="300">
        <f>'Pr CF quart'!X33+'Tr CF quart'!X30</f>
        <v>-750000</v>
      </c>
      <c r="Y15" s="300">
        <f>'Pr CF quart'!Y33+'Tr CF quart'!Y30</f>
        <v>-750000</v>
      </c>
      <c r="Z15" s="125">
        <f>'Pr CF proj'!I31+'Tr CF proj'!I28</f>
        <v>-3000000</v>
      </c>
      <c r="AA15" s="125">
        <f>'Pr CF proj'!J31+'Tr CF proj'!J28</f>
        <v>0</v>
      </c>
      <c r="AB15" s="125">
        <f>'Pr CF proj'!K31+'Tr CF proj'!K28</f>
        <v>0</v>
      </c>
      <c r="AC15" s="125">
        <f>'Pr CF proj'!L31+'Tr CF proj'!L28</f>
        <v>0</v>
      </c>
      <c r="AD15" s="125">
        <f>'Pr CF proj'!M31+'Tr CF proj'!M28</f>
        <v>0</v>
      </c>
      <c r="AE15" s="125">
        <f>'Pr CF proj'!N31+'Tr CF proj'!N28</f>
        <v>0</v>
      </c>
    </row>
    <row r="16" spans="1:31" s="47" customFormat="1" ht="14.4">
      <c r="A16" s="8" t="s">
        <v>616</v>
      </c>
      <c r="B16" s="300">
        <f>'Pr CF quart'!B34+'Tr CF quart'!B31</f>
        <v>0</v>
      </c>
      <c r="C16" s="300">
        <f>'Pr CF quart'!C34+'Tr CF quart'!C31</f>
        <v>0</v>
      </c>
      <c r="D16" s="300">
        <f>'Pr CF quart'!D34+'Tr CF quart'!D31</f>
        <v>0</v>
      </c>
      <c r="E16" s="300">
        <f>'Pr CF quart'!E34+'Tr CF quart'!E31</f>
        <v>0</v>
      </c>
      <c r="F16" s="125">
        <f>'Pr CF proj'!E32+'Tr CF proj'!E29</f>
        <v>0</v>
      </c>
      <c r="G16" s="300">
        <f>'Pr CF quart'!G34+'Tr CF quart'!G31</f>
        <v>0</v>
      </c>
      <c r="H16" s="300">
        <f>'Pr CF quart'!H34+'Tr CF quart'!H31</f>
        <v>0</v>
      </c>
      <c r="I16" s="300">
        <f>'Pr CF quart'!I34+'Tr CF quart'!I31</f>
        <v>0</v>
      </c>
      <c r="J16" s="300">
        <f>'Pr CF quart'!J34+'Tr CF quart'!J31</f>
        <v>0</v>
      </c>
      <c r="K16" s="125">
        <f>'Pr CF proj'!F32+'Tr CF proj'!F29</f>
        <v>0</v>
      </c>
      <c r="L16" s="300">
        <f>'Pr CF quart'!L34+'Tr CF quart'!L31</f>
        <v>0</v>
      </c>
      <c r="M16" s="300">
        <f>'Pr CF quart'!M34+'Tr CF quart'!M31</f>
        <v>0</v>
      </c>
      <c r="N16" s="300">
        <f>'Pr CF quart'!N34+'Tr CF quart'!N31</f>
        <v>0</v>
      </c>
      <c r="O16" s="300">
        <f>'Pr CF quart'!O34+'Tr CF quart'!O31</f>
        <v>0</v>
      </c>
      <c r="P16" s="125">
        <f>'Pr CF proj'!G32+'Tr CF proj'!G29</f>
        <v>0</v>
      </c>
      <c r="Q16" s="300">
        <f>'Pr CF quart'!Q34+'Tr CF quart'!Q31</f>
        <v>0</v>
      </c>
      <c r="R16" s="300">
        <f>'Pr CF quart'!R34+'Tr CF quart'!R31</f>
        <v>0</v>
      </c>
      <c r="S16" s="300">
        <f>'Pr CF quart'!S34+'Tr CF quart'!S31</f>
        <v>0</v>
      </c>
      <c r="T16" s="300">
        <f>'Pr CF quart'!T34+'Tr CF quart'!T31</f>
        <v>0</v>
      </c>
      <c r="U16" s="125">
        <f>'Pr CF proj'!H32+'Tr CF proj'!H29</f>
        <v>0</v>
      </c>
      <c r="V16" s="300">
        <f>'Pr CF quart'!V34+'Tr CF quart'!V31</f>
        <v>0</v>
      </c>
      <c r="W16" s="300">
        <f>'Pr CF quart'!W34+'Tr CF quart'!W31</f>
        <v>0</v>
      </c>
      <c r="X16" s="300">
        <f>'Pr CF quart'!X34+'Tr CF quart'!X31</f>
        <v>0</v>
      </c>
      <c r="Y16" s="300">
        <f>'Pr CF quart'!Y34+'Tr CF quart'!Y31</f>
        <v>0</v>
      </c>
      <c r="Z16" s="125">
        <f>'Pr CF proj'!I32+'Tr CF proj'!I29</f>
        <v>0</v>
      </c>
      <c r="AA16" s="125">
        <f>'Pr CF proj'!J32+'Tr CF proj'!J29</f>
        <v>0</v>
      </c>
      <c r="AB16" s="125">
        <f>'Pr CF proj'!K32+'Tr CF proj'!K29</f>
        <v>0</v>
      </c>
      <c r="AC16" s="125">
        <f>'Pr CF proj'!L32+'Tr CF proj'!L29</f>
        <v>0</v>
      </c>
      <c r="AD16" s="125">
        <f>'Pr CF proj'!M32+'Tr CF proj'!M29</f>
        <v>0</v>
      </c>
      <c r="AE16" s="125">
        <f>'Pr CF proj'!N32+'Tr CF proj'!N29</f>
        <v>0</v>
      </c>
    </row>
    <row r="17" spans="1:31" s="47" customFormat="1" ht="14.4">
      <c r="A17" s="8" t="s">
        <v>617</v>
      </c>
      <c r="B17" s="300">
        <f>'Pr CF quart'!B35+'Tr CF quart'!B32</f>
        <v>0</v>
      </c>
      <c r="C17" s="300">
        <f>'Pr CF quart'!C35+'Tr CF quart'!C32</f>
        <v>0</v>
      </c>
      <c r="D17" s="300">
        <f>'Pr CF quart'!D35+'Tr CF quart'!D32</f>
        <v>0</v>
      </c>
      <c r="E17" s="300">
        <f>'Pr CF quart'!E35+'Tr CF quart'!E32</f>
        <v>0</v>
      </c>
      <c r="F17" s="125">
        <f>'Pr CF proj'!E33+'Tr CF proj'!E30</f>
        <v>0</v>
      </c>
      <c r="G17" s="300">
        <f>'Pr CF quart'!G35+'Tr CF quart'!G32</f>
        <v>0</v>
      </c>
      <c r="H17" s="300">
        <f>'Pr CF quart'!H35+'Tr CF quart'!H32</f>
        <v>0</v>
      </c>
      <c r="I17" s="300">
        <f>'Pr CF quart'!I35+'Tr CF quart'!I32</f>
        <v>0</v>
      </c>
      <c r="J17" s="300">
        <f>'Pr CF quart'!J35+'Tr CF quart'!J32</f>
        <v>0</v>
      </c>
      <c r="K17" s="125">
        <f>'Pr CF proj'!F33+'Tr CF proj'!F30</f>
        <v>0</v>
      </c>
      <c r="L17" s="300">
        <f>'Pr CF quart'!L35+'Tr CF quart'!L32</f>
        <v>-5190940.1679346357</v>
      </c>
      <c r="M17" s="300">
        <f>'Pr CF quart'!M35+'Tr CF quart'!M32</f>
        <v>-5190940.1679346357</v>
      </c>
      <c r="N17" s="300">
        <f>'Pr CF quart'!N35+'Tr CF quart'!N32</f>
        <v>-5190940.1679346357</v>
      </c>
      <c r="O17" s="300">
        <f>'Pr CF quart'!O35+'Tr CF quart'!O32</f>
        <v>-5190940.1679346357</v>
      </c>
      <c r="P17" s="125">
        <f>'Pr CF proj'!G33+'Tr CF proj'!G30</f>
        <v>-20763760.671738543</v>
      </c>
      <c r="Q17" s="300">
        <f>'Pr CF quart'!Q35+'Tr CF quart'!Q32</f>
        <v>-2633268.1919862591</v>
      </c>
      <c r="R17" s="300">
        <f>'Pr CF quart'!R35+'Tr CF quart'!R32</f>
        <v>-2633268.1919862591</v>
      </c>
      <c r="S17" s="300">
        <f>'Pr CF quart'!S35+'Tr CF quart'!S32</f>
        <v>-2633268.1919862591</v>
      </c>
      <c r="T17" s="300">
        <f>'Pr CF quart'!T35+'Tr CF quart'!T32</f>
        <v>-2633268.1919862591</v>
      </c>
      <c r="U17" s="125">
        <f>'Pr CF proj'!H33+'Tr CF proj'!H30</f>
        <v>-10533072.767945036</v>
      </c>
      <c r="V17" s="300">
        <f>'Pr CF quart'!V35+'Tr CF quart'!V32</f>
        <v>-2658833.9025880676</v>
      </c>
      <c r="W17" s="300">
        <f>'Pr CF quart'!W35+'Tr CF quart'!W32</f>
        <v>-2658833.9025880676</v>
      </c>
      <c r="X17" s="300">
        <f>'Pr CF quart'!X35+'Tr CF quart'!X32</f>
        <v>-2658833.9025880676</v>
      </c>
      <c r="Y17" s="300">
        <f>'Pr CF quart'!Y35+'Tr CF quart'!Y32</f>
        <v>-2658833.9025880676</v>
      </c>
      <c r="Z17" s="125">
        <f>'Pr CF proj'!I33+'Tr CF proj'!I30</f>
        <v>-10635335.61035227</v>
      </c>
      <c r="AA17" s="125">
        <f>'Pr CF proj'!J33+'Tr CF proj'!J30</f>
        <v>0</v>
      </c>
      <c r="AB17" s="125">
        <f>'Pr CF proj'!K33+'Tr CF proj'!K30</f>
        <v>0</v>
      </c>
      <c r="AC17" s="125">
        <f>'Pr CF proj'!L33+'Tr CF proj'!L30</f>
        <v>0</v>
      </c>
      <c r="AD17" s="125">
        <f>'Pr CF proj'!M33+'Tr CF proj'!M30</f>
        <v>0</v>
      </c>
      <c r="AE17" s="125">
        <f>'Pr CF proj'!N33+'Tr CF proj'!N30</f>
        <v>0</v>
      </c>
    </row>
    <row r="18" spans="1:31" s="47" customFormat="1" ht="14.4">
      <c r="A18" s="8" t="s">
        <v>618</v>
      </c>
      <c r="B18" s="300">
        <f>'Pr CF quart'!B36+'Tr CF quart'!B33</f>
        <v>0</v>
      </c>
      <c r="C18" s="300">
        <f>'Pr CF quart'!C36+'Tr CF quart'!C33</f>
        <v>0</v>
      </c>
      <c r="D18" s="300">
        <f>'Pr CF quart'!D36+'Tr CF quart'!D33</f>
        <v>0</v>
      </c>
      <c r="E18" s="300">
        <f>'Pr CF quart'!E36+'Tr CF quart'!E33</f>
        <v>0</v>
      </c>
      <c r="F18" s="125">
        <f>'Pr CF proj'!E34+'Tr CF proj'!E31</f>
        <v>0</v>
      </c>
      <c r="G18" s="300">
        <f>'Pr CF quart'!G36+'Tr CF quart'!G33</f>
        <v>0</v>
      </c>
      <c r="H18" s="300">
        <f>'Pr CF quart'!H36+'Tr CF quart'!H33</f>
        <v>0</v>
      </c>
      <c r="I18" s="300">
        <f>'Pr CF quart'!I36+'Tr CF quart'!I33</f>
        <v>0</v>
      </c>
      <c r="J18" s="300">
        <f>'Pr CF quart'!J36+'Tr CF quart'!J33</f>
        <v>0</v>
      </c>
      <c r="K18" s="125">
        <f>'Pr CF proj'!F34+'Tr CF proj'!F31</f>
        <v>0</v>
      </c>
      <c r="L18" s="300">
        <f>'Pr CF quart'!L36+'Tr CF quart'!L33</f>
        <v>0</v>
      </c>
      <c r="M18" s="300">
        <f>'Pr CF quart'!M36+'Tr CF quart'!M33</f>
        <v>0</v>
      </c>
      <c r="N18" s="300">
        <f>'Pr CF quart'!N36+'Tr CF quart'!N33</f>
        <v>0</v>
      </c>
      <c r="O18" s="300">
        <f>'Pr CF quart'!O36+'Tr CF quart'!O33</f>
        <v>0</v>
      </c>
      <c r="P18" s="125">
        <f>'Pr CF proj'!G34+'Tr CF proj'!G31</f>
        <v>0</v>
      </c>
      <c r="Q18" s="300">
        <f>'Pr CF quart'!Q36+'Tr CF quart'!Q33</f>
        <v>0</v>
      </c>
      <c r="R18" s="300">
        <f>'Pr CF quart'!R36+'Tr CF quart'!R33</f>
        <v>0</v>
      </c>
      <c r="S18" s="300">
        <f>'Pr CF quart'!S36+'Tr CF quart'!S33</f>
        <v>0</v>
      </c>
      <c r="T18" s="300">
        <f>'Pr CF quart'!T36+'Tr CF quart'!T33</f>
        <v>0</v>
      </c>
      <c r="U18" s="125">
        <f>'Pr CF proj'!H34+'Tr CF proj'!H31</f>
        <v>0</v>
      </c>
      <c r="V18" s="300">
        <f>'Pr CF quart'!V36+'Tr CF quart'!V33</f>
        <v>0</v>
      </c>
      <c r="W18" s="300">
        <f>'Pr CF quart'!W36+'Tr CF quart'!W33</f>
        <v>0</v>
      </c>
      <c r="X18" s="300">
        <f>'Pr CF quart'!X36+'Tr CF quart'!X33</f>
        <v>0</v>
      </c>
      <c r="Y18" s="300">
        <f>'Pr CF quart'!Y36+'Tr CF quart'!Y33</f>
        <v>0</v>
      </c>
      <c r="Z18" s="125">
        <f>'Pr CF proj'!I34+'Tr CF proj'!I31</f>
        <v>0</v>
      </c>
      <c r="AA18" s="125">
        <f>'Pr CF proj'!J34+'Tr CF proj'!J31</f>
        <v>0</v>
      </c>
      <c r="AB18" s="125">
        <f>'Pr CF proj'!K34+'Tr CF proj'!K31</f>
        <v>0</v>
      </c>
      <c r="AC18" s="125">
        <f>'Pr CF proj'!L34+'Tr CF proj'!L31</f>
        <v>0</v>
      </c>
      <c r="AD18" s="125">
        <f>'Pr CF proj'!M34+'Tr CF proj'!M31</f>
        <v>0</v>
      </c>
      <c r="AE18" s="125">
        <f>'Pr CF proj'!N34+'Tr CF proj'!N31</f>
        <v>0</v>
      </c>
    </row>
    <row r="19" spans="1:31" s="47" customFormat="1" ht="14.4">
      <c r="A19" s="8" t="s">
        <v>619</v>
      </c>
      <c r="B19" s="300">
        <f>'Pr CF quart'!B37+'Tr CF quart'!B34</f>
        <v>0</v>
      </c>
      <c r="C19" s="300">
        <f>'Pr CF quart'!C37+'Tr CF quart'!C34</f>
        <v>0</v>
      </c>
      <c r="D19" s="300">
        <f>'Pr CF quart'!D37+'Tr CF quart'!D34</f>
        <v>0</v>
      </c>
      <c r="E19" s="300">
        <f>'Pr CF quart'!E37+'Tr CF quart'!E34</f>
        <v>0</v>
      </c>
      <c r="F19" s="125">
        <f>'Pr CF proj'!E35+'Tr CF proj'!E32</f>
        <v>0</v>
      </c>
      <c r="G19" s="300">
        <f>'Pr CF quart'!G37+'Tr CF quart'!G34</f>
        <v>0</v>
      </c>
      <c r="H19" s="300">
        <f>'Pr CF quart'!H37+'Tr CF quart'!H34</f>
        <v>0</v>
      </c>
      <c r="I19" s="300">
        <f>'Pr CF quart'!I37+'Tr CF quart'!I34</f>
        <v>0</v>
      </c>
      <c r="J19" s="300">
        <f>'Pr CF quart'!J37+'Tr CF quart'!J34</f>
        <v>0</v>
      </c>
      <c r="K19" s="125">
        <f>'Pr CF proj'!F35+'Tr CF proj'!F32</f>
        <v>0</v>
      </c>
      <c r="L19" s="300">
        <f>'Pr CF quart'!L37+'Tr CF quart'!L34</f>
        <v>0</v>
      </c>
      <c r="M19" s="300">
        <f>'Pr CF quart'!M37+'Tr CF quart'!M34</f>
        <v>0</v>
      </c>
      <c r="N19" s="300">
        <f>'Pr CF quart'!N37+'Tr CF quart'!N34</f>
        <v>0</v>
      </c>
      <c r="O19" s="300">
        <f>'Pr CF quart'!O37+'Tr CF quart'!O34</f>
        <v>0</v>
      </c>
      <c r="P19" s="125">
        <f>'Pr CF proj'!G35+'Tr CF proj'!G32</f>
        <v>0</v>
      </c>
      <c r="Q19" s="300">
        <f>'Pr CF quart'!Q37+'Tr CF quart'!Q34</f>
        <v>0</v>
      </c>
      <c r="R19" s="300">
        <f>'Pr CF quart'!R37+'Tr CF quart'!R34</f>
        <v>0</v>
      </c>
      <c r="S19" s="300">
        <f>'Pr CF quart'!S37+'Tr CF quart'!S34</f>
        <v>0</v>
      </c>
      <c r="T19" s="300">
        <f>'Pr CF quart'!T37+'Tr CF quart'!T34</f>
        <v>0</v>
      </c>
      <c r="U19" s="125">
        <f>'Pr CF proj'!H35+'Tr CF proj'!H32</f>
        <v>0</v>
      </c>
      <c r="V19" s="300">
        <f>'Pr CF quart'!V37+'Tr CF quart'!V34</f>
        <v>0</v>
      </c>
      <c r="W19" s="300">
        <f>'Pr CF quart'!W37+'Tr CF quart'!W34</f>
        <v>0</v>
      </c>
      <c r="X19" s="300">
        <f>'Pr CF quart'!X37+'Tr CF quart'!X34</f>
        <v>0</v>
      </c>
      <c r="Y19" s="300">
        <f>'Pr CF quart'!Y37+'Tr CF quart'!Y34</f>
        <v>0</v>
      </c>
      <c r="Z19" s="125">
        <f>'Pr CF proj'!I35+'Tr CF proj'!I32</f>
        <v>0</v>
      </c>
      <c r="AA19" s="125">
        <f>'Pr CF proj'!J35+'Tr CF proj'!J32</f>
        <v>0</v>
      </c>
      <c r="AB19" s="125">
        <f>'Pr CF proj'!K35+'Tr CF proj'!K32</f>
        <v>0</v>
      </c>
      <c r="AC19" s="125">
        <f>'Pr CF proj'!L35+'Tr CF proj'!L32</f>
        <v>0</v>
      </c>
      <c r="AD19" s="125">
        <f>'Pr CF proj'!M35+'Tr CF proj'!M32</f>
        <v>0</v>
      </c>
      <c r="AE19" s="125">
        <f>'Pr CF proj'!N35+'Tr CF proj'!N32</f>
        <v>0</v>
      </c>
    </row>
    <row r="20" spans="1:31" s="47" customFormat="1" ht="14.4">
      <c r="A20" s="8" t="s">
        <v>651</v>
      </c>
      <c r="B20" s="300">
        <f>'Pr CF quart'!B38+'Tr CF quart'!B35</f>
        <v>0</v>
      </c>
      <c r="C20" s="300">
        <f>'Pr CF quart'!C38+'Tr CF quart'!C35</f>
        <v>0</v>
      </c>
      <c r="D20" s="300">
        <f>'Pr CF quart'!D38+'Tr CF quart'!D35</f>
        <v>0</v>
      </c>
      <c r="E20" s="300">
        <f>'Pr CF quart'!E38+'Tr CF quart'!E35</f>
        <v>0</v>
      </c>
      <c r="F20" s="125">
        <f>'Pr CF proj'!E36+'Tr CF proj'!E33</f>
        <v>0</v>
      </c>
      <c r="G20" s="300">
        <f>'Pr CF quart'!G38+'Tr CF quart'!G35</f>
        <v>0</v>
      </c>
      <c r="H20" s="300">
        <f>'Pr CF quart'!H38+'Tr CF quart'!H35</f>
        <v>0</v>
      </c>
      <c r="I20" s="300">
        <f>'Pr CF quart'!I38+'Tr CF quart'!I35</f>
        <v>0</v>
      </c>
      <c r="J20" s="300">
        <f>'Pr CF quart'!J38+'Tr CF quart'!J35</f>
        <v>0</v>
      </c>
      <c r="K20" s="125">
        <f>'Pr CF proj'!F36+'Tr CF proj'!F33</f>
        <v>0</v>
      </c>
      <c r="L20" s="300">
        <f>'Pr CF quart'!L38+'Tr CF quart'!L35</f>
        <v>0</v>
      </c>
      <c r="M20" s="300">
        <f>'Pr CF quart'!M38+'Tr CF quart'!M35</f>
        <v>0</v>
      </c>
      <c r="N20" s="300">
        <f>'Pr CF quart'!N38+'Tr CF quart'!N35</f>
        <v>0</v>
      </c>
      <c r="O20" s="300">
        <f>'Pr CF quart'!O38+'Tr CF quart'!O35</f>
        <v>0</v>
      </c>
      <c r="P20" s="125">
        <f>'Pr CF proj'!G36+'Tr CF proj'!G33</f>
        <v>0</v>
      </c>
      <c r="Q20" s="300">
        <f>'Pr CF quart'!Q38+'Tr CF quart'!Q35</f>
        <v>0</v>
      </c>
      <c r="R20" s="300">
        <f>'Pr CF quart'!R38+'Tr CF quart'!R35</f>
        <v>0</v>
      </c>
      <c r="S20" s="300">
        <f>'Pr CF quart'!S38+'Tr CF quart'!S35</f>
        <v>0</v>
      </c>
      <c r="T20" s="300">
        <f>'Pr CF quart'!T38+'Tr CF quart'!T35</f>
        <v>0</v>
      </c>
      <c r="U20" s="125">
        <f>'Pr CF proj'!H36+'Tr CF proj'!H33</f>
        <v>0</v>
      </c>
      <c r="V20" s="300">
        <f>'Pr CF quart'!V38+'Tr CF quart'!V35</f>
        <v>0</v>
      </c>
      <c r="W20" s="300">
        <f>'Pr CF quart'!W38+'Tr CF quart'!W35</f>
        <v>0</v>
      </c>
      <c r="X20" s="300">
        <f>'Pr CF quart'!X38+'Tr CF quart'!X35</f>
        <v>0</v>
      </c>
      <c r="Y20" s="300">
        <f>'Pr CF quart'!Y38+'Tr CF quart'!Y35</f>
        <v>0</v>
      </c>
      <c r="Z20" s="125">
        <f>'Pr CF proj'!I36+'Tr CF proj'!I33</f>
        <v>0</v>
      </c>
      <c r="AA20" s="125">
        <f>'Pr CF proj'!J36+'Tr CF proj'!J33</f>
        <v>0</v>
      </c>
      <c r="AB20" s="125">
        <f>'Pr CF proj'!K36+'Tr CF proj'!K33</f>
        <v>0</v>
      </c>
      <c r="AC20" s="125">
        <f>'Pr CF proj'!L36+'Tr CF proj'!L33</f>
        <v>0</v>
      </c>
      <c r="AD20" s="125">
        <f>'Pr CF proj'!M36+'Tr CF proj'!M33</f>
        <v>0</v>
      </c>
      <c r="AE20" s="125">
        <f>'Pr CF proj'!N36+'Tr CF proj'!N33</f>
        <v>0</v>
      </c>
    </row>
    <row r="21" spans="1:31" s="36" customFormat="1">
      <c r="A21" s="9" t="s">
        <v>620</v>
      </c>
      <c r="B21" s="54">
        <f t="shared" ref="B21:E21" si="5">SUM(B13:B20)</f>
        <v>-621425.00836852344</v>
      </c>
      <c r="C21" s="54">
        <f t="shared" si="5"/>
        <v>-621425.00836852344</v>
      </c>
      <c r="D21" s="54">
        <f t="shared" si="5"/>
        <v>-621425.00836852344</v>
      </c>
      <c r="E21" s="54">
        <f t="shared" si="5"/>
        <v>-621425.00836852344</v>
      </c>
      <c r="F21" s="54">
        <f t="shared" ref="F21:AE21" si="6">SUM(F13:F20)</f>
        <v>-2485700.0334740938</v>
      </c>
      <c r="G21" s="54">
        <f t="shared" si="6"/>
        <v>-636508.13963960414</v>
      </c>
      <c r="H21" s="54">
        <f t="shared" si="6"/>
        <v>-636508.13963960414</v>
      </c>
      <c r="I21" s="54">
        <f t="shared" si="6"/>
        <v>-636508.13963960414</v>
      </c>
      <c r="J21" s="54">
        <f t="shared" si="6"/>
        <v>-636508.13963960414</v>
      </c>
      <c r="K21" s="54">
        <f t="shared" si="6"/>
        <v>-2546032.5585584166</v>
      </c>
      <c r="L21" s="54">
        <f t="shared" ref="L21:O21" si="7">SUM(L13:L20)</f>
        <v>-7339807.6889264649</v>
      </c>
      <c r="M21" s="54">
        <f t="shared" si="7"/>
        <v>-7339807.6889264649</v>
      </c>
      <c r="N21" s="54">
        <f t="shared" si="7"/>
        <v>-7339807.6889264649</v>
      </c>
      <c r="O21" s="54">
        <f t="shared" si="7"/>
        <v>-7339807.6889264649</v>
      </c>
      <c r="P21" s="54">
        <f t="shared" si="6"/>
        <v>-29359230.75570586</v>
      </c>
      <c r="Q21" s="54">
        <f t="shared" ref="Q21:T21" si="8">SUM(Q13:Q20)</f>
        <v>-4041585.2399828238</v>
      </c>
      <c r="R21" s="54">
        <f t="shared" si="8"/>
        <v>-4041585.2399828238</v>
      </c>
      <c r="S21" s="54">
        <f t="shared" si="8"/>
        <v>-4041585.2399828238</v>
      </c>
      <c r="T21" s="54">
        <f t="shared" si="8"/>
        <v>-4041585.2399828238</v>
      </c>
      <c r="U21" s="54">
        <f t="shared" si="6"/>
        <v>-16166340.959931295</v>
      </c>
      <c r="V21" s="54">
        <f t="shared" ref="V21:Y21" si="9">SUM(V13:V20)</f>
        <v>-4073542.3782350845</v>
      </c>
      <c r="W21" s="54">
        <f t="shared" si="9"/>
        <v>-4073542.3782350845</v>
      </c>
      <c r="X21" s="54">
        <f t="shared" si="9"/>
        <v>-4073542.3782350845</v>
      </c>
      <c r="Y21" s="54">
        <f t="shared" si="9"/>
        <v>-4073542.3782350845</v>
      </c>
      <c r="Z21" s="54">
        <f t="shared" si="6"/>
        <v>-16294169.512940338</v>
      </c>
      <c r="AA21" s="54">
        <f t="shared" si="6"/>
        <v>-2671740.8632802414</v>
      </c>
      <c r="AB21" s="54">
        <f t="shared" si="6"/>
        <v>-2671740.8632802414</v>
      </c>
      <c r="AC21" s="54">
        <f t="shared" si="6"/>
        <v>-2658771.2474390748</v>
      </c>
      <c r="AD21" s="54">
        <f t="shared" si="6"/>
        <v>-2632957.9343571425</v>
      </c>
      <c r="AE21" s="54">
        <f t="shared" si="6"/>
        <v>-2594613.8867694172</v>
      </c>
    </row>
    <row r="22" spans="1:31" s="44" customFormat="1">
      <c r="A22" s="9"/>
      <c r="B22" s="9"/>
      <c r="C22" s="9"/>
      <c r="D22" s="9"/>
      <c r="E22" s="9"/>
      <c r="F22" s="43"/>
      <c r="G22" s="9"/>
      <c r="H22" s="9"/>
      <c r="I22" s="9"/>
      <c r="J22" s="9"/>
      <c r="K22" s="43"/>
      <c r="L22" s="9"/>
      <c r="M22" s="9"/>
      <c r="N22" s="9"/>
      <c r="O22" s="9"/>
      <c r="P22" s="43"/>
      <c r="Q22" s="9"/>
      <c r="R22" s="9"/>
      <c r="S22" s="9"/>
      <c r="T22" s="9"/>
      <c r="U22" s="43"/>
      <c r="V22" s="9"/>
      <c r="W22" s="9"/>
      <c r="X22" s="9"/>
      <c r="Y22" s="9"/>
      <c r="Z22" s="43"/>
      <c r="AA22" s="43"/>
      <c r="AB22" s="43"/>
      <c r="AC22" s="43"/>
      <c r="AD22" s="43"/>
      <c r="AE22" s="43"/>
    </row>
    <row r="23" spans="1:31" ht="21">
      <c r="A23" s="92" t="s">
        <v>621</v>
      </c>
      <c r="B23" s="92"/>
      <c r="C23" s="92"/>
      <c r="D23" s="92"/>
      <c r="E23" s="92"/>
      <c r="F23" s="54"/>
      <c r="G23" s="92"/>
      <c r="H23" s="92"/>
      <c r="I23" s="92"/>
      <c r="J23" s="92"/>
      <c r="K23" s="54"/>
      <c r="L23" s="92"/>
      <c r="M23" s="92"/>
      <c r="N23" s="92"/>
      <c r="O23" s="92"/>
      <c r="P23" s="54"/>
      <c r="Q23" s="92"/>
      <c r="R23" s="92"/>
      <c r="S23" s="92"/>
      <c r="T23" s="92"/>
      <c r="U23" s="54"/>
      <c r="V23" s="92"/>
      <c r="W23" s="92"/>
      <c r="X23" s="92"/>
      <c r="Y23" s="92"/>
      <c r="Z23" s="54"/>
      <c r="AA23" s="54"/>
      <c r="AB23" s="54"/>
      <c r="AC23" s="54"/>
      <c r="AD23" s="54"/>
      <c r="AE23" s="54"/>
    </row>
    <row r="24" spans="1:31" s="1" customFormat="1" ht="15.6">
      <c r="A24" s="95" t="s">
        <v>404</v>
      </c>
      <c r="B24" s="42">
        <f>'Pr CF quart'!B42+'Tr CF quart'!B39</f>
        <v>0</v>
      </c>
      <c r="C24" s="42">
        <f>'Pr CF quart'!C42+'Tr CF quart'!C39</f>
        <v>0</v>
      </c>
      <c r="D24" s="42">
        <f>'Pr CF quart'!D42+'Tr CF quart'!D39</f>
        <v>0</v>
      </c>
      <c r="E24" s="42">
        <f>'Pr CF quart'!E42+'Tr CF quart'!E39</f>
        <v>0</v>
      </c>
      <c r="F24" s="42">
        <f>'Pr CF proj'!E40+'Tr CF proj'!E37</f>
        <v>0</v>
      </c>
      <c r="G24" s="42">
        <f>'Pr CF quart'!G42+'Tr CF quart'!G39</f>
        <v>0</v>
      </c>
      <c r="H24" s="42">
        <f>'Pr CF quart'!H42+'Tr CF quart'!H39</f>
        <v>0</v>
      </c>
      <c r="I24" s="42">
        <f>'Pr CF quart'!I42+'Tr CF quart'!I39</f>
        <v>0</v>
      </c>
      <c r="J24" s="42">
        <f>'Pr CF quart'!J42+'Tr CF quart'!J39</f>
        <v>0</v>
      </c>
      <c r="K24" s="42">
        <f>'Pr CF proj'!F40+'Tr CF proj'!F37</f>
        <v>0</v>
      </c>
      <c r="L24" s="42">
        <f>'Pr CF quart'!L42+'Tr CF quart'!L39</f>
        <v>0</v>
      </c>
      <c r="M24" s="42">
        <f>'Pr CF quart'!M42+'Tr CF quart'!M39</f>
        <v>0</v>
      </c>
      <c r="N24" s="42">
        <f>'Pr CF quart'!N42+'Tr CF quart'!N39</f>
        <v>0</v>
      </c>
      <c r="O24" s="42">
        <f>'Pr CF quart'!O42+'Tr CF quart'!O39</f>
        <v>0</v>
      </c>
      <c r="P24" s="42">
        <f>'Pr CF proj'!G40+'Tr CF proj'!G37</f>
        <v>0</v>
      </c>
      <c r="Q24" s="42">
        <f>'Pr CF quart'!Q42+'Tr CF quart'!Q39</f>
        <v>0</v>
      </c>
      <c r="R24" s="42">
        <f>'Pr CF quart'!R42+'Tr CF quart'!R39</f>
        <v>0</v>
      </c>
      <c r="S24" s="42">
        <f>'Pr CF quart'!S42+'Tr CF quart'!S39</f>
        <v>0</v>
      </c>
      <c r="T24" s="42">
        <f>'Pr CF quart'!T42+'Tr CF quart'!T39</f>
        <v>0</v>
      </c>
      <c r="U24" s="42">
        <f>'Pr CF proj'!H40+'Tr CF proj'!H37</f>
        <v>0</v>
      </c>
      <c r="V24" s="42">
        <f>'Pr CF quart'!V42+'Tr CF quart'!V39</f>
        <v>0</v>
      </c>
      <c r="W24" s="42">
        <f>'Pr CF quart'!W42+'Tr CF quart'!W39</f>
        <v>0</v>
      </c>
      <c r="X24" s="42">
        <f>'Pr CF quart'!X42+'Tr CF quart'!X39</f>
        <v>0</v>
      </c>
      <c r="Y24" s="42">
        <f>'Pr CF quart'!Y42+'Tr CF quart'!Y39</f>
        <v>0</v>
      </c>
      <c r="Z24" s="42">
        <f>'Pr CF proj'!I40+'Tr CF proj'!I37</f>
        <v>0</v>
      </c>
      <c r="AA24" s="42">
        <f>'Pr CF proj'!J40+'Tr CF proj'!J37</f>
        <v>0</v>
      </c>
      <c r="AB24" s="42">
        <f>'Pr CF proj'!K40+'Tr CF proj'!K37</f>
        <v>0</v>
      </c>
      <c r="AC24" s="42">
        <f>'Pr CF proj'!L40+'Tr CF proj'!L37</f>
        <v>0</v>
      </c>
      <c r="AD24" s="42">
        <f>'Pr CF proj'!M40+'Tr CF proj'!M37</f>
        <v>0</v>
      </c>
      <c r="AE24" s="42">
        <f>'Pr CF proj'!N40+'Tr CF proj'!N37</f>
        <v>0</v>
      </c>
    </row>
    <row r="25" spans="1:31" s="1" customFormat="1" ht="15.6">
      <c r="A25" s="1" t="s">
        <v>401</v>
      </c>
      <c r="B25" s="42">
        <f>'Pr CF quart'!B43+'Tr CF quart'!B40+'Pr CF quart'!B51</f>
        <v>-198749.86653602018</v>
      </c>
      <c r="C25" s="42">
        <f>'Pr CF quart'!C43+'Tr CF quart'!C40+'Pr CF quart'!C51</f>
        <v>-905819.06001746736</v>
      </c>
      <c r="D25" s="42">
        <f>'Pr CF quart'!D43+'Tr CF quart'!D40+'Pr CF quart'!D51</f>
        <v>-247111.47957312595</v>
      </c>
      <c r="E25" s="42">
        <f>'Pr CF quart'!E43+'Tr CF quart'!E40+'Pr CF quart'!E51</f>
        <v>-222930.67305457307</v>
      </c>
      <c r="F25" s="42">
        <f>'Pr CF proj'!E41+'Tr CF proj'!E38+'Pr CF proj'!E49</f>
        <v>-1574611.0791811864</v>
      </c>
      <c r="G25" s="42">
        <f>'Pr CF quart'!G43+'Tr CF quart'!G40+'Pr CF quart'!G51</f>
        <v>-182259.23719504138</v>
      </c>
      <c r="H25" s="42">
        <f>'Pr CF quart'!H43+'Tr CF quart'!H40+'Pr CF quart'!H51</f>
        <v>-887990.58782819088</v>
      </c>
      <c r="I25" s="42">
        <f>'Pr CF quart'!I43+'Tr CF quart'!I40+'Pr CF quart'!I51</f>
        <v>-233296.53592874255</v>
      </c>
      <c r="J25" s="42">
        <f>'Pr CF quart'!J43+'Tr CF quart'!J40+'Pr CF quart'!J51</f>
        <v>-207777.88656189194</v>
      </c>
      <c r="K25" s="42">
        <f>'Pr CF proj'!F41+'Tr CF proj'!F38+'Pr CF proj'!F49</f>
        <v>-1511324.2475138668</v>
      </c>
      <c r="L25" s="42">
        <f>'Pr CF quart'!L43+'Tr CF quart'!L40+'Pr CF quart'!L51</f>
        <v>-191829.91928976658</v>
      </c>
      <c r="M25" s="42">
        <f>'Pr CF quart'!M43+'Tr CF quart'!M40+'Pr CF quart'!M51</f>
        <v>-1039954.6338336754</v>
      </c>
      <c r="N25" s="42">
        <f>'Pr CF quart'!N43+'Tr CF quart'!N40+'Pr CF quart'!N51</f>
        <v>-250580.49020194926</v>
      </c>
      <c r="O25" s="42">
        <f>'Pr CF quart'!O43+'Tr CF quart'!O40+'Pr CF quart'!O51</f>
        <v>-221205.20474585792</v>
      </c>
      <c r="P25" s="42">
        <f>'Pr CF proj'!G41+'Tr CF proj'!G38+'Pr CF proj'!G49</f>
        <v>-1703570.2480712491</v>
      </c>
      <c r="Q25" s="42">
        <f>'Pr CF quart'!Q43+'Tr CF quart'!Q40+'Pr CF quart'!Q51</f>
        <v>-202705.03416565032</v>
      </c>
      <c r="R25" s="42">
        <f>'Pr CF quart'!R43+'Tr CF quart'!R40+'Pr CF quart'!R51</f>
        <v>-1121096.2164882892</v>
      </c>
      <c r="S25" s="42">
        <f>'Pr CF quart'!S43+'Tr CF quart'!S40+'Pr CF quart'!S51</f>
        <v>-267172.66952037276</v>
      </c>
      <c r="T25" s="42">
        <f>'Pr CF quart'!T43+'Tr CF quart'!T40+'Pr CF quart'!T51</f>
        <v>-234938.85184301154</v>
      </c>
      <c r="U25" s="42">
        <f>'Pr CF proj'!H41+'Tr CF proj'!H38+'Pr CF proj'!H49</f>
        <v>-1825912.7720173239</v>
      </c>
      <c r="V25" s="42">
        <f>'Pr CF quart'!V43+'Tr CF quart'!V40+'Pr CF quart'!V51</f>
        <v>-205531.47390341328</v>
      </c>
      <c r="W25" s="42">
        <f>'Pr CF quart'!W43+'Tr CF quart'!W40+'Pr CF quart'!W51</f>
        <v>-1193947.1836827639</v>
      </c>
      <c r="X25" s="42">
        <f>'Pr CF quart'!X43+'Tr CF quart'!X40+'Pr CF quart'!X51</f>
        <v>-276200.05434471247</v>
      </c>
      <c r="Y25" s="42">
        <f>'Pr CF quart'!Y43+'Tr CF quart'!Y40+'Pr CF quart'!Y51</f>
        <v>-240865.7641240629</v>
      </c>
      <c r="Z25" s="42">
        <f>'Pr CF proj'!I41+'Tr CF proj'!I38+'Pr CF proj'!I49</f>
        <v>-1916544.4760549525</v>
      </c>
      <c r="AA25" s="42">
        <f>'Pr CF proj'!J41+'Tr CF proj'!J38+'Pr CF proj'!J49</f>
        <v>-1955041.2426498937</v>
      </c>
      <c r="AB25" s="42">
        <f>'Pr CF proj'!K41+'Tr CF proj'!K38+'Pr CF proj'!K49</f>
        <v>-1995137.7930243227</v>
      </c>
      <c r="AC25" s="42">
        <f>'Pr CF proj'!L41+'Tr CF proj'!L38+'Pr CF proj'!L49</f>
        <v>-2036899.2734781355</v>
      </c>
      <c r="AD25" s="42">
        <f>'Pr CF proj'!M41+'Tr CF proj'!M38+'Pr CF proj'!M49</f>
        <v>-2080393.4308170921</v>
      </c>
      <c r="AE25" s="42">
        <f>'Pr CF proj'!N41+'Tr CF proj'!N38+'Pr CF proj'!N49</f>
        <v>-2125690.7145840074</v>
      </c>
    </row>
    <row r="26" spans="1:31" s="47" customFormat="1" ht="15.6">
      <c r="A26" s="95" t="s">
        <v>623</v>
      </c>
      <c r="B26" s="42">
        <f>'Pr CF quart'!B47+'Tr CF quart'!B46</f>
        <v>1594600.0214739467</v>
      </c>
      <c r="C26" s="42">
        <f>'Pr CF quart'!C47+'Tr CF quart'!C46</f>
        <v>3720733.3834392093</v>
      </c>
      <c r="D26" s="42">
        <f>'Pr CF quart'!D47+'Tr CF quart'!D46</f>
        <v>0</v>
      </c>
      <c r="E26" s="42">
        <f>'Pr CF quart'!E47+'Tr CF quart'!E46</f>
        <v>0</v>
      </c>
      <c r="F26" s="42">
        <f>'Pr CF proj'!E45+'Tr CF proj'!E44</f>
        <v>5315333.4049131563</v>
      </c>
      <c r="G26" s="42">
        <f>'Pr CF quart'!G47+'Tr CF quart'!G46</f>
        <v>1092815.5486971652</v>
      </c>
      <c r="H26" s="42">
        <f>'Pr CF quart'!H47+'Tr CF quart'!H46</f>
        <v>2549902.946960052</v>
      </c>
      <c r="I26" s="42">
        <f>'Pr CF quart'!I47+'Tr CF quart'!I46</f>
        <v>0</v>
      </c>
      <c r="J26" s="42">
        <f>'Pr CF quart'!J47+'Tr CF quart'!J46</f>
        <v>0</v>
      </c>
      <c r="K26" s="42">
        <f>'Pr CF proj'!F45+'Tr CF proj'!F44</f>
        <v>3642718.4956572172</v>
      </c>
      <c r="L26" s="42">
        <f>'Pr CF quart'!L47+'Tr CF quart'!L46</f>
        <v>618908.48227185721</v>
      </c>
      <c r="M26" s="42">
        <f>'Pr CF quart'!M47+'Tr CF quart'!M46</f>
        <v>1444119.7919676669</v>
      </c>
      <c r="N26" s="42">
        <f>'Pr CF quart'!N47+'Tr CF quart'!N46</f>
        <v>0</v>
      </c>
      <c r="O26" s="42">
        <f>'Pr CF quart'!O47+'Tr CF quart'!O46</f>
        <v>0</v>
      </c>
      <c r="P26" s="42">
        <f>'Pr CF proj'!G45+'Tr CF proj'!G44</f>
        <v>2063028.2742395243</v>
      </c>
      <c r="Q26" s="42">
        <f>'Pr CF quart'!Q47+'Tr CF quart'!Q46</f>
        <v>429201.44401654461</v>
      </c>
      <c r="R26" s="42">
        <f>'Pr CF quart'!R47+'Tr CF quart'!R46</f>
        <v>1001470.036038604</v>
      </c>
      <c r="S26" s="42">
        <f>'Pr CF quart'!S47+'Tr CF quart'!S46</f>
        <v>0</v>
      </c>
      <c r="T26" s="42">
        <f>'Pr CF quart'!T47+'Tr CF quart'!T46</f>
        <v>0</v>
      </c>
      <c r="U26" s="42">
        <f>'Pr CF proj'!H45+'Tr CF proj'!H44</f>
        <v>1430671.4800551487</v>
      </c>
      <c r="V26" s="42">
        <f>'Pr CF quart'!V47+'Tr CF quart'!V46</f>
        <v>0</v>
      </c>
      <c r="W26" s="42">
        <f>'Pr CF quart'!W47+'Tr CF quart'!W46</f>
        <v>0</v>
      </c>
      <c r="X26" s="42">
        <f>'Pr CF quart'!X47+'Tr CF quart'!X46</f>
        <v>0</v>
      </c>
      <c r="Y26" s="42">
        <f>'Pr CF quart'!Y47+'Tr CF quart'!Y46</f>
        <v>0</v>
      </c>
      <c r="Z26" s="42">
        <f>'Pr CF proj'!I45+'Tr CF proj'!I44</f>
        <v>0</v>
      </c>
      <c r="AA26" s="42">
        <f>'Pr CF proj'!J45+'Tr CF proj'!J44</f>
        <v>0</v>
      </c>
      <c r="AB26" s="42">
        <f>'Pr CF proj'!K45+'Tr CF proj'!K44</f>
        <v>0</v>
      </c>
      <c r="AC26" s="42">
        <f>'Pr CF proj'!L45+'Tr CF proj'!L44</f>
        <v>0</v>
      </c>
      <c r="AD26" s="42">
        <f>'Pr CF proj'!M45+'Tr CF proj'!M44</f>
        <v>0</v>
      </c>
      <c r="AE26" s="42">
        <f>'Pr CF proj'!N45+'Tr CF proj'!N44</f>
        <v>0</v>
      </c>
    </row>
    <row r="27" spans="1:31" s="47" customFormat="1" ht="15.6">
      <c r="A27" s="95" t="s">
        <v>624</v>
      </c>
      <c r="B27" s="42">
        <f>'Pr CF quart'!B48+'Tr CF quart'!B47</f>
        <v>0</v>
      </c>
      <c r="C27" s="42">
        <f>'Pr CF quart'!C48+'Tr CF quart'!C47</f>
        <v>0</v>
      </c>
      <c r="D27" s="42">
        <f>'Pr CF quart'!D48+'Tr CF quart'!D47</f>
        <v>-7816666.7719311118</v>
      </c>
      <c r="E27" s="42">
        <f>'Pr CF quart'!E48+'Tr CF quart'!E47</f>
        <v>0</v>
      </c>
      <c r="F27" s="42">
        <f>'Pr CF proj'!E46+'Tr CF proj'!E45</f>
        <v>-7816666.7719311118</v>
      </c>
      <c r="G27" s="42">
        <f>'Pr CF quart'!G48+'Tr CF quart'!G47</f>
        <v>0</v>
      </c>
      <c r="H27" s="42">
        <f>'Pr CF quart'!H48+'Tr CF quart'!H47</f>
        <v>0</v>
      </c>
      <c r="I27" s="42">
        <f>'Pr CF quart'!I48+'Tr CF quart'!I47</f>
        <v>-5160517.8688477241</v>
      </c>
      <c r="J27" s="42">
        <f>'Pr CF quart'!J48+'Tr CF quart'!J47</f>
        <v>0</v>
      </c>
      <c r="K27" s="42">
        <f>'Pr CF proj'!F46+'Tr CF proj'!F45</f>
        <v>-5160517.8688477241</v>
      </c>
      <c r="L27" s="42">
        <f>'Pr CF quart'!L48+'Tr CF quart'!L47</f>
        <v>0</v>
      </c>
      <c r="M27" s="42">
        <f>'Pr CF quart'!M48+'Tr CF quart'!M47</f>
        <v>0</v>
      </c>
      <c r="N27" s="42">
        <f>'Pr CF quart'!N48+'Tr CF quart'!N47</f>
        <v>-3536619.8986963271</v>
      </c>
      <c r="O27" s="42">
        <f>'Pr CF quart'!O48+'Tr CF quart'!O47</f>
        <v>0</v>
      </c>
      <c r="P27" s="42">
        <f>'Pr CF proj'!G46+'Tr CF proj'!G45</f>
        <v>-3536619.8986963271</v>
      </c>
      <c r="Q27" s="42">
        <f>'Pr CF quart'!Q48+'Tr CF quart'!Q47</f>
        <v>0</v>
      </c>
      <c r="R27" s="42">
        <f>'Pr CF quart'!R48+'Tr CF quart'!R47</f>
        <v>0</v>
      </c>
      <c r="S27" s="42">
        <f>'Pr CF quart'!S48+'Tr CF quart'!S47</f>
        <v>-2002940.0720772082</v>
      </c>
      <c r="T27" s="42">
        <f>'Pr CF quart'!T48+'Tr CF quart'!T47</f>
        <v>0</v>
      </c>
      <c r="U27" s="42">
        <f>'Pr CF proj'!H46+'Tr CF proj'!H45</f>
        <v>-2002940.0720772082</v>
      </c>
      <c r="V27" s="42">
        <f>'Pr CF quart'!V48+'Tr CF quart'!V47</f>
        <v>0</v>
      </c>
      <c r="W27" s="42">
        <f>'Pr CF quart'!W48+'Tr CF quart'!W47</f>
        <v>0</v>
      </c>
      <c r="X27" s="42">
        <f>'Pr CF quart'!X48+'Tr CF quart'!X47</f>
        <v>-1389001.4369467462</v>
      </c>
      <c r="Y27" s="42">
        <f>'Pr CF quart'!Y48+'Tr CF quart'!Y47</f>
        <v>0</v>
      </c>
      <c r="Z27" s="42">
        <f>'Pr CF proj'!I46+'Tr CF proj'!I45</f>
        <v>-1389001.4369467462</v>
      </c>
      <c r="AA27" s="42">
        <f>'Pr CF proj'!J46+'Tr CF proj'!J45</f>
        <v>0</v>
      </c>
      <c r="AB27" s="42">
        <f>'Pr CF proj'!K46+'Tr CF proj'!K45</f>
        <v>0</v>
      </c>
      <c r="AC27" s="42">
        <f>'Pr CF proj'!L46+'Tr CF proj'!L45</f>
        <v>0</v>
      </c>
      <c r="AD27" s="42">
        <f>'Pr CF proj'!M46+'Tr CF proj'!M45</f>
        <v>0</v>
      </c>
      <c r="AE27" s="42">
        <f>'Pr CF proj'!N46+'Tr CF proj'!N45</f>
        <v>0</v>
      </c>
    </row>
    <row r="28" spans="1:31" s="47" customFormat="1" ht="15.6">
      <c r="A28" s="95" t="s">
        <v>625</v>
      </c>
      <c r="B28" s="42">
        <f>'Pr CF quart'!B49</f>
        <v>0</v>
      </c>
      <c r="C28" s="42">
        <f>'Pr CF quart'!C49</f>
        <v>0</v>
      </c>
      <c r="D28" s="42">
        <f>'Pr CF quart'!D49</f>
        <v>0</v>
      </c>
      <c r="E28" s="42">
        <f>'Pr CF quart'!E49</f>
        <v>0</v>
      </c>
      <c r="F28" s="42">
        <f>'Pr CF proj'!E47</f>
        <v>0</v>
      </c>
      <c r="G28" s="42">
        <f>'Pr CF quart'!G49</f>
        <v>0</v>
      </c>
      <c r="H28" s="42">
        <f>'Pr CF quart'!H49</f>
        <v>0</v>
      </c>
      <c r="I28" s="42">
        <f>'Pr CF quart'!I49</f>
        <v>0</v>
      </c>
      <c r="J28" s="42">
        <f>'Pr CF quart'!J49</f>
        <v>0</v>
      </c>
      <c r="K28" s="42">
        <f>'Pr CF proj'!F47</f>
        <v>0</v>
      </c>
      <c r="L28" s="42">
        <f>'Pr CF quart'!L49</f>
        <v>1500000</v>
      </c>
      <c r="M28" s="42">
        <f>'Pr CF quart'!M49</f>
        <v>1500000</v>
      </c>
      <c r="N28" s="42">
        <f>'Pr CF quart'!N49</f>
        <v>1500000</v>
      </c>
      <c r="O28" s="42">
        <f>'Pr CF quart'!O49</f>
        <v>1500000</v>
      </c>
      <c r="P28" s="42">
        <f>'Pr CF proj'!G47</f>
        <v>6000000</v>
      </c>
      <c r="Q28" s="42">
        <f>'Pr CF quart'!Q49</f>
        <v>750000</v>
      </c>
      <c r="R28" s="42">
        <f>'Pr CF quart'!R49</f>
        <v>750000</v>
      </c>
      <c r="S28" s="42">
        <f>'Pr CF quart'!S49</f>
        <v>750000</v>
      </c>
      <c r="T28" s="42">
        <f>'Pr CF quart'!T49</f>
        <v>750000</v>
      </c>
      <c r="U28" s="42">
        <f>'Pr CF proj'!H47</f>
        <v>3000000</v>
      </c>
      <c r="V28" s="42">
        <f>'Pr CF quart'!V49</f>
        <v>750000</v>
      </c>
      <c r="W28" s="42">
        <f>'Pr CF quart'!W49</f>
        <v>750000</v>
      </c>
      <c r="X28" s="42">
        <f>'Pr CF quart'!X49</f>
        <v>750000</v>
      </c>
      <c r="Y28" s="42">
        <f>'Pr CF quart'!Y49</f>
        <v>750000</v>
      </c>
      <c r="Z28" s="42">
        <f>'Pr CF proj'!I47</f>
        <v>3000000</v>
      </c>
      <c r="AA28" s="42">
        <f>'Pr CF proj'!J47</f>
        <v>0</v>
      </c>
      <c r="AB28" s="42">
        <f>'Pr CF proj'!K47</f>
        <v>0</v>
      </c>
      <c r="AC28" s="42">
        <f>'Pr CF proj'!L47</f>
        <v>0</v>
      </c>
      <c r="AD28" s="42">
        <f>'Pr CF proj'!M47</f>
        <v>0</v>
      </c>
      <c r="AE28" s="42">
        <f>'Pr CF proj'!N47</f>
        <v>0</v>
      </c>
    </row>
    <row r="29" spans="1:31" s="44" customFormat="1" ht="15.6">
      <c r="A29" s="95" t="s">
        <v>626</v>
      </c>
      <c r="B29" s="42">
        <f>'Pr CF quart'!B50</f>
        <v>-1042500</v>
      </c>
      <c r="C29" s="42">
        <f>'Pr CF quart'!C50</f>
        <v>-1042500</v>
      </c>
      <c r="D29" s="42">
        <f>'Pr CF quart'!D50</f>
        <v>-1042500</v>
      </c>
      <c r="E29" s="42">
        <f>'Pr CF quart'!E50</f>
        <v>-1042500</v>
      </c>
      <c r="F29" s="42">
        <f>'Pr CF proj'!E48</f>
        <v>-4170000</v>
      </c>
      <c r="G29" s="42">
        <f>'Pr CF quart'!G50</f>
        <v>-967500</v>
      </c>
      <c r="H29" s="42">
        <f>'Pr CF quart'!H50</f>
        <v>-967500</v>
      </c>
      <c r="I29" s="42">
        <f>'Pr CF quart'!I50</f>
        <v>-967500</v>
      </c>
      <c r="J29" s="42">
        <f>'Pr CF quart'!J50</f>
        <v>-967500</v>
      </c>
      <c r="K29" s="42">
        <f>'Pr CF proj'!F48</f>
        <v>-3870000</v>
      </c>
      <c r="L29" s="42">
        <f>'Pr CF quart'!L50</f>
        <v>-771000</v>
      </c>
      <c r="M29" s="42">
        <f>'Pr CF quart'!M50</f>
        <v>-771000</v>
      </c>
      <c r="N29" s="42">
        <f>'Pr CF quart'!N50</f>
        <v>-771000</v>
      </c>
      <c r="O29" s="42">
        <f>'Pr CF quart'!O50</f>
        <v>-771000</v>
      </c>
      <c r="P29" s="42">
        <f>'Pr CF proj'!G48</f>
        <v>-3084000</v>
      </c>
      <c r="Q29" s="42">
        <f>'Pr CF quart'!Q50</f>
        <v>-570000</v>
      </c>
      <c r="R29" s="42">
        <f>'Pr CF quart'!R50</f>
        <v>-570000</v>
      </c>
      <c r="S29" s="42">
        <f>'Pr CF quart'!S50</f>
        <v>-570000</v>
      </c>
      <c r="T29" s="42">
        <f>'Pr CF quart'!T50</f>
        <v>-570000</v>
      </c>
      <c r="U29" s="42">
        <f>'Pr CF proj'!H48</f>
        <v>-2280000</v>
      </c>
      <c r="V29" s="42">
        <f>'Pr CF quart'!V50</f>
        <v>-732000</v>
      </c>
      <c r="W29" s="42">
        <f>'Pr CF quart'!W50</f>
        <v>-732000</v>
      </c>
      <c r="X29" s="42">
        <f>'Pr CF quart'!X50</f>
        <v>-732000</v>
      </c>
      <c r="Y29" s="42">
        <f>'Pr CF quart'!Y50</f>
        <v>-732000</v>
      </c>
      <c r="Z29" s="42">
        <f>'Pr CF proj'!I48</f>
        <v>-2928000</v>
      </c>
      <c r="AA29" s="42">
        <f>'Pr CF proj'!J48</f>
        <v>-2736000</v>
      </c>
      <c r="AB29" s="42">
        <f>'Pr CF proj'!K48</f>
        <v>-2544000</v>
      </c>
      <c r="AC29" s="42">
        <f>'Pr CF proj'!L48</f>
        <v>-1248000</v>
      </c>
      <c r="AD29" s="42">
        <f>'Pr CF proj'!M48</f>
        <v>-600000</v>
      </c>
      <c r="AE29" s="42">
        <f>'Pr CF proj'!N48</f>
        <v>0</v>
      </c>
    </row>
    <row r="30" spans="1:31">
      <c r="A30" s="9" t="s">
        <v>627</v>
      </c>
      <c r="B30" s="54">
        <f>SUM(B24:B29)</f>
        <v>353350.15493792668</v>
      </c>
      <c r="C30" s="54">
        <f t="shared" ref="C30:AE30" si="10">SUM(C24:C29)</f>
        <v>1772414.3234217418</v>
      </c>
      <c r="D30" s="54">
        <f t="shared" si="10"/>
        <v>-9106278.2515042387</v>
      </c>
      <c r="E30" s="54">
        <f t="shared" si="10"/>
        <v>-1265430.6730545731</v>
      </c>
      <c r="F30" s="54">
        <f t="shared" si="10"/>
        <v>-8245944.4461991414</v>
      </c>
      <c r="G30" s="54">
        <f t="shared" si="10"/>
        <v>-56943.688497876166</v>
      </c>
      <c r="H30" s="54">
        <f t="shared" si="10"/>
        <v>694412.35913186101</v>
      </c>
      <c r="I30" s="54">
        <f t="shared" si="10"/>
        <v>-6361314.404776467</v>
      </c>
      <c r="J30" s="54">
        <f t="shared" si="10"/>
        <v>-1175277.886561892</v>
      </c>
      <c r="K30" s="54">
        <f t="shared" si="10"/>
        <v>-6899123.6207043733</v>
      </c>
      <c r="L30" s="54">
        <f t="shared" si="10"/>
        <v>1156078.5629820907</v>
      </c>
      <c r="M30" s="54">
        <f t="shared" si="10"/>
        <v>1133165.1581339915</v>
      </c>
      <c r="N30" s="54">
        <f t="shared" si="10"/>
        <v>-3058200.3888982763</v>
      </c>
      <c r="O30" s="54">
        <f t="shared" si="10"/>
        <v>507794.79525414202</v>
      </c>
      <c r="P30" s="54">
        <f t="shared" si="10"/>
        <v>-261161.87252805196</v>
      </c>
      <c r="Q30" s="54">
        <f t="shared" si="10"/>
        <v>406496.40985089424</v>
      </c>
      <c r="R30" s="54">
        <f t="shared" si="10"/>
        <v>60373.819550314802</v>
      </c>
      <c r="S30" s="54">
        <f t="shared" si="10"/>
        <v>-2090112.7415975807</v>
      </c>
      <c r="T30" s="54">
        <f t="shared" si="10"/>
        <v>-54938.851843011566</v>
      </c>
      <c r="U30" s="54">
        <f t="shared" si="10"/>
        <v>-1678181.3640393834</v>
      </c>
      <c r="V30" s="54">
        <f t="shared" si="10"/>
        <v>-187531.47390341328</v>
      </c>
      <c r="W30" s="54">
        <f t="shared" si="10"/>
        <v>-1175947.1836827639</v>
      </c>
      <c r="X30" s="54">
        <f t="shared" si="10"/>
        <v>-1647201.4912914587</v>
      </c>
      <c r="Y30" s="54">
        <f t="shared" si="10"/>
        <v>-222865.7641240629</v>
      </c>
      <c r="Z30" s="54">
        <f t="shared" si="10"/>
        <v>-3233545.9130016984</v>
      </c>
      <c r="AA30" s="54">
        <f t="shared" si="10"/>
        <v>-4691041.2426498942</v>
      </c>
      <c r="AB30" s="54">
        <f t="shared" si="10"/>
        <v>-4539137.7930243229</v>
      </c>
      <c r="AC30" s="54">
        <f t="shared" si="10"/>
        <v>-3284899.2734781355</v>
      </c>
      <c r="AD30" s="54">
        <f t="shared" si="10"/>
        <v>-2680393.4308170918</v>
      </c>
      <c r="AE30" s="54">
        <f t="shared" si="10"/>
        <v>-2125690.7145840074</v>
      </c>
    </row>
    <row r="31" spans="1:31">
      <c r="A31" s="2"/>
      <c r="B31" s="2"/>
      <c r="C31" s="2"/>
      <c r="D31" s="2"/>
      <c r="E31" s="2"/>
      <c r="F31" s="54"/>
      <c r="K31" s="54"/>
      <c r="P31" s="54"/>
      <c r="U31" s="54"/>
      <c r="Z31" s="54"/>
      <c r="AA31" s="54"/>
      <c r="AB31" s="54"/>
      <c r="AC31" s="54"/>
      <c r="AD31" s="54"/>
      <c r="AE31" s="54"/>
    </row>
    <row r="32" spans="1:31" s="148" customFormat="1" ht="21">
      <c r="A32" s="85" t="s">
        <v>628</v>
      </c>
      <c r="B32" s="86">
        <f t="shared" ref="B32:AE32" si="11">B30+B21+B10</f>
        <v>-1292178.3482016562</v>
      </c>
      <c r="C32" s="86">
        <f t="shared" si="11"/>
        <v>-9046388.1227405835</v>
      </c>
      <c r="D32" s="86">
        <f t="shared" si="11"/>
        <v>4209493.9887681361</v>
      </c>
      <c r="E32" s="86">
        <f t="shared" si="11"/>
        <v>6152326.4988712948</v>
      </c>
      <c r="F32" s="86">
        <f t="shared" si="11"/>
        <v>23254.016697185114</v>
      </c>
      <c r="G32" s="86">
        <f t="shared" si="11"/>
        <v>-1626304.6289078635</v>
      </c>
      <c r="H32" s="86">
        <f t="shared" si="11"/>
        <v>-10516040.613303609</v>
      </c>
      <c r="I32" s="86">
        <f t="shared" si="11"/>
        <v>7347979.110192637</v>
      </c>
      <c r="J32" s="86">
        <f t="shared" si="11"/>
        <v>6506809.7983755935</v>
      </c>
      <c r="K32" s="86">
        <f t="shared" si="11"/>
        <v>1712443.6663567834</v>
      </c>
      <c r="L32" s="86">
        <f t="shared" si="11"/>
        <v>-6498102.9977487298</v>
      </c>
      <c r="M32" s="86">
        <f t="shared" si="11"/>
        <v>-18576925.231081247</v>
      </c>
      <c r="N32" s="86">
        <f t="shared" si="11"/>
        <v>7190336.5481128916</v>
      </c>
      <c r="O32" s="86">
        <f t="shared" si="11"/>
        <v>4800453.1493192185</v>
      </c>
      <c r="P32" s="86">
        <f t="shared" si="11"/>
        <v>-13084238.531397905</v>
      </c>
      <c r="Q32" s="86">
        <f t="shared" si="11"/>
        <v>-2155478.8915347364</v>
      </c>
      <c r="R32" s="86">
        <f t="shared" si="11"/>
        <v>-16176492.378898665</v>
      </c>
      <c r="S32" s="86">
        <f t="shared" si="11"/>
        <v>14926291.950290913</v>
      </c>
      <c r="T32" s="86">
        <f t="shared" si="11"/>
        <v>10973749.955464257</v>
      </c>
      <c r="U32" s="86">
        <f t="shared" si="11"/>
        <v>7568070.6353218146</v>
      </c>
      <c r="V32" s="86">
        <f t="shared" si="11"/>
        <v>-1671116.1335175578</v>
      </c>
      <c r="W32" s="86">
        <f t="shared" si="11"/>
        <v>-18109981.387435529</v>
      </c>
      <c r="X32" s="86">
        <f t="shared" si="11"/>
        <v>18823527.120958</v>
      </c>
      <c r="Y32" s="86">
        <f t="shared" si="11"/>
        <v>13696671.528086361</v>
      </c>
      <c r="Z32" s="86">
        <f t="shared" si="11"/>
        <v>12739101.128091268</v>
      </c>
      <c r="AA32" s="86">
        <f t="shared" si="11"/>
        <v>29973490.886456445</v>
      </c>
      <c r="AB32" s="86">
        <f t="shared" si="11"/>
        <v>32473907.325021747</v>
      </c>
      <c r="AC32" s="86">
        <f t="shared" si="11"/>
        <v>36441814.470411852</v>
      </c>
      <c r="AD32" s="86">
        <f t="shared" si="11"/>
        <v>39703029.504882053</v>
      </c>
      <c r="AE32" s="86">
        <f t="shared" si="11"/>
        <v>43443646.16233997</v>
      </c>
    </row>
    <row r="33" spans="1:31">
      <c r="F33" s="3"/>
      <c r="G33" s="49"/>
      <c r="H33" s="49"/>
      <c r="I33" s="49"/>
      <c r="J33" s="49"/>
      <c r="K33" s="3"/>
      <c r="L33" s="49"/>
      <c r="M33" s="49"/>
      <c r="N33" s="49"/>
      <c r="O33" s="49"/>
      <c r="P33" s="3"/>
      <c r="Q33" s="49"/>
      <c r="R33" s="49"/>
      <c r="S33" s="49"/>
      <c r="T33" s="49"/>
      <c r="U33" s="3"/>
      <c r="V33" s="49"/>
      <c r="W33" s="49"/>
      <c r="X33" s="49"/>
      <c r="Y33" s="49"/>
    </row>
    <row r="34" spans="1:31">
      <c r="A34" s="9" t="s">
        <v>629</v>
      </c>
      <c r="B34" s="299">
        <f>F34</f>
        <v>23312152.270082556</v>
      </c>
      <c r="C34" s="299">
        <f>B35</f>
        <v>22019973.921880901</v>
      </c>
      <c r="D34" s="299">
        <f t="shared" ref="D34:E34" si="12">C35</f>
        <v>12973585.799140317</v>
      </c>
      <c r="E34" s="299">
        <f t="shared" si="12"/>
        <v>17183079.787908453</v>
      </c>
      <c r="F34" s="54">
        <f>'Cons CF proj'!E34</f>
        <v>23312152.270082556</v>
      </c>
      <c r="G34" s="299">
        <f>F35</f>
        <v>23335406.286779739</v>
      </c>
      <c r="H34" s="299">
        <f>G35</f>
        <v>21709101.657871876</v>
      </c>
      <c r="I34" s="299">
        <f t="shared" ref="I34:J34" si="13">H35</f>
        <v>11193061.044568267</v>
      </c>
      <c r="J34" s="299">
        <f t="shared" si="13"/>
        <v>18541040.154760905</v>
      </c>
      <c r="K34" s="54">
        <f>F35</f>
        <v>23335406.286779739</v>
      </c>
      <c r="L34" s="299">
        <f>K35</f>
        <v>25047849.953136522</v>
      </c>
      <c r="M34" s="299">
        <f>L35</f>
        <v>18549746.955387793</v>
      </c>
      <c r="N34" s="299">
        <f t="shared" ref="N34:O34" si="14">M35</f>
        <v>-27178.275693453848</v>
      </c>
      <c r="O34" s="299">
        <f t="shared" si="14"/>
        <v>7163158.2724194378</v>
      </c>
      <c r="P34" s="54">
        <f>K35</f>
        <v>25047849.953136522</v>
      </c>
      <c r="Q34" s="299">
        <f>P35</f>
        <v>11963611.421738617</v>
      </c>
      <c r="R34" s="299">
        <f>Q35</f>
        <v>9808132.5302038807</v>
      </c>
      <c r="S34" s="299">
        <f t="shared" ref="S34:T34" si="15">R35</f>
        <v>-6368359.8486947846</v>
      </c>
      <c r="T34" s="299">
        <f t="shared" si="15"/>
        <v>8557932.1015961282</v>
      </c>
      <c r="U34" s="54">
        <f>P35</f>
        <v>11963611.421738617</v>
      </c>
      <c r="V34" s="299">
        <f>U35</f>
        <v>19531682.057060432</v>
      </c>
      <c r="W34" s="299">
        <f>V35</f>
        <v>17860565.923542872</v>
      </c>
      <c r="X34" s="299">
        <f t="shared" ref="X34:Y34" si="16">W35</f>
        <v>-249415.46389265731</v>
      </c>
      <c r="Y34" s="299">
        <f t="shared" si="16"/>
        <v>18574111.657065343</v>
      </c>
      <c r="Z34" s="54">
        <f>U35</f>
        <v>19531682.057060432</v>
      </c>
      <c r="AA34" s="54">
        <f t="shared" ref="AA34:AE34" si="17">Z35</f>
        <v>32270783.1851517</v>
      </c>
      <c r="AB34" s="54">
        <f t="shared" si="17"/>
        <v>62244274.071608141</v>
      </c>
      <c r="AC34" s="54">
        <f t="shared" si="17"/>
        <v>94718181.396629885</v>
      </c>
      <c r="AD34" s="54">
        <f t="shared" si="17"/>
        <v>131159995.86704174</v>
      </c>
      <c r="AE34" s="54">
        <f t="shared" si="17"/>
        <v>170863025.3719238</v>
      </c>
    </row>
    <row r="35" spans="1:31">
      <c r="A35" s="9" t="s">
        <v>630</v>
      </c>
      <c r="B35" s="299">
        <f>B34+B32</f>
        <v>22019973.921880901</v>
      </c>
      <c r="C35" s="299">
        <f>C34+C32</f>
        <v>12973585.799140317</v>
      </c>
      <c r="D35" s="299">
        <f t="shared" ref="D35:E35" si="18">D34+D32</f>
        <v>17183079.787908453</v>
      </c>
      <c r="E35" s="299">
        <f t="shared" si="18"/>
        <v>23335406.286779746</v>
      </c>
      <c r="F35" s="54">
        <f t="shared" ref="F35:AE35" si="19">F34+F32</f>
        <v>23335406.286779739</v>
      </c>
      <c r="G35" s="299">
        <f>G34+G32</f>
        <v>21709101.657871876</v>
      </c>
      <c r="H35" s="299">
        <f>H34+H32</f>
        <v>11193061.044568267</v>
      </c>
      <c r="I35" s="299">
        <f t="shared" ref="I35" si="20">I34+I32</f>
        <v>18541040.154760905</v>
      </c>
      <c r="J35" s="299">
        <f t="shared" ref="J35" si="21">J34+J32</f>
        <v>25047849.953136496</v>
      </c>
      <c r="K35" s="54">
        <f t="shared" si="19"/>
        <v>25047849.953136522</v>
      </c>
      <c r="L35" s="299">
        <f>L34+L32</f>
        <v>18549746.955387793</v>
      </c>
      <c r="M35" s="299">
        <f>M34+M32</f>
        <v>-27178.275693453848</v>
      </c>
      <c r="N35" s="299">
        <f t="shared" ref="N35" si="22">N34+N32</f>
        <v>7163158.2724194378</v>
      </c>
      <c r="O35" s="299">
        <f t="shared" ref="O35" si="23">O34+O32</f>
        <v>11963611.421738656</v>
      </c>
      <c r="P35" s="54">
        <f t="shared" si="19"/>
        <v>11963611.421738617</v>
      </c>
      <c r="Q35" s="299">
        <f>Q34+Q32</f>
        <v>9808132.5302038807</v>
      </c>
      <c r="R35" s="299">
        <f>R34+R32</f>
        <v>-6368359.8486947846</v>
      </c>
      <c r="S35" s="299">
        <f t="shared" ref="S35" si="24">S34+S32</f>
        <v>8557932.1015961282</v>
      </c>
      <c r="T35" s="299">
        <f t="shared" ref="T35" si="25">T34+T32</f>
        <v>19531682.057060383</v>
      </c>
      <c r="U35" s="54">
        <f t="shared" si="19"/>
        <v>19531682.057060432</v>
      </c>
      <c r="V35" s="299">
        <f>V34+V32</f>
        <v>17860565.923542872</v>
      </c>
      <c r="W35" s="299">
        <f>W34+W32</f>
        <v>-249415.46389265731</v>
      </c>
      <c r="X35" s="299">
        <f t="shared" ref="X35" si="26">X34+X32</f>
        <v>18574111.657065343</v>
      </c>
      <c r="Y35" s="299">
        <f t="shared" ref="Y35" si="27">Y34+Y32</f>
        <v>32270783.185151704</v>
      </c>
      <c r="Z35" s="54">
        <f t="shared" si="19"/>
        <v>32270783.1851517</v>
      </c>
      <c r="AA35" s="54">
        <f t="shared" si="19"/>
        <v>62244274.071608141</v>
      </c>
      <c r="AB35" s="54">
        <f t="shared" si="19"/>
        <v>94718181.396629885</v>
      </c>
      <c r="AC35" s="54">
        <f t="shared" si="19"/>
        <v>131159995.86704174</v>
      </c>
      <c r="AD35" s="54">
        <f t="shared" si="19"/>
        <v>170863025.3719238</v>
      </c>
      <c r="AE35" s="54">
        <f t="shared" si="19"/>
        <v>214306671.53426379</v>
      </c>
    </row>
    <row r="36" spans="1:31"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1">
      <c r="B37" s="98"/>
    </row>
    <row r="38" spans="1:31">
      <c r="B38" s="42"/>
    </row>
    <row r="39" spans="1:31">
      <c r="B39" s="98"/>
    </row>
    <row r="40" spans="1:31">
      <c r="B40" s="98"/>
    </row>
    <row r="41" spans="1:31">
      <c r="B41" s="98"/>
    </row>
    <row r="42" spans="1:31">
      <c r="B42" s="98"/>
    </row>
    <row r="48" spans="1:31" ht="14.4">
      <c r="A48" s="2"/>
      <c r="B48" s="2"/>
      <c r="C48" s="2"/>
      <c r="D48" s="2"/>
      <c r="E48" s="2"/>
    </row>
    <row r="49" spans="1:5" ht="14.4">
      <c r="A49" s="2"/>
      <c r="B49" s="2"/>
      <c r="C49" s="2"/>
      <c r="D49" s="2"/>
      <c r="E49" s="2"/>
    </row>
    <row r="50" spans="1:5" ht="14.4">
      <c r="A50" s="2"/>
      <c r="B50" s="2"/>
      <c r="C50" s="2"/>
      <c r="D50" s="2"/>
      <c r="E50" s="2"/>
    </row>
    <row r="51" spans="1:5" ht="14.4">
      <c r="A51" s="2"/>
      <c r="B51" s="2"/>
      <c r="C51" s="2"/>
      <c r="D51" s="2"/>
      <c r="E51" s="2"/>
    </row>
    <row r="52" spans="1:5" ht="14.4">
      <c r="A52" s="2"/>
      <c r="B52" s="2"/>
      <c r="C52" s="2"/>
      <c r="D52" s="2"/>
      <c r="E52" s="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"/>
  <sheetViews>
    <sheetView zoomScaleNormal="100" workbookViewId="0">
      <selection activeCell="P23" sqref="P23"/>
    </sheetView>
  </sheetViews>
  <sheetFormatPr defaultRowHeight="14.4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2772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373380</xdr:colOff>
                <xdr:row>31</xdr:row>
                <xdr:rowOff>167640</xdr:rowOff>
              </to>
            </anchor>
          </objectPr>
        </oleObject>
      </mc:Choice>
      <mc:Fallback>
        <oleObject progId="Visio.Drawing.11" shapeId="3277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FD27"/>
  <sheetViews>
    <sheetView workbookViewId="0"/>
  </sheetViews>
  <sheetFormatPr defaultRowHeight="14.4"/>
  <cols>
    <col min="1" max="1" width="34.77734375" style="5" customWidth="1"/>
    <col min="2" max="2" width="37.21875" style="5" customWidth="1"/>
    <col min="3" max="4" width="24.77734375" style="5" customWidth="1"/>
    <col min="5" max="5" width="49.44140625" style="5" customWidth="1"/>
    <col min="6" max="6" width="26.33203125" style="5" customWidth="1"/>
    <col min="7" max="16384" width="8.88671875" style="5"/>
  </cols>
  <sheetData>
    <row r="1" spans="1:16384" s="2" customFormat="1">
      <c r="A1" s="303" t="s">
        <v>740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L1" s="301"/>
      <c r="LM1" s="301"/>
      <c r="LN1" s="301"/>
      <c r="LO1" s="301"/>
      <c r="LP1" s="301"/>
      <c r="LQ1" s="301"/>
      <c r="LR1" s="301"/>
      <c r="LS1" s="301"/>
      <c r="LT1" s="301"/>
      <c r="LU1" s="301"/>
      <c r="LV1" s="301"/>
      <c r="LW1" s="301"/>
      <c r="LX1" s="301"/>
      <c r="LY1" s="301"/>
      <c r="LZ1" s="301"/>
      <c r="MA1" s="301"/>
      <c r="MB1" s="301"/>
      <c r="MC1" s="301"/>
      <c r="MD1" s="301"/>
      <c r="ME1" s="301"/>
      <c r="MF1" s="301"/>
      <c r="MG1" s="301"/>
      <c r="MH1" s="301"/>
      <c r="MI1" s="301"/>
      <c r="MJ1" s="301"/>
      <c r="MK1" s="301"/>
      <c r="ML1" s="301"/>
      <c r="MM1" s="301"/>
      <c r="MN1" s="301"/>
      <c r="MO1" s="301"/>
      <c r="MP1" s="301"/>
      <c r="MQ1" s="301"/>
      <c r="MR1" s="301"/>
      <c r="MS1" s="301"/>
      <c r="MT1" s="301"/>
      <c r="MU1" s="301"/>
      <c r="MV1" s="301"/>
      <c r="MW1" s="301"/>
      <c r="MX1" s="301"/>
      <c r="MY1" s="301"/>
      <c r="MZ1" s="301"/>
      <c r="NA1" s="301"/>
      <c r="NB1" s="301"/>
      <c r="NC1" s="301"/>
      <c r="ND1" s="301"/>
      <c r="NE1" s="301"/>
      <c r="NF1" s="301"/>
      <c r="NG1" s="301"/>
      <c r="NH1" s="301"/>
      <c r="NI1" s="301"/>
      <c r="NJ1" s="301"/>
      <c r="NK1" s="301"/>
      <c r="NL1" s="301"/>
      <c r="NM1" s="301"/>
      <c r="NN1" s="301"/>
      <c r="NO1" s="301"/>
      <c r="NP1" s="301"/>
      <c r="NQ1" s="301"/>
      <c r="NR1" s="301"/>
      <c r="NS1" s="301"/>
      <c r="NT1" s="301"/>
      <c r="NU1" s="301"/>
      <c r="NV1" s="301"/>
      <c r="NW1" s="301"/>
      <c r="NX1" s="301"/>
      <c r="NY1" s="301"/>
      <c r="NZ1" s="301"/>
      <c r="OA1" s="301"/>
      <c r="OB1" s="301"/>
      <c r="OC1" s="301"/>
      <c r="OD1" s="301"/>
      <c r="OE1" s="301"/>
      <c r="OF1" s="301"/>
      <c r="OG1" s="301"/>
      <c r="OH1" s="301"/>
      <c r="OI1" s="301"/>
      <c r="OJ1" s="301"/>
      <c r="OK1" s="301"/>
      <c r="OL1" s="301"/>
      <c r="OM1" s="301"/>
      <c r="ON1" s="301"/>
      <c r="OO1" s="301"/>
      <c r="OP1" s="301"/>
      <c r="OQ1" s="301"/>
      <c r="OR1" s="301"/>
      <c r="OS1" s="301"/>
      <c r="OT1" s="301"/>
      <c r="OU1" s="301"/>
      <c r="OV1" s="301"/>
      <c r="OW1" s="301"/>
      <c r="OX1" s="301"/>
      <c r="OY1" s="301"/>
      <c r="OZ1" s="301"/>
      <c r="PA1" s="301"/>
      <c r="PB1" s="301"/>
      <c r="PC1" s="301"/>
      <c r="PD1" s="301"/>
      <c r="PE1" s="301"/>
      <c r="PF1" s="301"/>
      <c r="PG1" s="301"/>
      <c r="PH1" s="301"/>
      <c r="PI1" s="301"/>
      <c r="PJ1" s="301"/>
      <c r="PK1" s="301"/>
      <c r="PL1" s="301"/>
      <c r="PM1" s="301"/>
      <c r="PN1" s="301"/>
      <c r="PO1" s="301"/>
      <c r="PP1" s="301"/>
      <c r="PQ1" s="301"/>
      <c r="PR1" s="301"/>
      <c r="PS1" s="301"/>
      <c r="PT1" s="301"/>
      <c r="PU1" s="301"/>
      <c r="PV1" s="301"/>
      <c r="PW1" s="301"/>
      <c r="PX1" s="301"/>
      <c r="PY1" s="301"/>
      <c r="PZ1" s="301"/>
      <c r="QA1" s="301"/>
      <c r="QB1" s="301"/>
      <c r="QC1" s="301"/>
      <c r="QD1" s="301"/>
      <c r="QE1" s="301"/>
      <c r="QF1" s="301"/>
      <c r="QG1" s="301"/>
      <c r="QH1" s="301"/>
      <c r="QI1" s="301"/>
      <c r="QJ1" s="301"/>
      <c r="QK1" s="301"/>
      <c r="QL1" s="301"/>
      <c r="QM1" s="301"/>
      <c r="QN1" s="301"/>
      <c r="QO1" s="301"/>
      <c r="QP1" s="301"/>
      <c r="QQ1" s="301"/>
      <c r="QR1" s="301"/>
      <c r="QS1" s="301"/>
      <c r="QT1" s="301"/>
      <c r="QU1" s="301"/>
      <c r="QV1" s="301"/>
      <c r="QW1" s="301"/>
      <c r="QX1" s="301"/>
      <c r="QY1" s="301"/>
      <c r="QZ1" s="301"/>
      <c r="RA1" s="301"/>
      <c r="RB1" s="301"/>
      <c r="RC1" s="301"/>
      <c r="RD1" s="301"/>
      <c r="RE1" s="301"/>
      <c r="RF1" s="301"/>
      <c r="RG1" s="301"/>
      <c r="RH1" s="301"/>
      <c r="RI1" s="301"/>
      <c r="RJ1" s="301"/>
      <c r="RK1" s="301"/>
      <c r="RL1" s="301"/>
      <c r="RM1" s="301"/>
      <c r="RN1" s="301"/>
      <c r="RO1" s="301"/>
      <c r="RP1" s="301"/>
      <c r="RQ1" s="301"/>
      <c r="RR1" s="301"/>
      <c r="RS1" s="301"/>
      <c r="RT1" s="301"/>
      <c r="RU1" s="301"/>
      <c r="RV1" s="301"/>
      <c r="RW1" s="301"/>
      <c r="RX1" s="301"/>
      <c r="RY1" s="301"/>
      <c r="RZ1" s="301"/>
      <c r="SA1" s="301"/>
      <c r="SB1" s="301"/>
      <c r="SC1" s="301"/>
      <c r="SD1" s="301"/>
      <c r="SE1" s="301"/>
      <c r="SF1" s="301"/>
      <c r="SG1" s="301"/>
      <c r="SH1" s="301"/>
      <c r="SI1" s="301"/>
      <c r="SJ1" s="301"/>
      <c r="SK1" s="301"/>
      <c r="SL1" s="301"/>
      <c r="SM1" s="301"/>
      <c r="SN1" s="301"/>
      <c r="SO1" s="301"/>
      <c r="SP1" s="301"/>
      <c r="SQ1" s="301"/>
      <c r="SR1" s="301"/>
      <c r="SS1" s="301"/>
      <c r="ST1" s="301"/>
      <c r="SU1" s="301"/>
      <c r="SV1" s="301"/>
      <c r="SW1" s="301"/>
      <c r="SX1" s="301"/>
      <c r="SY1" s="301"/>
      <c r="SZ1" s="301"/>
      <c r="TA1" s="301"/>
      <c r="TB1" s="301"/>
      <c r="TC1" s="301"/>
      <c r="TD1" s="301"/>
      <c r="TE1" s="301"/>
      <c r="TF1" s="301"/>
      <c r="TG1" s="301"/>
      <c r="TH1" s="301"/>
      <c r="TI1" s="301"/>
      <c r="TJ1" s="301"/>
      <c r="TK1" s="301"/>
      <c r="TL1" s="301"/>
      <c r="TM1" s="301"/>
      <c r="TN1" s="301"/>
      <c r="TO1" s="301"/>
      <c r="TP1" s="301"/>
      <c r="TQ1" s="301"/>
      <c r="TR1" s="301"/>
      <c r="TS1" s="301"/>
      <c r="TT1" s="301"/>
      <c r="TU1" s="301"/>
      <c r="TV1" s="301"/>
      <c r="TW1" s="301"/>
      <c r="TX1" s="301"/>
      <c r="TY1" s="301"/>
      <c r="TZ1" s="301"/>
      <c r="UA1" s="301"/>
      <c r="UB1" s="301"/>
      <c r="UC1" s="301"/>
      <c r="UD1" s="301"/>
      <c r="UE1" s="301"/>
      <c r="UF1" s="301"/>
      <c r="UG1" s="301"/>
      <c r="UH1" s="301"/>
      <c r="UI1" s="301"/>
      <c r="UJ1" s="301"/>
      <c r="UK1" s="301"/>
      <c r="UL1" s="301"/>
      <c r="UM1" s="301"/>
      <c r="UN1" s="301"/>
      <c r="UO1" s="301"/>
      <c r="UP1" s="301"/>
      <c r="UQ1" s="301"/>
      <c r="UR1" s="301"/>
      <c r="US1" s="301"/>
      <c r="UT1" s="301"/>
      <c r="UU1" s="301"/>
      <c r="UV1" s="301"/>
      <c r="UW1" s="301"/>
      <c r="UX1" s="301"/>
      <c r="UY1" s="301"/>
      <c r="UZ1" s="301"/>
      <c r="VA1" s="301"/>
      <c r="VB1" s="301"/>
      <c r="VC1" s="301"/>
      <c r="VD1" s="301"/>
      <c r="VE1" s="301"/>
      <c r="VF1" s="301"/>
      <c r="VG1" s="301"/>
      <c r="VH1" s="301"/>
      <c r="VI1" s="301"/>
      <c r="VJ1" s="301"/>
      <c r="VK1" s="301"/>
      <c r="VL1" s="301"/>
      <c r="VM1" s="301"/>
      <c r="VN1" s="301"/>
      <c r="VO1" s="301"/>
      <c r="VP1" s="301"/>
      <c r="VQ1" s="301"/>
      <c r="VR1" s="301"/>
      <c r="VS1" s="301"/>
      <c r="VT1" s="301"/>
      <c r="VU1" s="301"/>
      <c r="VV1" s="301"/>
      <c r="VW1" s="301"/>
      <c r="VX1" s="301"/>
      <c r="VY1" s="301"/>
      <c r="VZ1" s="301"/>
      <c r="WA1" s="301"/>
      <c r="WB1" s="301"/>
      <c r="WC1" s="301"/>
      <c r="WD1" s="301"/>
      <c r="WE1" s="301"/>
      <c r="WF1" s="301"/>
      <c r="WG1" s="301"/>
      <c r="WH1" s="301"/>
      <c r="WI1" s="301"/>
      <c r="WJ1" s="301"/>
      <c r="WK1" s="301"/>
      <c r="WL1" s="301"/>
      <c r="WM1" s="301"/>
      <c r="WN1" s="301"/>
      <c r="WO1" s="301"/>
      <c r="WP1" s="301"/>
      <c r="WQ1" s="301"/>
      <c r="WR1" s="301"/>
      <c r="WS1" s="301"/>
      <c r="WT1" s="301"/>
      <c r="WU1" s="301"/>
      <c r="WV1" s="301"/>
      <c r="WW1" s="301"/>
      <c r="WX1" s="301"/>
      <c r="WY1" s="301"/>
      <c r="WZ1" s="301"/>
      <c r="XA1" s="301"/>
      <c r="XB1" s="301"/>
      <c r="XC1" s="301"/>
      <c r="XD1" s="301"/>
      <c r="XE1" s="301"/>
      <c r="XF1" s="301"/>
      <c r="XG1" s="301"/>
      <c r="XH1" s="301"/>
      <c r="XI1" s="301"/>
      <c r="XJ1" s="301"/>
      <c r="XK1" s="301"/>
      <c r="XL1" s="301"/>
      <c r="XM1" s="301"/>
      <c r="XN1" s="301"/>
      <c r="XO1" s="301"/>
      <c r="XP1" s="301"/>
      <c r="XQ1" s="301"/>
      <c r="XR1" s="301"/>
      <c r="XS1" s="301"/>
      <c r="XT1" s="301"/>
      <c r="XU1" s="301"/>
      <c r="XV1" s="301"/>
      <c r="XW1" s="301"/>
      <c r="XX1" s="301"/>
      <c r="XY1" s="301"/>
      <c r="XZ1" s="301"/>
      <c r="YA1" s="301"/>
      <c r="YB1" s="301"/>
      <c r="YC1" s="301"/>
      <c r="YD1" s="301"/>
      <c r="YE1" s="301"/>
      <c r="YF1" s="301"/>
      <c r="YG1" s="301"/>
      <c r="YH1" s="301"/>
      <c r="YI1" s="301"/>
      <c r="YJ1" s="301"/>
      <c r="YK1" s="301"/>
      <c r="YL1" s="301"/>
      <c r="YM1" s="301"/>
      <c r="YN1" s="301"/>
      <c r="YO1" s="301"/>
      <c r="YP1" s="301"/>
      <c r="YQ1" s="301"/>
      <c r="YR1" s="301"/>
      <c r="YS1" s="301"/>
      <c r="YT1" s="301"/>
      <c r="YU1" s="301"/>
      <c r="YV1" s="301"/>
      <c r="YW1" s="301"/>
      <c r="YX1" s="301"/>
      <c r="YY1" s="301"/>
      <c r="YZ1" s="301"/>
      <c r="ZA1" s="301"/>
      <c r="ZB1" s="301"/>
      <c r="ZC1" s="301"/>
      <c r="ZD1" s="301"/>
      <c r="ZE1" s="301"/>
      <c r="ZF1" s="301"/>
      <c r="ZG1" s="301"/>
      <c r="ZH1" s="301"/>
      <c r="ZI1" s="301"/>
      <c r="ZJ1" s="301"/>
      <c r="ZK1" s="301"/>
      <c r="ZL1" s="301"/>
      <c r="ZM1" s="301"/>
      <c r="ZN1" s="301"/>
      <c r="ZO1" s="301"/>
      <c r="ZP1" s="301"/>
      <c r="ZQ1" s="301"/>
      <c r="ZR1" s="301"/>
      <c r="ZS1" s="301"/>
      <c r="ZT1" s="301"/>
      <c r="ZU1" s="301"/>
      <c r="ZV1" s="301"/>
      <c r="ZW1" s="301"/>
      <c r="ZX1" s="301"/>
      <c r="ZY1" s="301"/>
      <c r="ZZ1" s="301"/>
      <c r="AAA1" s="301"/>
      <c r="AAB1" s="301"/>
      <c r="AAC1" s="301"/>
      <c r="AAD1" s="301"/>
      <c r="AAE1" s="301"/>
      <c r="AAF1" s="301"/>
      <c r="AAG1" s="301"/>
      <c r="AAH1" s="301"/>
      <c r="AAI1" s="301"/>
      <c r="AAJ1" s="301"/>
      <c r="AAK1" s="301"/>
      <c r="AAL1" s="301"/>
      <c r="AAM1" s="301"/>
      <c r="AAN1" s="301"/>
      <c r="AAO1" s="301"/>
      <c r="AAP1" s="301"/>
      <c r="AAQ1" s="301"/>
      <c r="AAR1" s="301"/>
      <c r="AAS1" s="301"/>
      <c r="AAT1" s="301"/>
      <c r="AAU1" s="301"/>
      <c r="AAV1" s="301"/>
      <c r="AAW1" s="301"/>
      <c r="AAX1" s="301"/>
      <c r="AAY1" s="301"/>
      <c r="AAZ1" s="301"/>
      <c r="ABA1" s="301"/>
      <c r="ABB1" s="301"/>
      <c r="ABC1" s="301"/>
      <c r="ABD1" s="301"/>
      <c r="ABE1" s="301"/>
      <c r="ABF1" s="301"/>
      <c r="ABG1" s="301"/>
      <c r="ABH1" s="301"/>
      <c r="ABI1" s="301"/>
      <c r="ABJ1" s="301"/>
      <c r="ABK1" s="301"/>
      <c r="ABL1" s="301"/>
      <c r="ABM1" s="301"/>
      <c r="ABN1" s="301"/>
      <c r="ABO1" s="301"/>
      <c r="ABP1" s="301"/>
      <c r="ABQ1" s="301"/>
      <c r="ABR1" s="301"/>
      <c r="ABS1" s="301"/>
      <c r="ABT1" s="301"/>
      <c r="ABU1" s="301"/>
      <c r="ABV1" s="301"/>
      <c r="ABW1" s="301"/>
      <c r="ABX1" s="301"/>
      <c r="ABY1" s="301"/>
      <c r="ABZ1" s="301"/>
      <c r="ACA1" s="301"/>
      <c r="ACB1" s="301"/>
      <c r="ACC1" s="301"/>
      <c r="ACD1" s="301"/>
      <c r="ACE1" s="301"/>
      <c r="ACF1" s="301"/>
      <c r="ACG1" s="301"/>
      <c r="ACH1" s="301"/>
      <c r="ACI1" s="301"/>
      <c r="ACJ1" s="301"/>
      <c r="ACK1" s="301"/>
      <c r="ACL1" s="301"/>
      <c r="ACM1" s="301"/>
      <c r="ACN1" s="301"/>
      <c r="ACO1" s="301"/>
      <c r="ACP1" s="301"/>
      <c r="ACQ1" s="301"/>
      <c r="ACR1" s="301"/>
      <c r="ACS1" s="301"/>
      <c r="ACT1" s="301"/>
      <c r="ACU1" s="301"/>
      <c r="ACV1" s="301"/>
      <c r="ACW1" s="301"/>
      <c r="ACX1" s="301"/>
      <c r="ACY1" s="301"/>
      <c r="ACZ1" s="301"/>
      <c r="ADA1" s="301"/>
      <c r="ADB1" s="301"/>
      <c r="ADC1" s="301"/>
      <c r="ADD1" s="301"/>
      <c r="ADE1" s="301"/>
      <c r="ADF1" s="301"/>
      <c r="ADG1" s="301"/>
      <c r="ADH1" s="301"/>
      <c r="ADI1" s="301"/>
      <c r="ADJ1" s="301"/>
      <c r="ADK1" s="301"/>
      <c r="ADL1" s="301"/>
      <c r="ADM1" s="301"/>
      <c r="ADN1" s="301"/>
      <c r="ADO1" s="301"/>
      <c r="ADP1" s="301"/>
      <c r="ADQ1" s="301"/>
      <c r="ADR1" s="301"/>
      <c r="ADS1" s="301"/>
      <c r="ADT1" s="301"/>
      <c r="ADU1" s="301"/>
      <c r="ADV1" s="301"/>
      <c r="ADW1" s="301"/>
      <c r="ADX1" s="301"/>
      <c r="ADY1" s="301"/>
      <c r="ADZ1" s="301"/>
      <c r="AEA1" s="301"/>
      <c r="AEB1" s="301"/>
      <c r="AEC1" s="301"/>
      <c r="AED1" s="301"/>
      <c r="AEE1" s="301"/>
      <c r="AEF1" s="301"/>
      <c r="AEG1" s="301"/>
      <c r="AEH1" s="301"/>
      <c r="AEI1" s="301"/>
      <c r="AEJ1" s="301"/>
      <c r="AEK1" s="301"/>
      <c r="AEL1" s="301"/>
      <c r="AEM1" s="301"/>
      <c r="AEN1" s="301"/>
      <c r="AEO1" s="301"/>
      <c r="AEP1" s="301"/>
      <c r="AEQ1" s="301"/>
      <c r="AER1" s="301"/>
      <c r="AES1" s="301"/>
      <c r="AET1" s="301"/>
      <c r="AEU1" s="301"/>
      <c r="AEV1" s="301"/>
      <c r="AEW1" s="301"/>
      <c r="AEX1" s="301"/>
      <c r="AEY1" s="301"/>
      <c r="AEZ1" s="301"/>
      <c r="AFA1" s="301"/>
      <c r="AFB1" s="301"/>
      <c r="AFC1" s="301"/>
      <c r="AFD1" s="301"/>
      <c r="AFE1" s="301"/>
      <c r="AFF1" s="301"/>
      <c r="AFG1" s="301"/>
      <c r="AFH1" s="301"/>
      <c r="AFI1" s="301"/>
      <c r="AFJ1" s="301"/>
      <c r="AFK1" s="301"/>
      <c r="AFL1" s="301"/>
      <c r="AFM1" s="301"/>
      <c r="AFN1" s="301"/>
      <c r="AFO1" s="301"/>
      <c r="AFP1" s="301"/>
      <c r="AFQ1" s="301"/>
      <c r="AFR1" s="301"/>
      <c r="AFS1" s="301"/>
      <c r="AFT1" s="301"/>
      <c r="AFU1" s="301"/>
      <c r="AFV1" s="301"/>
      <c r="AFW1" s="301"/>
      <c r="AFX1" s="301"/>
      <c r="AFY1" s="301"/>
      <c r="AFZ1" s="301"/>
      <c r="AGA1" s="301"/>
      <c r="AGB1" s="301"/>
      <c r="AGC1" s="301"/>
      <c r="AGD1" s="301"/>
      <c r="AGE1" s="301"/>
      <c r="AGF1" s="301"/>
      <c r="AGG1" s="301"/>
      <c r="AGH1" s="301"/>
      <c r="AGI1" s="301"/>
      <c r="AGJ1" s="301"/>
      <c r="AGK1" s="301"/>
      <c r="AGL1" s="301"/>
      <c r="AGM1" s="301"/>
      <c r="AGN1" s="301"/>
      <c r="AGO1" s="301"/>
      <c r="AGP1" s="301"/>
      <c r="AGQ1" s="301"/>
      <c r="AGR1" s="301"/>
      <c r="AGS1" s="301"/>
      <c r="AGT1" s="301"/>
      <c r="AGU1" s="301"/>
      <c r="AGV1" s="301"/>
      <c r="AGW1" s="301"/>
      <c r="AGX1" s="301"/>
      <c r="AGY1" s="301"/>
      <c r="AGZ1" s="301"/>
      <c r="AHA1" s="301"/>
      <c r="AHB1" s="301"/>
      <c r="AHC1" s="301"/>
      <c r="AHD1" s="301"/>
      <c r="AHE1" s="301"/>
      <c r="AHF1" s="301"/>
      <c r="AHG1" s="301"/>
      <c r="AHH1" s="301"/>
      <c r="AHI1" s="301"/>
      <c r="AHJ1" s="301"/>
      <c r="AHK1" s="301"/>
      <c r="AHL1" s="301"/>
      <c r="AHM1" s="301"/>
      <c r="AHN1" s="301"/>
      <c r="AHO1" s="301"/>
      <c r="AHP1" s="301"/>
      <c r="AHQ1" s="301"/>
      <c r="AHR1" s="301"/>
      <c r="AHS1" s="301"/>
      <c r="AHT1" s="301"/>
      <c r="AHU1" s="301"/>
      <c r="AHV1" s="301"/>
      <c r="AHW1" s="301"/>
      <c r="AHX1" s="301"/>
      <c r="AHY1" s="301"/>
      <c r="AHZ1" s="301"/>
      <c r="AIA1" s="301"/>
      <c r="AIB1" s="301"/>
      <c r="AIC1" s="301"/>
      <c r="AID1" s="301"/>
      <c r="AIE1" s="301"/>
      <c r="AIF1" s="301"/>
      <c r="AIG1" s="301"/>
      <c r="AIH1" s="301"/>
      <c r="AII1" s="301"/>
      <c r="AIJ1" s="301"/>
      <c r="AIK1" s="301"/>
      <c r="AIL1" s="301"/>
      <c r="AIM1" s="301"/>
      <c r="AIN1" s="301"/>
      <c r="AIO1" s="301"/>
      <c r="AIP1" s="301"/>
      <c r="AIQ1" s="301"/>
      <c r="AIR1" s="301"/>
      <c r="AIS1" s="301"/>
      <c r="AIT1" s="301"/>
      <c r="AIU1" s="301"/>
      <c r="AIV1" s="301"/>
      <c r="AIW1" s="301"/>
      <c r="AIX1" s="301"/>
      <c r="AIY1" s="301"/>
      <c r="AIZ1" s="301"/>
      <c r="AJA1" s="301"/>
      <c r="AJB1" s="301"/>
      <c r="AJC1" s="301"/>
      <c r="AJD1" s="301"/>
      <c r="AJE1" s="301"/>
      <c r="AJF1" s="301"/>
      <c r="AJG1" s="301"/>
      <c r="AJH1" s="301"/>
      <c r="AJI1" s="301"/>
      <c r="AJJ1" s="301"/>
      <c r="AJK1" s="301"/>
      <c r="AJL1" s="301"/>
      <c r="AJM1" s="301"/>
      <c r="AJN1" s="301"/>
      <c r="AJO1" s="301"/>
      <c r="AJP1" s="301"/>
      <c r="AJQ1" s="301"/>
      <c r="AJR1" s="301"/>
      <c r="AJS1" s="301"/>
      <c r="AJT1" s="301"/>
      <c r="AJU1" s="301"/>
      <c r="AJV1" s="301"/>
      <c r="AJW1" s="301"/>
      <c r="AJX1" s="301"/>
      <c r="AJY1" s="301"/>
      <c r="AJZ1" s="301"/>
      <c r="AKA1" s="301"/>
      <c r="AKB1" s="301"/>
      <c r="AKC1" s="301"/>
      <c r="AKD1" s="301"/>
      <c r="AKE1" s="301"/>
      <c r="AKF1" s="301"/>
      <c r="AKG1" s="301"/>
      <c r="AKH1" s="301"/>
      <c r="AKI1" s="301"/>
      <c r="AKJ1" s="301"/>
      <c r="AKK1" s="301"/>
      <c r="AKL1" s="301"/>
      <c r="AKM1" s="301"/>
      <c r="AKN1" s="301"/>
      <c r="AKO1" s="301"/>
      <c r="AKP1" s="301"/>
      <c r="AKQ1" s="301"/>
      <c r="AKR1" s="301"/>
      <c r="AKS1" s="301"/>
      <c r="AKT1" s="301"/>
      <c r="AKU1" s="301"/>
      <c r="AKV1" s="301"/>
      <c r="AKW1" s="301"/>
      <c r="AKX1" s="301"/>
      <c r="AKY1" s="301"/>
      <c r="AKZ1" s="301"/>
      <c r="ALA1" s="301"/>
      <c r="ALB1" s="301"/>
      <c r="ALC1" s="301"/>
      <c r="ALD1" s="301"/>
      <c r="ALE1" s="301"/>
      <c r="ALF1" s="301"/>
      <c r="ALG1" s="301"/>
      <c r="ALH1" s="301"/>
      <c r="ALI1" s="301"/>
      <c r="ALJ1" s="301"/>
      <c r="ALK1" s="301"/>
      <c r="ALL1" s="301"/>
      <c r="ALM1" s="301"/>
      <c r="ALN1" s="301"/>
      <c r="ALO1" s="301"/>
      <c r="ALP1" s="301"/>
      <c r="ALQ1" s="301"/>
      <c r="ALR1" s="301"/>
      <c r="ALS1" s="301"/>
      <c r="ALT1" s="301"/>
      <c r="ALU1" s="301"/>
      <c r="ALV1" s="301"/>
      <c r="ALW1" s="301"/>
      <c r="ALX1" s="301"/>
      <c r="ALY1" s="301"/>
      <c r="ALZ1" s="301"/>
      <c r="AMA1" s="301"/>
      <c r="AMB1" s="301"/>
      <c r="AMC1" s="301"/>
      <c r="AMD1" s="301"/>
      <c r="AME1" s="301"/>
      <c r="AMF1" s="301"/>
      <c r="AMG1" s="301"/>
      <c r="AMH1" s="301"/>
      <c r="AMI1" s="301"/>
      <c r="AMJ1" s="301"/>
      <c r="AMK1" s="301"/>
      <c r="AML1" s="301"/>
      <c r="AMM1" s="301"/>
      <c r="AMN1" s="301"/>
      <c r="AMO1" s="301"/>
      <c r="AMP1" s="301"/>
      <c r="AMQ1" s="301"/>
      <c r="AMR1" s="301"/>
      <c r="AMS1" s="301"/>
      <c r="AMT1" s="301"/>
      <c r="AMU1" s="301"/>
      <c r="AMV1" s="301"/>
      <c r="AMW1" s="301"/>
      <c r="AMX1" s="301"/>
      <c r="AMY1" s="301"/>
      <c r="AMZ1" s="301"/>
      <c r="ANA1" s="301"/>
      <c r="ANB1" s="301"/>
      <c r="ANC1" s="301"/>
      <c r="AND1" s="301"/>
      <c r="ANE1" s="301"/>
      <c r="ANF1" s="301"/>
      <c r="ANG1" s="301"/>
      <c r="ANH1" s="301"/>
      <c r="ANI1" s="301"/>
      <c r="ANJ1" s="301"/>
      <c r="ANK1" s="301"/>
      <c r="ANL1" s="301"/>
      <c r="ANM1" s="301"/>
      <c r="ANN1" s="301"/>
      <c r="ANO1" s="301"/>
      <c r="ANP1" s="301"/>
      <c r="ANQ1" s="301"/>
      <c r="ANR1" s="301"/>
      <c r="ANS1" s="301"/>
      <c r="ANT1" s="301"/>
      <c r="ANU1" s="301"/>
      <c r="ANV1" s="301"/>
      <c r="ANW1" s="301"/>
      <c r="ANX1" s="301"/>
      <c r="ANY1" s="301"/>
      <c r="ANZ1" s="301"/>
      <c r="AOA1" s="301"/>
      <c r="AOB1" s="301"/>
      <c r="AOC1" s="301"/>
      <c r="AOD1" s="301"/>
      <c r="AOE1" s="301"/>
      <c r="AOF1" s="301"/>
      <c r="AOG1" s="301"/>
      <c r="AOH1" s="301"/>
      <c r="AOI1" s="301"/>
      <c r="AOJ1" s="301"/>
      <c r="AOK1" s="301"/>
      <c r="AOL1" s="301"/>
      <c r="AOM1" s="301"/>
      <c r="AON1" s="301"/>
      <c r="AOO1" s="301"/>
      <c r="AOP1" s="301"/>
      <c r="AOQ1" s="301"/>
      <c r="AOR1" s="301"/>
      <c r="AOS1" s="301"/>
      <c r="AOT1" s="301"/>
      <c r="AOU1" s="301"/>
      <c r="AOV1" s="301"/>
      <c r="AOW1" s="301"/>
      <c r="AOX1" s="301"/>
      <c r="AOY1" s="301"/>
      <c r="AOZ1" s="301"/>
      <c r="APA1" s="301"/>
      <c r="APB1" s="301"/>
      <c r="APC1" s="301"/>
      <c r="APD1" s="301"/>
      <c r="APE1" s="301"/>
      <c r="APF1" s="301"/>
      <c r="APG1" s="301"/>
      <c r="APH1" s="301"/>
      <c r="API1" s="301"/>
      <c r="APJ1" s="301"/>
      <c r="APK1" s="301"/>
      <c r="APL1" s="301"/>
      <c r="APM1" s="301"/>
      <c r="APN1" s="301"/>
      <c r="APO1" s="301"/>
      <c r="APP1" s="301"/>
      <c r="APQ1" s="301"/>
      <c r="APR1" s="301"/>
      <c r="APS1" s="301"/>
      <c r="APT1" s="301"/>
      <c r="APU1" s="301"/>
      <c r="APV1" s="301"/>
      <c r="APW1" s="301"/>
      <c r="APX1" s="301"/>
      <c r="APY1" s="301"/>
      <c r="APZ1" s="301"/>
      <c r="AQA1" s="301"/>
      <c r="AQB1" s="301"/>
      <c r="AQC1" s="301"/>
      <c r="AQD1" s="301"/>
      <c r="AQE1" s="301"/>
      <c r="AQF1" s="301"/>
      <c r="AQG1" s="301"/>
      <c r="AQH1" s="301"/>
      <c r="AQI1" s="301"/>
      <c r="AQJ1" s="301"/>
      <c r="AQK1" s="301"/>
      <c r="AQL1" s="301"/>
      <c r="AQM1" s="301"/>
      <c r="AQN1" s="301"/>
      <c r="AQO1" s="301"/>
      <c r="AQP1" s="301"/>
      <c r="AQQ1" s="301"/>
      <c r="AQR1" s="301"/>
      <c r="AQS1" s="301"/>
      <c r="AQT1" s="301"/>
      <c r="AQU1" s="301"/>
      <c r="AQV1" s="301"/>
      <c r="AQW1" s="301"/>
      <c r="AQX1" s="301"/>
      <c r="AQY1" s="301"/>
      <c r="AQZ1" s="301"/>
      <c r="ARA1" s="301"/>
      <c r="ARB1" s="301"/>
      <c r="ARC1" s="301"/>
      <c r="ARD1" s="301"/>
      <c r="ARE1" s="301"/>
      <c r="ARF1" s="301"/>
      <c r="ARG1" s="301"/>
      <c r="ARH1" s="301"/>
      <c r="ARI1" s="301"/>
      <c r="ARJ1" s="301"/>
      <c r="ARK1" s="301"/>
      <c r="ARL1" s="301"/>
      <c r="ARM1" s="301"/>
      <c r="ARN1" s="301"/>
      <c r="ARO1" s="301"/>
      <c r="ARP1" s="301"/>
      <c r="ARQ1" s="301"/>
      <c r="ARR1" s="301"/>
      <c r="ARS1" s="301"/>
      <c r="ART1" s="301"/>
      <c r="ARU1" s="301"/>
      <c r="ARV1" s="301"/>
      <c r="ARW1" s="301"/>
      <c r="ARX1" s="301"/>
      <c r="ARY1" s="301"/>
      <c r="ARZ1" s="301"/>
      <c r="ASA1" s="301"/>
      <c r="ASB1" s="301"/>
      <c r="ASC1" s="301"/>
      <c r="ASD1" s="301"/>
      <c r="ASE1" s="301"/>
      <c r="ASF1" s="301"/>
      <c r="ASG1" s="301"/>
      <c r="ASH1" s="301"/>
      <c r="ASI1" s="301"/>
      <c r="ASJ1" s="301"/>
      <c r="ASK1" s="301"/>
      <c r="ASL1" s="301"/>
      <c r="ASM1" s="301"/>
      <c r="ASN1" s="301"/>
      <c r="ASO1" s="301"/>
      <c r="ASP1" s="301"/>
      <c r="ASQ1" s="301"/>
      <c r="ASR1" s="301"/>
      <c r="ASS1" s="301"/>
      <c r="AST1" s="301"/>
      <c r="ASU1" s="301"/>
      <c r="ASV1" s="301"/>
      <c r="ASW1" s="301"/>
      <c r="ASX1" s="301"/>
      <c r="ASY1" s="301"/>
      <c r="ASZ1" s="301"/>
      <c r="ATA1" s="301"/>
      <c r="ATB1" s="301"/>
      <c r="ATC1" s="301"/>
      <c r="ATD1" s="301"/>
      <c r="ATE1" s="301"/>
      <c r="ATF1" s="301"/>
      <c r="ATG1" s="301"/>
      <c r="ATH1" s="301"/>
      <c r="ATI1" s="301"/>
      <c r="ATJ1" s="301"/>
      <c r="ATK1" s="301"/>
      <c r="ATL1" s="301"/>
      <c r="ATM1" s="301"/>
      <c r="ATN1" s="301"/>
      <c r="ATO1" s="301"/>
      <c r="ATP1" s="301"/>
      <c r="ATQ1" s="301"/>
      <c r="ATR1" s="301"/>
      <c r="ATS1" s="301"/>
      <c r="ATT1" s="301"/>
      <c r="ATU1" s="301"/>
      <c r="ATV1" s="301"/>
      <c r="ATW1" s="301"/>
      <c r="ATX1" s="301"/>
      <c r="ATY1" s="301"/>
      <c r="ATZ1" s="301"/>
      <c r="AUA1" s="301"/>
      <c r="AUB1" s="301"/>
      <c r="AUC1" s="301"/>
      <c r="AUD1" s="301"/>
      <c r="AUE1" s="301"/>
      <c r="AUF1" s="301"/>
      <c r="AUG1" s="301"/>
      <c r="AUH1" s="301"/>
      <c r="AUI1" s="301"/>
      <c r="AUJ1" s="301"/>
      <c r="AUK1" s="301"/>
      <c r="AUL1" s="301"/>
      <c r="AUM1" s="301"/>
      <c r="AUN1" s="301"/>
      <c r="AUO1" s="301"/>
      <c r="AUP1" s="301"/>
      <c r="AUQ1" s="301"/>
      <c r="AUR1" s="301"/>
      <c r="AUS1" s="301"/>
      <c r="AUT1" s="301"/>
      <c r="AUU1" s="301"/>
      <c r="AUV1" s="301"/>
      <c r="AUW1" s="301"/>
      <c r="AUX1" s="301"/>
      <c r="AUY1" s="301"/>
      <c r="AUZ1" s="301"/>
      <c r="AVA1" s="301"/>
      <c r="AVB1" s="301"/>
      <c r="AVC1" s="301"/>
      <c r="AVD1" s="301"/>
      <c r="AVE1" s="301"/>
      <c r="AVF1" s="301"/>
      <c r="AVG1" s="301"/>
      <c r="AVH1" s="301"/>
      <c r="AVI1" s="301"/>
      <c r="AVJ1" s="301"/>
      <c r="AVK1" s="301"/>
      <c r="AVL1" s="301"/>
      <c r="AVM1" s="301"/>
      <c r="AVN1" s="301"/>
      <c r="AVO1" s="301"/>
      <c r="AVP1" s="301"/>
      <c r="AVQ1" s="301"/>
      <c r="AVR1" s="301"/>
      <c r="AVS1" s="301"/>
      <c r="AVT1" s="301"/>
      <c r="AVU1" s="301"/>
      <c r="AVV1" s="301"/>
      <c r="AVW1" s="301"/>
      <c r="AVX1" s="301"/>
      <c r="AVY1" s="301"/>
      <c r="AVZ1" s="301"/>
      <c r="AWA1" s="301"/>
      <c r="AWB1" s="301"/>
      <c r="AWC1" s="301"/>
      <c r="AWD1" s="301"/>
      <c r="AWE1" s="301"/>
      <c r="AWF1" s="301"/>
      <c r="AWG1" s="301"/>
      <c r="AWH1" s="301"/>
      <c r="AWI1" s="301"/>
      <c r="AWJ1" s="301"/>
      <c r="AWK1" s="301"/>
      <c r="AWL1" s="301"/>
      <c r="AWM1" s="301"/>
      <c r="AWN1" s="301"/>
      <c r="AWO1" s="301"/>
      <c r="AWP1" s="301"/>
      <c r="AWQ1" s="301"/>
      <c r="AWR1" s="301"/>
      <c r="AWS1" s="301"/>
      <c r="AWT1" s="301"/>
      <c r="AWU1" s="301"/>
      <c r="AWV1" s="301"/>
      <c r="AWW1" s="301"/>
      <c r="AWX1" s="301"/>
      <c r="AWY1" s="301"/>
      <c r="AWZ1" s="301"/>
      <c r="AXA1" s="301"/>
      <c r="AXB1" s="301"/>
      <c r="AXC1" s="301"/>
      <c r="AXD1" s="301"/>
      <c r="AXE1" s="301"/>
      <c r="AXF1" s="301"/>
      <c r="AXG1" s="301"/>
      <c r="AXH1" s="301"/>
      <c r="AXI1" s="301"/>
      <c r="AXJ1" s="301"/>
      <c r="AXK1" s="301"/>
      <c r="AXL1" s="301"/>
      <c r="AXM1" s="301"/>
      <c r="AXN1" s="301"/>
      <c r="AXO1" s="301"/>
      <c r="AXP1" s="301"/>
      <c r="AXQ1" s="301"/>
      <c r="AXR1" s="301"/>
      <c r="AXS1" s="301"/>
      <c r="AXT1" s="301"/>
      <c r="AXU1" s="301"/>
      <c r="AXV1" s="301"/>
      <c r="AXW1" s="301"/>
      <c r="AXX1" s="301"/>
      <c r="AXY1" s="301"/>
      <c r="AXZ1" s="301"/>
      <c r="AYA1" s="301"/>
      <c r="AYB1" s="301"/>
      <c r="AYC1" s="301"/>
      <c r="AYD1" s="301"/>
      <c r="AYE1" s="301"/>
      <c r="AYF1" s="301"/>
      <c r="AYG1" s="301"/>
      <c r="AYH1" s="301"/>
      <c r="AYI1" s="301"/>
      <c r="AYJ1" s="301"/>
      <c r="AYK1" s="301"/>
      <c r="AYL1" s="301"/>
      <c r="AYM1" s="301"/>
      <c r="AYN1" s="301"/>
      <c r="AYO1" s="301"/>
      <c r="AYP1" s="301"/>
      <c r="AYQ1" s="301"/>
      <c r="AYR1" s="301"/>
      <c r="AYS1" s="301"/>
      <c r="AYT1" s="301"/>
      <c r="AYU1" s="301"/>
      <c r="AYV1" s="301"/>
      <c r="AYW1" s="301"/>
      <c r="AYX1" s="301"/>
      <c r="AYY1" s="301"/>
      <c r="AYZ1" s="301"/>
      <c r="AZA1" s="301"/>
      <c r="AZB1" s="301"/>
      <c r="AZC1" s="301"/>
      <c r="AZD1" s="301"/>
      <c r="AZE1" s="301"/>
      <c r="AZF1" s="301"/>
      <c r="AZG1" s="301"/>
      <c r="AZH1" s="301"/>
      <c r="AZI1" s="301"/>
      <c r="AZJ1" s="301"/>
      <c r="AZK1" s="301"/>
      <c r="AZL1" s="301"/>
      <c r="AZM1" s="301"/>
      <c r="AZN1" s="301"/>
      <c r="AZO1" s="301"/>
      <c r="AZP1" s="301"/>
      <c r="AZQ1" s="301"/>
      <c r="AZR1" s="301"/>
      <c r="AZS1" s="301"/>
      <c r="AZT1" s="301"/>
      <c r="AZU1" s="301"/>
      <c r="AZV1" s="301"/>
      <c r="AZW1" s="301"/>
      <c r="AZX1" s="301"/>
      <c r="AZY1" s="301"/>
      <c r="AZZ1" s="301"/>
      <c r="BAA1" s="301"/>
      <c r="BAB1" s="301"/>
      <c r="BAC1" s="301"/>
      <c r="BAD1" s="301"/>
      <c r="BAE1" s="301"/>
      <c r="BAF1" s="301"/>
      <c r="BAG1" s="301"/>
      <c r="BAH1" s="301"/>
      <c r="BAI1" s="301"/>
      <c r="BAJ1" s="301"/>
      <c r="BAK1" s="301"/>
      <c r="BAL1" s="301"/>
      <c r="BAM1" s="301"/>
      <c r="BAN1" s="301"/>
      <c r="BAO1" s="301"/>
      <c r="BAP1" s="301"/>
      <c r="BAQ1" s="301"/>
      <c r="BAR1" s="301"/>
      <c r="BAS1" s="301"/>
      <c r="BAT1" s="301"/>
      <c r="BAU1" s="301"/>
      <c r="BAV1" s="301"/>
      <c r="BAW1" s="301"/>
      <c r="BAX1" s="301"/>
      <c r="BAY1" s="301"/>
      <c r="BAZ1" s="301"/>
      <c r="BBA1" s="301"/>
      <c r="BBB1" s="301"/>
      <c r="BBC1" s="301"/>
      <c r="BBD1" s="301"/>
      <c r="BBE1" s="301"/>
      <c r="BBF1" s="301"/>
      <c r="BBG1" s="301"/>
      <c r="BBH1" s="301"/>
      <c r="BBI1" s="301"/>
      <c r="BBJ1" s="301"/>
      <c r="BBK1" s="301"/>
      <c r="BBL1" s="301"/>
      <c r="BBM1" s="301"/>
      <c r="BBN1" s="301"/>
      <c r="BBO1" s="301"/>
      <c r="BBP1" s="301"/>
      <c r="BBQ1" s="301"/>
      <c r="BBR1" s="301"/>
      <c r="BBS1" s="301"/>
      <c r="BBT1" s="301"/>
      <c r="BBU1" s="301"/>
      <c r="BBV1" s="301"/>
      <c r="BBW1" s="301"/>
      <c r="BBX1" s="301"/>
      <c r="BBY1" s="301"/>
      <c r="BBZ1" s="301"/>
      <c r="BCA1" s="301"/>
      <c r="BCB1" s="301"/>
      <c r="BCC1" s="301"/>
      <c r="BCD1" s="301"/>
      <c r="BCE1" s="301"/>
      <c r="BCF1" s="301"/>
      <c r="BCG1" s="301"/>
      <c r="BCH1" s="301"/>
      <c r="BCI1" s="301"/>
      <c r="BCJ1" s="301"/>
      <c r="BCK1" s="301"/>
      <c r="BCL1" s="301"/>
      <c r="BCM1" s="301"/>
      <c r="BCN1" s="301"/>
      <c r="BCO1" s="301"/>
      <c r="BCP1" s="301"/>
      <c r="BCQ1" s="301"/>
      <c r="BCR1" s="301"/>
      <c r="BCS1" s="301"/>
      <c r="BCT1" s="301"/>
      <c r="BCU1" s="301"/>
      <c r="BCV1" s="301"/>
      <c r="BCW1" s="301"/>
      <c r="BCX1" s="301"/>
      <c r="BCY1" s="301"/>
      <c r="BCZ1" s="301"/>
      <c r="BDA1" s="301"/>
      <c r="BDB1" s="301"/>
      <c r="BDC1" s="301"/>
      <c r="BDD1" s="301"/>
      <c r="BDE1" s="301"/>
      <c r="BDF1" s="301"/>
      <c r="BDG1" s="301"/>
      <c r="BDH1" s="301"/>
      <c r="BDI1" s="301"/>
      <c r="BDJ1" s="301"/>
      <c r="BDK1" s="301"/>
      <c r="BDL1" s="301"/>
      <c r="BDM1" s="301"/>
      <c r="BDN1" s="301"/>
      <c r="BDO1" s="301"/>
      <c r="BDP1" s="301"/>
      <c r="BDQ1" s="301"/>
      <c r="BDR1" s="301"/>
      <c r="BDS1" s="301"/>
      <c r="BDT1" s="301"/>
      <c r="BDU1" s="301"/>
      <c r="BDV1" s="301"/>
      <c r="BDW1" s="301"/>
      <c r="BDX1" s="301"/>
      <c r="BDY1" s="301"/>
      <c r="BDZ1" s="301"/>
      <c r="BEA1" s="301"/>
      <c r="BEB1" s="301"/>
      <c r="BEC1" s="301"/>
      <c r="BED1" s="301"/>
      <c r="BEE1" s="301"/>
      <c r="BEF1" s="301"/>
      <c r="BEG1" s="301"/>
      <c r="BEH1" s="301"/>
      <c r="BEI1" s="301"/>
      <c r="BEJ1" s="301"/>
      <c r="BEK1" s="301"/>
      <c r="BEL1" s="301"/>
      <c r="BEM1" s="301"/>
      <c r="BEN1" s="301"/>
      <c r="BEO1" s="301"/>
      <c r="BEP1" s="301"/>
      <c r="BEQ1" s="301"/>
      <c r="BER1" s="301"/>
      <c r="BES1" s="301"/>
      <c r="BET1" s="301"/>
      <c r="BEU1" s="301"/>
      <c r="BEV1" s="301"/>
      <c r="BEW1" s="301"/>
      <c r="BEX1" s="301"/>
      <c r="BEY1" s="301"/>
      <c r="BEZ1" s="301"/>
      <c r="BFA1" s="301"/>
      <c r="BFB1" s="301"/>
      <c r="BFC1" s="301"/>
      <c r="BFD1" s="301"/>
      <c r="BFE1" s="301"/>
      <c r="BFF1" s="301"/>
      <c r="BFG1" s="301"/>
      <c r="BFH1" s="301"/>
      <c r="BFI1" s="301"/>
      <c r="BFJ1" s="301"/>
      <c r="BFK1" s="301"/>
      <c r="BFL1" s="301"/>
      <c r="BFM1" s="301"/>
      <c r="BFN1" s="301"/>
      <c r="BFO1" s="301"/>
      <c r="BFP1" s="301"/>
      <c r="BFQ1" s="301"/>
      <c r="BFR1" s="301"/>
      <c r="BFS1" s="301"/>
      <c r="BFT1" s="301"/>
      <c r="BFU1" s="301"/>
      <c r="BFV1" s="301"/>
      <c r="BFW1" s="301"/>
      <c r="BFX1" s="301"/>
      <c r="BFY1" s="301"/>
      <c r="BFZ1" s="301"/>
      <c r="BGA1" s="301"/>
      <c r="BGB1" s="301"/>
      <c r="BGC1" s="301"/>
      <c r="BGD1" s="301"/>
      <c r="BGE1" s="301"/>
      <c r="BGF1" s="301"/>
      <c r="BGG1" s="301"/>
      <c r="BGH1" s="301"/>
      <c r="BGI1" s="301"/>
      <c r="BGJ1" s="301"/>
      <c r="BGK1" s="301"/>
      <c r="BGL1" s="301"/>
      <c r="BGM1" s="301"/>
      <c r="BGN1" s="301"/>
      <c r="BGO1" s="301"/>
      <c r="BGP1" s="301"/>
      <c r="BGQ1" s="301"/>
      <c r="BGR1" s="301"/>
      <c r="BGS1" s="301"/>
      <c r="BGT1" s="301"/>
      <c r="BGU1" s="301"/>
      <c r="BGV1" s="301"/>
      <c r="BGW1" s="301"/>
      <c r="BGX1" s="301"/>
      <c r="BGY1" s="301"/>
      <c r="BGZ1" s="301"/>
      <c r="BHA1" s="301"/>
      <c r="BHB1" s="301"/>
      <c r="BHC1" s="301"/>
      <c r="BHD1" s="301"/>
      <c r="BHE1" s="301"/>
      <c r="BHF1" s="301"/>
      <c r="BHG1" s="301"/>
      <c r="BHH1" s="301"/>
      <c r="BHI1" s="301"/>
      <c r="BHJ1" s="301"/>
      <c r="BHK1" s="301"/>
      <c r="BHL1" s="301"/>
      <c r="BHM1" s="301"/>
      <c r="BHN1" s="301"/>
      <c r="BHO1" s="301"/>
      <c r="BHP1" s="301"/>
      <c r="BHQ1" s="301"/>
      <c r="BHR1" s="301"/>
      <c r="BHS1" s="301"/>
      <c r="BHT1" s="301"/>
      <c r="BHU1" s="301"/>
      <c r="BHV1" s="301"/>
      <c r="BHW1" s="301"/>
      <c r="BHX1" s="301"/>
      <c r="BHY1" s="301"/>
      <c r="BHZ1" s="301"/>
      <c r="BIA1" s="301"/>
      <c r="BIB1" s="301"/>
      <c r="BIC1" s="301"/>
      <c r="BID1" s="301"/>
      <c r="BIE1" s="301"/>
      <c r="BIF1" s="301"/>
      <c r="BIG1" s="301"/>
      <c r="BIH1" s="301"/>
      <c r="BII1" s="301"/>
      <c r="BIJ1" s="301"/>
      <c r="BIK1" s="301"/>
      <c r="BIL1" s="301"/>
      <c r="BIM1" s="301"/>
      <c r="BIN1" s="301"/>
      <c r="BIO1" s="301"/>
      <c r="BIP1" s="301"/>
      <c r="BIQ1" s="301"/>
      <c r="BIR1" s="301"/>
      <c r="BIS1" s="301"/>
      <c r="BIT1" s="301"/>
      <c r="BIU1" s="301"/>
      <c r="BIV1" s="301"/>
      <c r="BIW1" s="301"/>
      <c r="BIX1" s="301"/>
      <c r="BIY1" s="301"/>
      <c r="BIZ1" s="301"/>
      <c r="BJA1" s="301"/>
      <c r="BJB1" s="301"/>
      <c r="BJC1" s="301"/>
      <c r="BJD1" s="301"/>
      <c r="BJE1" s="301"/>
      <c r="BJF1" s="301"/>
      <c r="BJG1" s="301"/>
      <c r="BJH1" s="301"/>
      <c r="BJI1" s="301"/>
      <c r="BJJ1" s="301"/>
      <c r="BJK1" s="301"/>
      <c r="BJL1" s="301"/>
      <c r="BJM1" s="301"/>
      <c r="BJN1" s="301"/>
      <c r="BJO1" s="301"/>
      <c r="BJP1" s="301"/>
      <c r="BJQ1" s="301"/>
      <c r="BJR1" s="301"/>
      <c r="BJS1" s="301"/>
      <c r="BJT1" s="301"/>
      <c r="BJU1" s="301"/>
      <c r="BJV1" s="301"/>
      <c r="BJW1" s="301"/>
      <c r="BJX1" s="301"/>
      <c r="BJY1" s="301"/>
      <c r="BJZ1" s="301"/>
      <c r="BKA1" s="301"/>
      <c r="BKB1" s="301"/>
      <c r="BKC1" s="301"/>
      <c r="BKD1" s="301"/>
      <c r="BKE1" s="301"/>
      <c r="BKF1" s="301"/>
      <c r="BKG1" s="301"/>
      <c r="BKH1" s="301"/>
      <c r="BKI1" s="301"/>
      <c r="BKJ1" s="301"/>
      <c r="BKK1" s="301"/>
      <c r="BKL1" s="301"/>
      <c r="BKM1" s="301"/>
      <c r="BKN1" s="301"/>
      <c r="BKO1" s="301"/>
      <c r="BKP1" s="301"/>
      <c r="BKQ1" s="301"/>
      <c r="BKR1" s="301"/>
      <c r="BKS1" s="301"/>
      <c r="BKT1" s="301"/>
      <c r="BKU1" s="301"/>
      <c r="BKV1" s="301"/>
      <c r="BKW1" s="301"/>
      <c r="BKX1" s="301"/>
      <c r="BKY1" s="301"/>
      <c r="BKZ1" s="301"/>
      <c r="BLA1" s="301"/>
      <c r="BLB1" s="301"/>
      <c r="BLC1" s="301"/>
      <c r="BLD1" s="301"/>
      <c r="BLE1" s="301"/>
      <c r="BLF1" s="301"/>
      <c r="BLG1" s="301"/>
      <c r="BLH1" s="301"/>
      <c r="BLI1" s="301"/>
      <c r="BLJ1" s="301"/>
      <c r="BLK1" s="301"/>
      <c r="BLL1" s="301"/>
      <c r="BLM1" s="301"/>
      <c r="BLN1" s="301"/>
      <c r="BLO1" s="301"/>
      <c r="BLP1" s="301"/>
      <c r="BLQ1" s="301"/>
      <c r="BLR1" s="301"/>
      <c r="BLS1" s="301"/>
      <c r="BLT1" s="301"/>
      <c r="BLU1" s="301"/>
      <c r="BLV1" s="301"/>
      <c r="BLW1" s="301"/>
      <c r="BLX1" s="301"/>
      <c r="BLY1" s="301"/>
      <c r="BLZ1" s="301"/>
      <c r="BMA1" s="301"/>
      <c r="BMB1" s="301"/>
      <c r="BMC1" s="301"/>
      <c r="BMD1" s="301"/>
      <c r="BME1" s="301"/>
      <c r="BMF1" s="301"/>
      <c r="BMG1" s="301"/>
      <c r="BMH1" s="301"/>
      <c r="BMI1" s="301"/>
      <c r="BMJ1" s="301"/>
      <c r="BMK1" s="301"/>
      <c r="BML1" s="301"/>
      <c r="BMM1" s="301"/>
      <c r="BMN1" s="301"/>
      <c r="BMO1" s="301"/>
      <c r="BMP1" s="301"/>
      <c r="BMQ1" s="301"/>
      <c r="BMR1" s="301"/>
      <c r="BMS1" s="301"/>
      <c r="BMT1" s="301"/>
      <c r="BMU1" s="301"/>
      <c r="BMV1" s="301"/>
      <c r="BMW1" s="301"/>
      <c r="BMX1" s="301"/>
      <c r="BMY1" s="301"/>
      <c r="BMZ1" s="301"/>
      <c r="BNA1" s="301"/>
      <c r="BNB1" s="301"/>
      <c r="BNC1" s="301"/>
      <c r="BND1" s="301"/>
      <c r="BNE1" s="301"/>
      <c r="BNF1" s="301"/>
      <c r="BNG1" s="301"/>
      <c r="BNH1" s="301"/>
      <c r="BNI1" s="301"/>
      <c r="BNJ1" s="301"/>
      <c r="BNK1" s="301"/>
      <c r="BNL1" s="301"/>
      <c r="BNM1" s="301"/>
      <c r="BNN1" s="301"/>
      <c r="BNO1" s="301"/>
      <c r="BNP1" s="301"/>
      <c r="BNQ1" s="301"/>
      <c r="BNR1" s="301"/>
      <c r="BNS1" s="301"/>
      <c r="BNT1" s="301"/>
      <c r="BNU1" s="301"/>
      <c r="BNV1" s="301"/>
      <c r="BNW1" s="301"/>
      <c r="BNX1" s="301"/>
      <c r="BNY1" s="301"/>
      <c r="BNZ1" s="301"/>
      <c r="BOA1" s="301"/>
      <c r="BOB1" s="301"/>
      <c r="BOC1" s="301"/>
      <c r="BOD1" s="301"/>
      <c r="BOE1" s="301"/>
      <c r="BOF1" s="301"/>
      <c r="BOG1" s="301"/>
      <c r="BOH1" s="301"/>
      <c r="BOI1" s="301"/>
      <c r="BOJ1" s="301"/>
      <c r="BOK1" s="301"/>
      <c r="BOL1" s="301"/>
      <c r="BOM1" s="301"/>
      <c r="BON1" s="301"/>
      <c r="BOO1" s="301"/>
      <c r="BOP1" s="301"/>
      <c r="BOQ1" s="301"/>
      <c r="BOR1" s="301"/>
      <c r="BOS1" s="301"/>
      <c r="BOT1" s="301"/>
      <c r="BOU1" s="301"/>
      <c r="BOV1" s="301"/>
      <c r="BOW1" s="301"/>
      <c r="BOX1" s="301"/>
      <c r="BOY1" s="301"/>
      <c r="BOZ1" s="301"/>
      <c r="BPA1" s="301"/>
      <c r="BPB1" s="301"/>
      <c r="BPC1" s="301"/>
      <c r="BPD1" s="301"/>
      <c r="BPE1" s="301"/>
      <c r="BPF1" s="301"/>
      <c r="BPG1" s="301"/>
      <c r="BPH1" s="301"/>
      <c r="BPI1" s="301"/>
      <c r="BPJ1" s="301"/>
      <c r="BPK1" s="301"/>
      <c r="BPL1" s="301"/>
      <c r="BPM1" s="301"/>
      <c r="BPN1" s="301"/>
      <c r="BPO1" s="301"/>
      <c r="BPP1" s="301"/>
      <c r="BPQ1" s="301"/>
      <c r="BPR1" s="301"/>
      <c r="BPS1" s="301"/>
      <c r="BPT1" s="301"/>
      <c r="BPU1" s="301"/>
      <c r="BPV1" s="301"/>
      <c r="BPW1" s="301"/>
      <c r="BPX1" s="301"/>
      <c r="BPY1" s="301"/>
      <c r="BPZ1" s="301"/>
      <c r="BQA1" s="301"/>
      <c r="BQB1" s="301"/>
      <c r="BQC1" s="301"/>
      <c r="BQD1" s="301"/>
      <c r="BQE1" s="301"/>
      <c r="BQF1" s="301"/>
      <c r="BQG1" s="301"/>
      <c r="BQH1" s="301"/>
      <c r="BQI1" s="301"/>
      <c r="BQJ1" s="301"/>
      <c r="BQK1" s="301"/>
      <c r="BQL1" s="301"/>
      <c r="BQM1" s="301"/>
      <c r="BQN1" s="301"/>
      <c r="BQO1" s="301"/>
      <c r="BQP1" s="301"/>
      <c r="BQQ1" s="301"/>
      <c r="BQR1" s="301"/>
      <c r="BQS1" s="301"/>
      <c r="BQT1" s="301"/>
      <c r="BQU1" s="301"/>
      <c r="BQV1" s="301"/>
      <c r="BQW1" s="301"/>
      <c r="BQX1" s="301"/>
      <c r="BQY1" s="301"/>
      <c r="BQZ1" s="301"/>
      <c r="BRA1" s="301"/>
      <c r="BRB1" s="301"/>
      <c r="BRC1" s="301"/>
      <c r="BRD1" s="301"/>
      <c r="BRE1" s="301"/>
      <c r="BRF1" s="301"/>
      <c r="BRG1" s="301"/>
      <c r="BRH1" s="301"/>
      <c r="BRI1" s="301"/>
      <c r="BRJ1" s="301"/>
      <c r="BRK1" s="301"/>
      <c r="BRL1" s="301"/>
      <c r="BRM1" s="301"/>
      <c r="BRN1" s="301"/>
      <c r="BRO1" s="301"/>
      <c r="BRP1" s="301"/>
      <c r="BRQ1" s="301"/>
      <c r="BRR1" s="301"/>
      <c r="BRS1" s="301"/>
      <c r="BRT1" s="301"/>
      <c r="BRU1" s="301"/>
      <c r="BRV1" s="301"/>
      <c r="BRW1" s="301"/>
      <c r="BRX1" s="301"/>
      <c r="BRY1" s="301"/>
      <c r="BRZ1" s="301"/>
      <c r="BSA1" s="301"/>
      <c r="BSB1" s="301"/>
      <c r="BSC1" s="301"/>
      <c r="BSD1" s="301"/>
      <c r="BSE1" s="301"/>
      <c r="BSF1" s="301"/>
      <c r="BSG1" s="301"/>
      <c r="BSH1" s="301"/>
      <c r="BSI1" s="301"/>
      <c r="BSJ1" s="301"/>
      <c r="BSK1" s="301"/>
      <c r="BSL1" s="301"/>
      <c r="BSM1" s="301"/>
      <c r="BSN1" s="301"/>
      <c r="BSO1" s="301"/>
      <c r="BSP1" s="301"/>
      <c r="BSQ1" s="301"/>
      <c r="BSR1" s="301"/>
      <c r="BSS1" s="301"/>
      <c r="BST1" s="301"/>
      <c r="BSU1" s="301"/>
      <c r="BSV1" s="301"/>
      <c r="BSW1" s="301"/>
      <c r="BSX1" s="301"/>
      <c r="BSY1" s="301"/>
      <c r="BSZ1" s="301"/>
      <c r="BTA1" s="301"/>
      <c r="BTB1" s="301"/>
      <c r="BTC1" s="301"/>
      <c r="BTD1" s="301"/>
      <c r="BTE1" s="301"/>
      <c r="BTF1" s="301"/>
      <c r="BTG1" s="301"/>
      <c r="BTH1" s="301"/>
      <c r="BTI1" s="301"/>
      <c r="BTJ1" s="301"/>
      <c r="BTK1" s="301"/>
      <c r="BTL1" s="301"/>
      <c r="BTM1" s="301"/>
      <c r="BTN1" s="301"/>
      <c r="BTO1" s="301"/>
      <c r="BTP1" s="301"/>
      <c r="BTQ1" s="301"/>
      <c r="BTR1" s="301"/>
      <c r="BTS1" s="301"/>
      <c r="BTT1" s="301"/>
      <c r="BTU1" s="301"/>
      <c r="BTV1" s="301"/>
      <c r="BTW1" s="301"/>
      <c r="BTX1" s="301"/>
      <c r="BTY1" s="301"/>
      <c r="BTZ1" s="301"/>
      <c r="BUA1" s="301"/>
      <c r="BUB1" s="301"/>
      <c r="BUC1" s="301"/>
      <c r="BUD1" s="301"/>
      <c r="BUE1" s="301"/>
      <c r="BUF1" s="301"/>
      <c r="BUG1" s="301"/>
      <c r="BUH1" s="301"/>
      <c r="BUI1" s="301"/>
      <c r="BUJ1" s="301"/>
      <c r="BUK1" s="301"/>
      <c r="BUL1" s="301"/>
      <c r="BUM1" s="301"/>
      <c r="BUN1" s="301"/>
      <c r="BUO1" s="301"/>
      <c r="BUP1" s="301"/>
      <c r="BUQ1" s="301"/>
      <c r="BUR1" s="301"/>
      <c r="BUS1" s="301"/>
      <c r="BUT1" s="301"/>
      <c r="BUU1" s="301"/>
      <c r="BUV1" s="301"/>
      <c r="BUW1" s="301"/>
      <c r="BUX1" s="301"/>
      <c r="BUY1" s="301"/>
      <c r="BUZ1" s="301"/>
      <c r="BVA1" s="301"/>
      <c r="BVB1" s="301"/>
      <c r="BVC1" s="301"/>
      <c r="BVD1" s="301"/>
      <c r="BVE1" s="301"/>
      <c r="BVF1" s="301"/>
      <c r="BVG1" s="301"/>
      <c r="BVH1" s="301"/>
      <c r="BVI1" s="301"/>
      <c r="BVJ1" s="301"/>
      <c r="BVK1" s="301"/>
      <c r="BVL1" s="301"/>
      <c r="BVM1" s="301"/>
      <c r="BVN1" s="301"/>
      <c r="BVO1" s="301"/>
      <c r="BVP1" s="301"/>
      <c r="BVQ1" s="301"/>
      <c r="BVR1" s="301"/>
      <c r="BVS1" s="301"/>
      <c r="BVT1" s="301"/>
      <c r="BVU1" s="301"/>
      <c r="BVV1" s="301"/>
      <c r="BVW1" s="301"/>
      <c r="BVX1" s="301"/>
      <c r="BVY1" s="301"/>
      <c r="BVZ1" s="301"/>
      <c r="BWA1" s="301"/>
      <c r="BWB1" s="301"/>
      <c r="BWC1" s="301"/>
      <c r="BWD1" s="301"/>
      <c r="BWE1" s="301"/>
      <c r="BWF1" s="301"/>
      <c r="BWG1" s="301"/>
      <c r="BWH1" s="301"/>
      <c r="BWI1" s="301"/>
      <c r="BWJ1" s="301"/>
      <c r="BWK1" s="301"/>
      <c r="BWL1" s="301"/>
      <c r="BWM1" s="301"/>
      <c r="BWN1" s="301"/>
      <c r="BWO1" s="301"/>
      <c r="BWP1" s="301"/>
      <c r="BWQ1" s="301"/>
      <c r="BWR1" s="301"/>
      <c r="BWS1" s="301"/>
      <c r="BWT1" s="301"/>
      <c r="BWU1" s="301"/>
      <c r="BWV1" s="301"/>
      <c r="BWW1" s="301"/>
      <c r="BWX1" s="301"/>
      <c r="BWY1" s="301"/>
      <c r="BWZ1" s="301"/>
      <c r="BXA1" s="301"/>
      <c r="BXB1" s="301"/>
      <c r="BXC1" s="301"/>
      <c r="BXD1" s="301"/>
      <c r="BXE1" s="301"/>
      <c r="BXF1" s="301"/>
      <c r="BXG1" s="301"/>
      <c r="BXH1" s="301"/>
      <c r="BXI1" s="301"/>
      <c r="BXJ1" s="301"/>
      <c r="BXK1" s="301"/>
      <c r="BXL1" s="301"/>
      <c r="BXM1" s="301"/>
      <c r="BXN1" s="301"/>
      <c r="BXO1" s="301"/>
      <c r="BXP1" s="301"/>
      <c r="BXQ1" s="301"/>
      <c r="BXR1" s="301"/>
      <c r="BXS1" s="301"/>
      <c r="BXT1" s="301"/>
      <c r="BXU1" s="301"/>
      <c r="BXV1" s="301"/>
      <c r="BXW1" s="301"/>
      <c r="BXX1" s="301"/>
      <c r="BXY1" s="301"/>
      <c r="BXZ1" s="301"/>
      <c r="BYA1" s="301"/>
      <c r="BYB1" s="301"/>
      <c r="BYC1" s="301"/>
      <c r="BYD1" s="301"/>
      <c r="BYE1" s="301"/>
      <c r="BYF1" s="301"/>
      <c r="BYG1" s="301"/>
      <c r="BYH1" s="301"/>
      <c r="BYI1" s="301"/>
      <c r="BYJ1" s="301"/>
      <c r="BYK1" s="301"/>
      <c r="BYL1" s="301"/>
      <c r="BYM1" s="301"/>
      <c r="BYN1" s="301"/>
      <c r="BYO1" s="301"/>
      <c r="BYP1" s="301"/>
      <c r="BYQ1" s="301"/>
      <c r="BYR1" s="301"/>
      <c r="BYS1" s="301"/>
      <c r="BYT1" s="301"/>
      <c r="BYU1" s="301"/>
      <c r="BYV1" s="301"/>
      <c r="BYW1" s="301"/>
      <c r="BYX1" s="301"/>
      <c r="BYY1" s="301"/>
      <c r="BYZ1" s="301"/>
      <c r="BZA1" s="301"/>
      <c r="BZB1" s="301"/>
      <c r="BZC1" s="301"/>
      <c r="BZD1" s="301"/>
      <c r="BZE1" s="301"/>
      <c r="BZF1" s="301"/>
      <c r="BZG1" s="301"/>
      <c r="BZH1" s="301"/>
      <c r="BZI1" s="301"/>
      <c r="BZJ1" s="301"/>
      <c r="BZK1" s="301"/>
      <c r="BZL1" s="301"/>
      <c r="BZM1" s="301"/>
      <c r="BZN1" s="301"/>
      <c r="BZO1" s="301"/>
      <c r="BZP1" s="301"/>
      <c r="BZQ1" s="301"/>
      <c r="BZR1" s="301"/>
      <c r="BZS1" s="301"/>
      <c r="BZT1" s="301"/>
      <c r="BZU1" s="301"/>
      <c r="BZV1" s="301"/>
      <c r="BZW1" s="301"/>
      <c r="BZX1" s="301"/>
      <c r="BZY1" s="301"/>
      <c r="BZZ1" s="301"/>
      <c r="CAA1" s="301"/>
      <c r="CAB1" s="301"/>
      <c r="CAC1" s="301"/>
      <c r="CAD1" s="301"/>
      <c r="CAE1" s="301"/>
      <c r="CAF1" s="301"/>
      <c r="CAG1" s="301"/>
      <c r="CAH1" s="301"/>
      <c r="CAI1" s="301"/>
      <c r="CAJ1" s="301"/>
      <c r="CAK1" s="301"/>
      <c r="CAL1" s="301"/>
      <c r="CAM1" s="301"/>
      <c r="CAN1" s="301"/>
      <c r="CAO1" s="301"/>
      <c r="CAP1" s="301"/>
      <c r="CAQ1" s="301"/>
      <c r="CAR1" s="301"/>
      <c r="CAS1" s="301"/>
      <c r="CAT1" s="301"/>
      <c r="CAU1" s="301"/>
      <c r="CAV1" s="301"/>
      <c r="CAW1" s="301"/>
      <c r="CAX1" s="301"/>
      <c r="CAY1" s="301"/>
      <c r="CAZ1" s="301"/>
      <c r="CBA1" s="301"/>
      <c r="CBB1" s="301"/>
      <c r="CBC1" s="301"/>
      <c r="CBD1" s="301"/>
      <c r="CBE1" s="301"/>
      <c r="CBF1" s="301"/>
      <c r="CBG1" s="301"/>
      <c r="CBH1" s="301"/>
      <c r="CBI1" s="301"/>
      <c r="CBJ1" s="301"/>
      <c r="CBK1" s="301"/>
      <c r="CBL1" s="301"/>
      <c r="CBM1" s="301"/>
      <c r="CBN1" s="301"/>
      <c r="CBO1" s="301"/>
      <c r="CBP1" s="301"/>
      <c r="CBQ1" s="301"/>
      <c r="CBR1" s="301"/>
      <c r="CBS1" s="301"/>
      <c r="CBT1" s="301"/>
      <c r="CBU1" s="301"/>
      <c r="CBV1" s="301"/>
      <c r="CBW1" s="301"/>
      <c r="CBX1" s="301"/>
      <c r="CBY1" s="301"/>
      <c r="CBZ1" s="301"/>
      <c r="CCA1" s="301"/>
      <c r="CCB1" s="301"/>
      <c r="CCC1" s="301"/>
      <c r="CCD1" s="301"/>
      <c r="CCE1" s="301"/>
      <c r="CCF1" s="301"/>
      <c r="CCG1" s="301"/>
      <c r="CCH1" s="301"/>
      <c r="CCI1" s="301"/>
      <c r="CCJ1" s="301"/>
      <c r="CCK1" s="301"/>
      <c r="CCL1" s="301"/>
      <c r="CCM1" s="301"/>
      <c r="CCN1" s="301"/>
      <c r="CCO1" s="301"/>
      <c r="CCP1" s="301"/>
      <c r="CCQ1" s="301"/>
      <c r="CCR1" s="301"/>
      <c r="CCS1" s="301"/>
      <c r="CCT1" s="301"/>
      <c r="CCU1" s="301"/>
      <c r="CCV1" s="301"/>
      <c r="CCW1" s="301"/>
      <c r="CCX1" s="301"/>
      <c r="CCY1" s="301"/>
      <c r="CCZ1" s="301"/>
      <c r="CDA1" s="301"/>
      <c r="CDB1" s="301"/>
      <c r="CDC1" s="301"/>
      <c r="CDD1" s="301"/>
      <c r="CDE1" s="301"/>
      <c r="CDF1" s="301"/>
      <c r="CDG1" s="301"/>
      <c r="CDH1" s="301"/>
      <c r="CDI1" s="301"/>
      <c r="CDJ1" s="301"/>
      <c r="CDK1" s="301"/>
      <c r="CDL1" s="301"/>
      <c r="CDM1" s="301"/>
      <c r="CDN1" s="301"/>
      <c r="CDO1" s="301"/>
      <c r="CDP1" s="301"/>
      <c r="CDQ1" s="301"/>
      <c r="CDR1" s="301"/>
      <c r="CDS1" s="301"/>
      <c r="CDT1" s="301"/>
      <c r="CDU1" s="301"/>
      <c r="CDV1" s="301"/>
      <c r="CDW1" s="301"/>
      <c r="CDX1" s="301"/>
      <c r="CDY1" s="301"/>
      <c r="CDZ1" s="301"/>
      <c r="CEA1" s="301"/>
      <c r="CEB1" s="301"/>
      <c r="CEC1" s="301"/>
      <c r="CED1" s="301"/>
      <c r="CEE1" s="301"/>
      <c r="CEF1" s="301"/>
      <c r="CEG1" s="301"/>
      <c r="CEH1" s="301"/>
      <c r="CEI1" s="301"/>
      <c r="CEJ1" s="301"/>
      <c r="CEK1" s="301"/>
      <c r="CEL1" s="301"/>
      <c r="CEM1" s="301"/>
      <c r="CEN1" s="301"/>
      <c r="CEO1" s="301"/>
      <c r="CEP1" s="301"/>
      <c r="CEQ1" s="301"/>
      <c r="CER1" s="301"/>
      <c r="CES1" s="301"/>
      <c r="CET1" s="301"/>
      <c r="CEU1" s="301"/>
      <c r="CEV1" s="301"/>
      <c r="CEW1" s="301"/>
      <c r="CEX1" s="301"/>
      <c r="CEY1" s="301"/>
      <c r="CEZ1" s="301"/>
      <c r="CFA1" s="301"/>
      <c r="CFB1" s="301"/>
      <c r="CFC1" s="301"/>
      <c r="CFD1" s="301"/>
      <c r="CFE1" s="301"/>
      <c r="CFF1" s="301"/>
      <c r="CFG1" s="301"/>
      <c r="CFH1" s="301"/>
      <c r="CFI1" s="301"/>
      <c r="CFJ1" s="301"/>
      <c r="CFK1" s="301"/>
      <c r="CFL1" s="301"/>
      <c r="CFM1" s="301"/>
      <c r="CFN1" s="301"/>
      <c r="CFO1" s="301"/>
      <c r="CFP1" s="301"/>
      <c r="CFQ1" s="301"/>
      <c r="CFR1" s="301"/>
      <c r="CFS1" s="301"/>
      <c r="CFT1" s="301"/>
      <c r="CFU1" s="301"/>
      <c r="CFV1" s="301"/>
      <c r="CFW1" s="301"/>
      <c r="CFX1" s="301"/>
      <c r="CFY1" s="301"/>
      <c r="CFZ1" s="301"/>
      <c r="CGA1" s="301"/>
      <c r="CGB1" s="301"/>
      <c r="CGC1" s="301"/>
      <c r="CGD1" s="301"/>
      <c r="CGE1" s="301"/>
      <c r="CGF1" s="301"/>
      <c r="CGG1" s="301"/>
      <c r="CGH1" s="301"/>
      <c r="CGI1" s="301"/>
      <c r="CGJ1" s="301"/>
      <c r="CGK1" s="301"/>
      <c r="CGL1" s="301"/>
      <c r="CGM1" s="301"/>
      <c r="CGN1" s="301"/>
      <c r="CGO1" s="301"/>
      <c r="CGP1" s="301"/>
      <c r="CGQ1" s="301"/>
      <c r="CGR1" s="301"/>
      <c r="CGS1" s="301"/>
      <c r="CGT1" s="301"/>
      <c r="CGU1" s="301"/>
      <c r="CGV1" s="301"/>
      <c r="CGW1" s="301"/>
      <c r="CGX1" s="301"/>
      <c r="CGY1" s="301"/>
      <c r="CGZ1" s="301"/>
      <c r="CHA1" s="301"/>
      <c r="CHB1" s="301"/>
      <c r="CHC1" s="301"/>
      <c r="CHD1" s="301"/>
      <c r="CHE1" s="301"/>
      <c r="CHF1" s="301"/>
      <c r="CHG1" s="301"/>
      <c r="CHH1" s="301"/>
      <c r="CHI1" s="301"/>
      <c r="CHJ1" s="301"/>
      <c r="CHK1" s="301"/>
      <c r="CHL1" s="301"/>
      <c r="CHM1" s="301"/>
      <c r="CHN1" s="301"/>
      <c r="CHO1" s="301"/>
      <c r="CHP1" s="301"/>
      <c r="CHQ1" s="301"/>
      <c r="CHR1" s="301"/>
      <c r="CHS1" s="301"/>
      <c r="CHT1" s="301"/>
      <c r="CHU1" s="301"/>
      <c r="CHV1" s="301"/>
      <c r="CHW1" s="301"/>
      <c r="CHX1" s="301"/>
      <c r="CHY1" s="301"/>
      <c r="CHZ1" s="301"/>
      <c r="CIA1" s="301"/>
      <c r="CIB1" s="301"/>
      <c r="CIC1" s="301"/>
      <c r="CID1" s="301"/>
      <c r="CIE1" s="301"/>
      <c r="CIF1" s="301"/>
      <c r="CIG1" s="301"/>
      <c r="CIH1" s="301"/>
      <c r="CII1" s="301"/>
      <c r="CIJ1" s="301"/>
      <c r="CIK1" s="301"/>
      <c r="CIL1" s="301"/>
      <c r="CIM1" s="301"/>
      <c r="CIN1" s="301"/>
      <c r="CIO1" s="301"/>
      <c r="CIP1" s="301"/>
      <c r="CIQ1" s="301"/>
      <c r="CIR1" s="301"/>
      <c r="CIS1" s="301"/>
      <c r="CIT1" s="301"/>
      <c r="CIU1" s="301"/>
      <c r="CIV1" s="301"/>
      <c r="CIW1" s="301"/>
      <c r="CIX1" s="301"/>
      <c r="CIY1" s="301"/>
      <c r="CIZ1" s="301"/>
      <c r="CJA1" s="301"/>
      <c r="CJB1" s="301"/>
      <c r="CJC1" s="301"/>
      <c r="CJD1" s="301"/>
      <c r="CJE1" s="301"/>
      <c r="CJF1" s="301"/>
      <c r="CJG1" s="301"/>
      <c r="CJH1" s="301"/>
      <c r="CJI1" s="301"/>
      <c r="CJJ1" s="301"/>
      <c r="CJK1" s="301"/>
      <c r="CJL1" s="301"/>
      <c r="CJM1" s="301"/>
      <c r="CJN1" s="301"/>
      <c r="CJO1" s="301"/>
      <c r="CJP1" s="301"/>
      <c r="CJQ1" s="301"/>
      <c r="CJR1" s="301"/>
      <c r="CJS1" s="301"/>
      <c r="CJT1" s="301"/>
      <c r="CJU1" s="301"/>
      <c r="CJV1" s="301"/>
      <c r="CJW1" s="301"/>
      <c r="CJX1" s="301"/>
      <c r="CJY1" s="301"/>
      <c r="CJZ1" s="301"/>
      <c r="CKA1" s="301"/>
      <c r="CKB1" s="301"/>
      <c r="CKC1" s="301"/>
      <c r="CKD1" s="301"/>
      <c r="CKE1" s="301"/>
      <c r="CKF1" s="301"/>
      <c r="CKG1" s="301"/>
      <c r="CKH1" s="301"/>
      <c r="CKI1" s="301"/>
      <c r="CKJ1" s="301"/>
      <c r="CKK1" s="301"/>
      <c r="CKL1" s="301"/>
      <c r="CKM1" s="301"/>
      <c r="CKN1" s="301"/>
      <c r="CKO1" s="301"/>
      <c r="CKP1" s="301"/>
      <c r="CKQ1" s="301"/>
      <c r="CKR1" s="301"/>
      <c r="CKS1" s="301"/>
      <c r="CKT1" s="301"/>
      <c r="CKU1" s="301"/>
      <c r="CKV1" s="301"/>
      <c r="CKW1" s="301"/>
      <c r="CKX1" s="301"/>
      <c r="CKY1" s="301"/>
      <c r="CKZ1" s="301"/>
      <c r="CLA1" s="301"/>
      <c r="CLB1" s="301"/>
      <c r="CLC1" s="301"/>
      <c r="CLD1" s="301"/>
      <c r="CLE1" s="301"/>
      <c r="CLF1" s="301"/>
      <c r="CLG1" s="301"/>
      <c r="CLH1" s="301"/>
      <c r="CLI1" s="301"/>
      <c r="CLJ1" s="301"/>
      <c r="CLK1" s="301"/>
      <c r="CLL1" s="301"/>
      <c r="CLM1" s="301"/>
      <c r="CLN1" s="301"/>
      <c r="CLO1" s="301"/>
      <c r="CLP1" s="301"/>
      <c r="CLQ1" s="301"/>
      <c r="CLR1" s="301"/>
      <c r="CLS1" s="301"/>
      <c r="CLT1" s="301"/>
      <c r="CLU1" s="301"/>
      <c r="CLV1" s="301"/>
      <c r="CLW1" s="301"/>
      <c r="CLX1" s="301"/>
      <c r="CLY1" s="301"/>
      <c r="CLZ1" s="301"/>
      <c r="CMA1" s="301"/>
      <c r="CMB1" s="301"/>
      <c r="CMC1" s="301"/>
      <c r="CMD1" s="301"/>
      <c r="CME1" s="301"/>
      <c r="CMF1" s="301"/>
      <c r="CMG1" s="301"/>
      <c r="CMH1" s="301"/>
      <c r="CMI1" s="301"/>
      <c r="CMJ1" s="301"/>
      <c r="CMK1" s="301"/>
      <c r="CML1" s="301"/>
      <c r="CMM1" s="301"/>
      <c r="CMN1" s="301"/>
      <c r="CMO1" s="301"/>
      <c r="CMP1" s="301"/>
      <c r="CMQ1" s="301"/>
      <c r="CMR1" s="301"/>
      <c r="CMS1" s="301"/>
      <c r="CMT1" s="301"/>
      <c r="CMU1" s="301"/>
      <c r="CMV1" s="301"/>
      <c r="CMW1" s="301"/>
      <c r="CMX1" s="301"/>
      <c r="CMY1" s="301"/>
      <c r="CMZ1" s="301"/>
      <c r="CNA1" s="301"/>
      <c r="CNB1" s="301"/>
      <c r="CNC1" s="301"/>
      <c r="CND1" s="301"/>
      <c r="CNE1" s="301"/>
      <c r="CNF1" s="301"/>
      <c r="CNG1" s="301"/>
      <c r="CNH1" s="301"/>
      <c r="CNI1" s="301"/>
      <c r="CNJ1" s="301"/>
      <c r="CNK1" s="301"/>
      <c r="CNL1" s="301"/>
      <c r="CNM1" s="301"/>
      <c r="CNN1" s="301"/>
      <c r="CNO1" s="301"/>
      <c r="CNP1" s="301"/>
      <c r="CNQ1" s="301"/>
      <c r="CNR1" s="301"/>
      <c r="CNS1" s="301"/>
      <c r="CNT1" s="301"/>
      <c r="CNU1" s="301"/>
      <c r="CNV1" s="301"/>
      <c r="CNW1" s="301"/>
      <c r="CNX1" s="301"/>
      <c r="CNY1" s="301"/>
      <c r="CNZ1" s="301"/>
      <c r="COA1" s="301"/>
      <c r="COB1" s="301"/>
      <c r="COC1" s="301"/>
      <c r="COD1" s="301"/>
      <c r="COE1" s="301"/>
      <c r="COF1" s="301"/>
      <c r="COG1" s="301"/>
      <c r="COH1" s="301"/>
      <c r="COI1" s="301"/>
      <c r="COJ1" s="301"/>
      <c r="COK1" s="301"/>
      <c r="COL1" s="301"/>
      <c r="COM1" s="301"/>
      <c r="CON1" s="301"/>
      <c r="COO1" s="301"/>
      <c r="COP1" s="301"/>
      <c r="COQ1" s="301"/>
      <c r="COR1" s="301"/>
      <c r="COS1" s="301"/>
      <c r="COT1" s="301"/>
      <c r="COU1" s="301"/>
      <c r="COV1" s="301"/>
      <c r="COW1" s="301"/>
      <c r="COX1" s="301"/>
      <c r="COY1" s="301"/>
      <c r="COZ1" s="301"/>
      <c r="CPA1" s="301"/>
      <c r="CPB1" s="301"/>
      <c r="CPC1" s="301"/>
      <c r="CPD1" s="301"/>
      <c r="CPE1" s="301"/>
      <c r="CPF1" s="301"/>
      <c r="CPG1" s="301"/>
      <c r="CPH1" s="301"/>
      <c r="CPI1" s="301"/>
      <c r="CPJ1" s="301"/>
      <c r="CPK1" s="301"/>
      <c r="CPL1" s="301"/>
      <c r="CPM1" s="301"/>
      <c r="CPN1" s="301"/>
      <c r="CPO1" s="301"/>
      <c r="CPP1" s="301"/>
      <c r="CPQ1" s="301"/>
      <c r="CPR1" s="301"/>
      <c r="CPS1" s="301"/>
      <c r="CPT1" s="301"/>
      <c r="CPU1" s="301"/>
      <c r="CPV1" s="301"/>
      <c r="CPW1" s="301"/>
      <c r="CPX1" s="301"/>
      <c r="CPY1" s="301"/>
      <c r="CPZ1" s="301"/>
      <c r="CQA1" s="301"/>
      <c r="CQB1" s="301"/>
      <c r="CQC1" s="301"/>
      <c r="CQD1" s="301"/>
      <c r="CQE1" s="301"/>
      <c r="CQF1" s="301"/>
      <c r="CQG1" s="301"/>
      <c r="CQH1" s="301"/>
      <c r="CQI1" s="301"/>
      <c r="CQJ1" s="301"/>
      <c r="CQK1" s="301"/>
      <c r="CQL1" s="301"/>
      <c r="CQM1" s="301"/>
      <c r="CQN1" s="301"/>
      <c r="CQO1" s="301"/>
      <c r="CQP1" s="301"/>
      <c r="CQQ1" s="301"/>
      <c r="CQR1" s="301"/>
      <c r="CQS1" s="301"/>
      <c r="CQT1" s="301"/>
      <c r="CQU1" s="301"/>
      <c r="CQV1" s="301"/>
      <c r="CQW1" s="301"/>
      <c r="CQX1" s="301"/>
      <c r="CQY1" s="301"/>
      <c r="CQZ1" s="301"/>
      <c r="CRA1" s="301"/>
      <c r="CRB1" s="301"/>
      <c r="CRC1" s="301"/>
      <c r="CRD1" s="301"/>
      <c r="CRE1" s="301"/>
      <c r="CRF1" s="301"/>
      <c r="CRG1" s="301"/>
      <c r="CRH1" s="301"/>
      <c r="CRI1" s="301"/>
      <c r="CRJ1" s="301"/>
      <c r="CRK1" s="301"/>
      <c r="CRL1" s="301"/>
      <c r="CRM1" s="301"/>
      <c r="CRN1" s="301"/>
      <c r="CRO1" s="301"/>
      <c r="CRP1" s="301"/>
      <c r="CRQ1" s="301"/>
      <c r="CRR1" s="301"/>
      <c r="CRS1" s="301"/>
      <c r="CRT1" s="301"/>
      <c r="CRU1" s="301"/>
      <c r="CRV1" s="301"/>
      <c r="CRW1" s="301"/>
      <c r="CRX1" s="301"/>
      <c r="CRY1" s="301"/>
      <c r="CRZ1" s="301"/>
      <c r="CSA1" s="301"/>
      <c r="CSB1" s="301"/>
      <c r="CSC1" s="301"/>
      <c r="CSD1" s="301"/>
      <c r="CSE1" s="301"/>
      <c r="CSF1" s="301"/>
      <c r="CSG1" s="301"/>
      <c r="CSH1" s="301"/>
      <c r="CSI1" s="301"/>
      <c r="CSJ1" s="301"/>
      <c r="CSK1" s="301"/>
      <c r="CSL1" s="301"/>
      <c r="CSM1" s="301"/>
      <c r="CSN1" s="301"/>
      <c r="CSO1" s="301"/>
      <c r="CSP1" s="301"/>
      <c r="CSQ1" s="301"/>
      <c r="CSR1" s="301"/>
      <c r="CSS1" s="301"/>
      <c r="CST1" s="301"/>
      <c r="CSU1" s="301"/>
      <c r="CSV1" s="301"/>
      <c r="CSW1" s="301"/>
      <c r="CSX1" s="301"/>
      <c r="CSY1" s="301"/>
      <c r="CSZ1" s="301"/>
      <c r="CTA1" s="301"/>
      <c r="CTB1" s="301"/>
      <c r="CTC1" s="301"/>
      <c r="CTD1" s="301"/>
      <c r="CTE1" s="301"/>
      <c r="CTF1" s="301"/>
      <c r="CTG1" s="301"/>
      <c r="CTH1" s="301"/>
      <c r="CTI1" s="301"/>
      <c r="CTJ1" s="301"/>
      <c r="CTK1" s="301"/>
      <c r="CTL1" s="301"/>
      <c r="CTM1" s="301"/>
      <c r="CTN1" s="301"/>
      <c r="CTO1" s="301"/>
      <c r="CTP1" s="301"/>
      <c r="CTQ1" s="301"/>
      <c r="CTR1" s="301"/>
      <c r="CTS1" s="301"/>
      <c r="CTT1" s="301"/>
      <c r="CTU1" s="301"/>
      <c r="CTV1" s="301"/>
      <c r="CTW1" s="301"/>
      <c r="CTX1" s="301"/>
      <c r="CTY1" s="301"/>
      <c r="CTZ1" s="301"/>
      <c r="CUA1" s="301"/>
      <c r="CUB1" s="301"/>
      <c r="CUC1" s="301"/>
      <c r="CUD1" s="301"/>
      <c r="CUE1" s="301"/>
      <c r="CUF1" s="301"/>
      <c r="CUG1" s="301"/>
      <c r="CUH1" s="301"/>
      <c r="CUI1" s="301"/>
      <c r="CUJ1" s="301"/>
      <c r="CUK1" s="301"/>
      <c r="CUL1" s="301"/>
      <c r="CUM1" s="301"/>
      <c r="CUN1" s="301"/>
      <c r="CUO1" s="301"/>
      <c r="CUP1" s="301"/>
      <c r="CUQ1" s="301"/>
      <c r="CUR1" s="301"/>
      <c r="CUS1" s="301"/>
      <c r="CUT1" s="301"/>
      <c r="CUU1" s="301"/>
      <c r="CUV1" s="301"/>
      <c r="CUW1" s="301"/>
      <c r="CUX1" s="301"/>
      <c r="CUY1" s="301"/>
      <c r="CUZ1" s="301"/>
      <c r="CVA1" s="301"/>
      <c r="CVB1" s="301"/>
      <c r="CVC1" s="301"/>
      <c r="CVD1" s="301"/>
      <c r="CVE1" s="301"/>
      <c r="CVF1" s="301"/>
      <c r="CVG1" s="301"/>
      <c r="CVH1" s="301"/>
      <c r="CVI1" s="301"/>
      <c r="CVJ1" s="301"/>
      <c r="CVK1" s="301"/>
      <c r="CVL1" s="301"/>
      <c r="CVM1" s="301"/>
      <c r="CVN1" s="301"/>
      <c r="CVO1" s="301"/>
      <c r="CVP1" s="301"/>
      <c r="CVQ1" s="301"/>
      <c r="CVR1" s="301"/>
      <c r="CVS1" s="301"/>
      <c r="CVT1" s="301"/>
      <c r="CVU1" s="301"/>
      <c r="CVV1" s="301"/>
      <c r="CVW1" s="301"/>
      <c r="CVX1" s="301"/>
      <c r="CVY1" s="301"/>
      <c r="CVZ1" s="301"/>
      <c r="CWA1" s="301"/>
      <c r="CWB1" s="301"/>
      <c r="CWC1" s="301"/>
      <c r="CWD1" s="301"/>
      <c r="CWE1" s="301"/>
      <c r="CWF1" s="301"/>
      <c r="CWG1" s="301"/>
      <c r="CWH1" s="301"/>
      <c r="CWI1" s="301"/>
      <c r="CWJ1" s="301"/>
      <c r="CWK1" s="301"/>
      <c r="CWL1" s="301"/>
      <c r="CWM1" s="301"/>
      <c r="CWN1" s="301"/>
      <c r="CWO1" s="301"/>
      <c r="CWP1" s="301"/>
      <c r="CWQ1" s="301"/>
      <c r="CWR1" s="301"/>
      <c r="CWS1" s="301"/>
      <c r="CWT1" s="301"/>
      <c r="CWU1" s="301"/>
      <c r="CWV1" s="301"/>
      <c r="CWW1" s="301"/>
      <c r="CWX1" s="301"/>
      <c r="CWY1" s="301"/>
      <c r="CWZ1" s="301"/>
      <c r="CXA1" s="301"/>
      <c r="CXB1" s="301"/>
      <c r="CXC1" s="301"/>
      <c r="CXD1" s="301"/>
      <c r="CXE1" s="301"/>
      <c r="CXF1" s="301"/>
      <c r="CXG1" s="301"/>
      <c r="CXH1" s="301"/>
      <c r="CXI1" s="301"/>
      <c r="CXJ1" s="301"/>
      <c r="CXK1" s="301"/>
      <c r="CXL1" s="301"/>
      <c r="CXM1" s="301"/>
      <c r="CXN1" s="301"/>
      <c r="CXO1" s="301"/>
      <c r="CXP1" s="301"/>
      <c r="CXQ1" s="301"/>
      <c r="CXR1" s="301"/>
      <c r="CXS1" s="301"/>
      <c r="CXT1" s="301"/>
      <c r="CXU1" s="301"/>
      <c r="CXV1" s="301"/>
      <c r="CXW1" s="301"/>
      <c r="CXX1" s="301"/>
      <c r="CXY1" s="301"/>
      <c r="CXZ1" s="301"/>
      <c r="CYA1" s="301"/>
      <c r="CYB1" s="301"/>
      <c r="CYC1" s="301"/>
      <c r="CYD1" s="301"/>
      <c r="CYE1" s="301"/>
      <c r="CYF1" s="301"/>
      <c r="CYG1" s="301"/>
      <c r="CYH1" s="301"/>
      <c r="CYI1" s="301"/>
      <c r="CYJ1" s="301"/>
      <c r="CYK1" s="301"/>
      <c r="CYL1" s="301"/>
      <c r="CYM1" s="301"/>
      <c r="CYN1" s="301"/>
      <c r="CYO1" s="301"/>
      <c r="CYP1" s="301"/>
      <c r="CYQ1" s="301"/>
      <c r="CYR1" s="301"/>
      <c r="CYS1" s="301"/>
      <c r="CYT1" s="301"/>
      <c r="CYU1" s="301"/>
      <c r="CYV1" s="301"/>
      <c r="CYW1" s="301"/>
      <c r="CYX1" s="301"/>
      <c r="CYY1" s="301"/>
      <c r="CYZ1" s="301"/>
      <c r="CZA1" s="301"/>
      <c r="CZB1" s="301"/>
      <c r="CZC1" s="301"/>
      <c r="CZD1" s="301"/>
      <c r="CZE1" s="301"/>
      <c r="CZF1" s="301"/>
      <c r="CZG1" s="301"/>
      <c r="CZH1" s="301"/>
      <c r="CZI1" s="301"/>
      <c r="CZJ1" s="301"/>
      <c r="CZK1" s="301"/>
      <c r="CZL1" s="301"/>
      <c r="CZM1" s="301"/>
      <c r="CZN1" s="301"/>
      <c r="CZO1" s="301"/>
      <c r="CZP1" s="301"/>
      <c r="CZQ1" s="301"/>
      <c r="CZR1" s="301"/>
      <c r="CZS1" s="301"/>
      <c r="CZT1" s="301"/>
      <c r="CZU1" s="301"/>
      <c r="CZV1" s="301"/>
      <c r="CZW1" s="301"/>
      <c r="CZX1" s="301"/>
      <c r="CZY1" s="301"/>
      <c r="CZZ1" s="301"/>
      <c r="DAA1" s="301"/>
      <c r="DAB1" s="301"/>
      <c r="DAC1" s="301"/>
      <c r="DAD1" s="301"/>
      <c r="DAE1" s="301"/>
      <c r="DAF1" s="301"/>
      <c r="DAG1" s="301"/>
      <c r="DAH1" s="301"/>
      <c r="DAI1" s="301"/>
      <c r="DAJ1" s="301"/>
      <c r="DAK1" s="301"/>
      <c r="DAL1" s="301"/>
      <c r="DAM1" s="301"/>
      <c r="DAN1" s="301"/>
      <c r="DAO1" s="301"/>
      <c r="DAP1" s="301"/>
      <c r="DAQ1" s="301"/>
      <c r="DAR1" s="301"/>
      <c r="DAS1" s="301"/>
      <c r="DAT1" s="301"/>
      <c r="DAU1" s="301"/>
      <c r="DAV1" s="301"/>
      <c r="DAW1" s="301"/>
      <c r="DAX1" s="301"/>
      <c r="DAY1" s="301"/>
      <c r="DAZ1" s="301"/>
      <c r="DBA1" s="301"/>
      <c r="DBB1" s="301"/>
      <c r="DBC1" s="301"/>
      <c r="DBD1" s="301"/>
      <c r="DBE1" s="301"/>
      <c r="DBF1" s="301"/>
      <c r="DBG1" s="301"/>
      <c r="DBH1" s="301"/>
      <c r="DBI1" s="301"/>
      <c r="DBJ1" s="301"/>
      <c r="DBK1" s="301"/>
      <c r="DBL1" s="301"/>
      <c r="DBM1" s="301"/>
      <c r="DBN1" s="301"/>
      <c r="DBO1" s="301"/>
      <c r="DBP1" s="301"/>
      <c r="DBQ1" s="301"/>
      <c r="DBR1" s="301"/>
      <c r="DBS1" s="301"/>
      <c r="DBT1" s="301"/>
      <c r="DBU1" s="301"/>
      <c r="DBV1" s="301"/>
      <c r="DBW1" s="301"/>
      <c r="DBX1" s="301"/>
      <c r="DBY1" s="301"/>
      <c r="DBZ1" s="301"/>
      <c r="DCA1" s="301"/>
      <c r="DCB1" s="301"/>
      <c r="DCC1" s="301"/>
      <c r="DCD1" s="301"/>
      <c r="DCE1" s="301"/>
      <c r="DCF1" s="301"/>
      <c r="DCG1" s="301"/>
      <c r="DCH1" s="301"/>
      <c r="DCI1" s="301"/>
      <c r="DCJ1" s="301"/>
      <c r="DCK1" s="301"/>
      <c r="DCL1" s="301"/>
      <c r="DCM1" s="301"/>
      <c r="DCN1" s="301"/>
      <c r="DCO1" s="301"/>
      <c r="DCP1" s="301"/>
      <c r="DCQ1" s="301"/>
      <c r="DCR1" s="301"/>
      <c r="DCS1" s="301"/>
      <c r="DCT1" s="301"/>
      <c r="DCU1" s="301"/>
      <c r="DCV1" s="301"/>
      <c r="DCW1" s="301"/>
      <c r="DCX1" s="301"/>
      <c r="DCY1" s="301"/>
      <c r="DCZ1" s="301"/>
      <c r="DDA1" s="301"/>
      <c r="DDB1" s="301"/>
      <c r="DDC1" s="301"/>
      <c r="DDD1" s="301"/>
      <c r="DDE1" s="301"/>
      <c r="DDF1" s="301"/>
      <c r="DDG1" s="301"/>
      <c r="DDH1" s="301"/>
      <c r="DDI1" s="301"/>
      <c r="DDJ1" s="301"/>
      <c r="DDK1" s="301"/>
      <c r="DDL1" s="301"/>
      <c r="DDM1" s="301"/>
      <c r="DDN1" s="301"/>
      <c r="DDO1" s="301"/>
      <c r="DDP1" s="301"/>
      <c r="DDQ1" s="301"/>
      <c r="DDR1" s="301"/>
      <c r="DDS1" s="301"/>
      <c r="DDT1" s="301"/>
      <c r="DDU1" s="301"/>
      <c r="DDV1" s="301"/>
      <c r="DDW1" s="301"/>
      <c r="DDX1" s="301"/>
      <c r="DDY1" s="301"/>
      <c r="DDZ1" s="301"/>
      <c r="DEA1" s="301"/>
      <c r="DEB1" s="301"/>
      <c r="DEC1" s="301"/>
      <c r="DED1" s="301"/>
      <c r="DEE1" s="301"/>
      <c r="DEF1" s="301"/>
      <c r="DEG1" s="301"/>
      <c r="DEH1" s="301"/>
      <c r="DEI1" s="301"/>
      <c r="DEJ1" s="301"/>
      <c r="DEK1" s="301"/>
      <c r="DEL1" s="301"/>
      <c r="DEM1" s="301"/>
      <c r="DEN1" s="301"/>
      <c r="DEO1" s="301"/>
      <c r="DEP1" s="301"/>
      <c r="DEQ1" s="301"/>
      <c r="DER1" s="301"/>
      <c r="DES1" s="301"/>
      <c r="DET1" s="301"/>
      <c r="DEU1" s="301"/>
      <c r="DEV1" s="301"/>
      <c r="DEW1" s="301"/>
      <c r="DEX1" s="301"/>
      <c r="DEY1" s="301"/>
      <c r="DEZ1" s="301"/>
      <c r="DFA1" s="301"/>
      <c r="DFB1" s="301"/>
      <c r="DFC1" s="301"/>
      <c r="DFD1" s="301"/>
      <c r="DFE1" s="301"/>
      <c r="DFF1" s="301"/>
      <c r="DFG1" s="301"/>
      <c r="DFH1" s="301"/>
      <c r="DFI1" s="301"/>
      <c r="DFJ1" s="301"/>
      <c r="DFK1" s="301"/>
      <c r="DFL1" s="301"/>
      <c r="DFM1" s="301"/>
      <c r="DFN1" s="301"/>
      <c r="DFO1" s="301"/>
      <c r="DFP1" s="301"/>
      <c r="DFQ1" s="301"/>
      <c r="DFR1" s="301"/>
      <c r="DFS1" s="301"/>
      <c r="DFT1" s="301"/>
      <c r="DFU1" s="301"/>
      <c r="DFV1" s="301"/>
      <c r="DFW1" s="301"/>
      <c r="DFX1" s="301"/>
      <c r="DFY1" s="301"/>
      <c r="DFZ1" s="301"/>
      <c r="DGA1" s="301"/>
      <c r="DGB1" s="301"/>
      <c r="DGC1" s="301"/>
      <c r="DGD1" s="301"/>
      <c r="DGE1" s="301"/>
      <c r="DGF1" s="301"/>
      <c r="DGG1" s="301"/>
      <c r="DGH1" s="301"/>
      <c r="DGI1" s="301"/>
      <c r="DGJ1" s="301"/>
      <c r="DGK1" s="301"/>
      <c r="DGL1" s="301"/>
      <c r="DGM1" s="301"/>
      <c r="DGN1" s="301"/>
      <c r="DGO1" s="301"/>
      <c r="DGP1" s="301"/>
      <c r="DGQ1" s="301"/>
      <c r="DGR1" s="301"/>
      <c r="DGS1" s="301"/>
      <c r="DGT1" s="301"/>
      <c r="DGU1" s="301"/>
      <c r="DGV1" s="301"/>
      <c r="DGW1" s="301"/>
      <c r="DGX1" s="301"/>
      <c r="DGY1" s="301"/>
      <c r="DGZ1" s="301"/>
      <c r="DHA1" s="301"/>
      <c r="DHB1" s="301"/>
      <c r="DHC1" s="301"/>
      <c r="DHD1" s="301"/>
      <c r="DHE1" s="301"/>
      <c r="DHF1" s="301"/>
      <c r="DHG1" s="301"/>
      <c r="DHH1" s="301"/>
      <c r="DHI1" s="301"/>
      <c r="DHJ1" s="301"/>
      <c r="DHK1" s="301"/>
      <c r="DHL1" s="301"/>
      <c r="DHM1" s="301"/>
      <c r="DHN1" s="301"/>
      <c r="DHO1" s="301"/>
      <c r="DHP1" s="301"/>
      <c r="DHQ1" s="301"/>
      <c r="DHR1" s="301"/>
      <c r="DHS1" s="301"/>
      <c r="DHT1" s="301"/>
      <c r="DHU1" s="301"/>
      <c r="DHV1" s="301"/>
      <c r="DHW1" s="301"/>
      <c r="DHX1" s="301"/>
      <c r="DHY1" s="301"/>
      <c r="DHZ1" s="301"/>
      <c r="DIA1" s="301"/>
      <c r="DIB1" s="301"/>
      <c r="DIC1" s="301"/>
      <c r="DID1" s="301"/>
      <c r="DIE1" s="301"/>
      <c r="DIF1" s="301"/>
      <c r="DIG1" s="301"/>
      <c r="DIH1" s="301"/>
      <c r="DII1" s="301"/>
      <c r="DIJ1" s="301"/>
      <c r="DIK1" s="301"/>
      <c r="DIL1" s="301"/>
      <c r="DIM1" s="301"/>
      <c r="DIN1" s="301"/>
      <c r="DIO1" s="301"/>
      <c r="DIP1" s="301"/>
      <c r="DIQ1" s="301"/>
      <c r="DIR1" s="301"/>
      <c r="DIS1" s="301"/>
      <c r="DIT1" s="301"/>
      <c r="DIU1" s="301"/>
      <c r="DIV1" s="301"/>
      <c r="DIW1" s="301"/>
      <c r="DIX1" s="301"/>
      <c r="DIY1" s="301"/>
      <c r="DIZ1" s="301"/>
      <c r="DJA1" s="301"/>
      <c r="DJB1" s="301"/>
      <c r="DJC1" s="301"/>
      <c r="DJD1" s="301"/>
      <c r="DJE1" s="301"/>
      <c r="DJF1" s="301"/>
      <c r="DJG1" s="301"/>
      <c r="DJH1" s="301"/>
      <c r="DJI1" s="301"/>
      <c r="DJJ1" s="301"/>
      <c r="DJK1" s="301"/>
      <c r="DJL1" s="301"/>
      <c r="DJM1" s="301"/>
      <c r="DJN1" s="301"/>
      <c r="DJO1" s="301"/>
      <c r="DJP1" s="301"/>
      <c r="DJQ1" s="301"/>
      <c r="DJR1" s="301"/>
      <c r="DJS1" s="301"/>
      <c r="DJT1" s="301"/>
      <c r="DJU1" s="301"/>
      <c r="DJV1" s="301"/>
      <c r="DJW1" s="301"/>
      <c r="DJX1" s="301"/>
      <c r="DJY1" s="301"/>
      <c r="DJZ1" s="301"/>
      <c r="DKA1" s="301"/>
      <c r="DKB1" s="301"/>
      <c r="DKC1" s="301"/>
      <c r="DKD1" s="301"/>
      <c r="DKE1" s="301"/>
      <c r="DKF1" s="301"/>
      <c r="DKG1" s="301"/>
      <c r="DKH1" s="301"/>
      <c r="DKI1" s="301"/>
      <c r="DKJ1" s="301"/>
      <c r="DKK1" s="301"/>
      <c r="DKL1" s="301"/>
      <c r="DKM1" s="301"/>
      <c r="DKN1" s="301"/>
      <c r="DKO1" s="301"/>
      <c r="DKP1" s="301"/>
      <c r="DKQ1" s="301"/>
      <c r="DKR1" s="301"/>
      <c r="DKS1" s="301"/>
      <c r="DKT1" s="301"/>
      <c r="DKU1" s="301"/>
      <c r="DKV1" s="301"/>
      <c r="DKW1" s="301"/>
      <c r="DKX1" s="301"/>
      <c r="DKY1" s="301"/>
      <c r="DKZ1" s="301"/>
      <c r="DLA1" s="301"/>
      <c r="DLB1" s="301"/>
      <c r="DLC1" s="301"/>
      <c r="DLD1" s="301"/>
      <c r="DLE1" s="301"/>
      <c r="DLF1" s="301"/>
      <c r="DLG1" s="301"/>
      <c r="DLH1" s="301"/>
      <c r="DLI1" s="301"/>
      <c r="DLJ1" s="301"/>
      <c r="DLK1" s="301"/>
      <c r="DLL1" s="301"/>
      <c r="DLM1" s="301"/>
      <c r="DLN1" s="301"/>
      <c r="DLO1" s="301"/>
      <c r="DLP1" s="301"/>
      <c r="DLQ1" s="301"/>
      <c r="DLR1" s="301"/>
      <c r="DLS1" s="301"/>
      <c r="DLT1" s="301"/>
      <c r="DLU1" s="301"/>
      <c r="DLV1" s="301"/>
      <c r="DLW1" s="301"/>
      <c r="DLX1" s="301"/>
      <c r="DLY1" s="301"/>
      <c r="DLZ1" s="301"/>
      <c r="DMA1" s="301"/>
      <c r="DMB1" s="301"/>
      <c r="DMC1" s="301"/>
      <c r="DMD1" s="301"/>
      <c r="DME1" s="301"/>
      <c r="DMF1" s="301"/>
      <c r="DMG1" s="301"/>
      <c r="DMH1" s="301"/>
      <c r="DMI1" s="301"/>
      <c r="DMJ1" s="301"/>
      <c r="DMK1" s="301"/>
      <c r="DML1" s="301"/>
      <c r="DMM1" s="301"/>
      <c r="DMN1" s="301"/>
      <c r="DMO1" s="301"/>
      <c r="DMP1" s="301"/>
      <c r="DMQ1" s="301"/>
      <c r="DMR1" s="301"/>
      <c r="DMS1" s="301"/>
      <c r="DMT1" s="301"/>
      <c r="DMU1" s="301"/>
      <c r="DMV1" s="301"/>
      <c r="DMW1" s="301"/>
      <c r="DMX1" s="301"/>
      <c r="DMY1" s="301"/>
      <c r="DMZ1" s="301"/>
      <c r="DNA1" s="301"/>
      <c r="DNB1" s="301"/>
      <c r="DNC1" s="301"/>
      <c r="DND1" s="301"/>
      <c r="DNE1" s="301"/>
      <c r="DNF1" s="301"/>
      <c r="DNG1" s="301"/>
      <c r="DNH1" s="301"/>
      <c r="DNI1" s="301"/>
      <c r="DNJ1" s="301"/>
      <c r="DNK1" s="301"/>
      <c r="DNL1" s="301"/>
      <c r="DNM1" s="301"/>
      <c r="DNN1" s="301"/>
      <c r="DNO1" s="301"/>
      <c r="DNP1" s="301"/>
      <c r="DNQ1" s="301"/>
      <c r="DNR1" s="301"/>
      <c r="DNS1" s="301"/>
      <c r="DNT1" s="301"/>
      <c r="DNU1" s="301"/>
      <c r="DNV1" s="301"/>
      <c r="DNW1" s="301"/>
      <c r="DNX1" s="301"/>
      <c r="DNY1" s="301"/>
      <c r="DNZ1" s="301"/>
      <c r="DOA1" s="301"/>
      <c r="DOB1" s="301"/>
      <c r="DOC1" s="301"/>
      <c r="DOD1" s="301"/>
      <c r="DOE1" s="301"/>
      <c r="DOF1" s="301"/>
      <c r="DOG1" s="301"/>
      <c r="DOH1" s="301"/>
      <c r="DOI1" s="301"/>
      <c r="DOJ1" s="301"/>
      <c r="DOK1" s="301"/>
      <c r="DOL1" s="301"/>
      <c r="DOM1" s="301"/>
      <c r="DON1" s="301"/>
      <c r="DOO1" s="301"/>
      <c r="DOP1" s="301"/>
      <c r="DOQ1" s="301"/>
      <c r="DOR1" s="301"/>
      <c r="DOS1" s="301"/>
      <c r="DOT1" s="301"/>
      <c r="DOU1" s="301"/>
      <c r="DOV1" s="301"/>
      <c r="DOW1" s="301"/>
      <c r="DOX1" s="301"/>
      <c r="DOY1" s="301"/>
      <c r="DOZ1" s="301"/>
      <c r="DPA1" s="301"/>
      <c r="DPB1" s="301"/>
      <c r="DPC1" s="301"/>
      <c r="DPD1" s="301"/>
      <c r="DPE1" s="301"/>
      <c r="DPF1" s="301"/>
      <c r="DPG1" s="301"/>
      <c r="DPH1" s="301"/>
      <c r="DPI1" s="301"/>
      <c r="DPJ1" s="301"/>
      <c r="DPK1" s="301"/>
      <c r="DPL1" s="301"/>
      <c r="DPM1" s="301"/>
      <c r="DPN1" s="301"/>
      <c r="DPO1" s="301"/>
      <c r="DPP1" s="301"/>
      <c r="DPQ1" s="301"/>
      <c r="DPR1" s="301"/>
      <c r="DPS1" s="301"/>
      <c r="DPT1" s="301"/>
      <c r="DPU1" s="301"/>
      <c r="DPV1" s="301"/>
      <c r="DPW1" s="301"/>
      <c r="DPX1" s="301"/>
      <c r="DPY1" s="301"/>
      <c r="DPZ1" s="301"/>
      <c r="DQA1" s="301"/>
      <c r="DQB1" s="301"/>
      <c r="DQC1" s="301"/>
      <c r="DQD1" s="301"/>
      <c r="DQE1" s="301"/>
      <c r="DQF1" s="301"/>
      <c r="DQG1" s="301"/>
      <c r="DQH1" s="301"/>
      <c r="DQI1" s="301"/>
      <c r="DQJ1" s="301"/>
      <c r="DQK1" s="301"/>
      <c r="DQL1" s="301"/>
      <c r="DQM1" s="301"/>
      <c r="DQN1" s="301"/>
      <c r="DQO1" s="301"/>
      <c r="DQP1" s="301"/>
      <c r="DQQ1" s="301"/>
      <c r="DQR1" s="301"/>
      <c r="DQS1" s="301"/>
      <c r="DQT1" s="301"/>
      <c r="DQU1" s="301"/>
      <c r="DQV1" s="301"/>
      <c r="DQW1" s="301"/>
      <c r="DQX1" s="301"/>
      <c r="DQY1" s="301"/>
      <c r="DQZ1" s="301"/>
      <c r="DRA1" s="301"/>
      <c r="DRB1" s="301"/>
      <c r="DRC1" s="301"/>
      <c r="DRD1" s="301"/>
      <c r="DRE1" s="301"/>
      <c r="DRF1" s="301"/>
      <c r="DRG1" s="301"/>
      <c r="DRH1" s="301"/>
      <c r="DRI1" s="301"/>
      <c r="DRJ1" s="301"/>
      <c r="DRK1" s="301"/>
      <c r="DRL1" s="301"/>
      <c r="DRM1" s="301"/>
      <c r="DRN1" s="301"/>
      <c r="DRO1" s="301"/>
      <c r="DRP1" s="301"/>
      <c r="DRQ1" s="301"/>
      <c r="DRR1" s="301"/>
      <c r="DRS1" s="301"/>
      <c r="DRT1" s="301"/>
      <c r="DRU1" s="301"/>
      <c r="DRV1" s="301"/>
      <c r="DRW1" s="301"/>
      <c r="DRX1" s="301"/>
      <c r="DRY1" s="301"/>
      <c r="DRZ1" s="301"/>
      <c r="DSA1" s="301"/>
      <c r="DSB1" s="301"/>
      <c r="DSC1" s="301"/>
      <c r="DSD1" s="301"/>
      <c r="DSE1" s="301"/>
      <c r="DSF1" s="301"/>
      <c r="DSG1" s="301"/>
      <c r="DSH1" s="301"/>
      <c r="DSI1" s="301"/>
      <c r="DSJ1" s="301"/>
      <c r="DSK1" s="301"/>
      <c r="DSL1" s="301"/>
      <c r="DSM1" s="301"/>
      <c r="DSN1" s="301"/>
      <c r="DSO1" s="301"/>
      <c r="DSP1" s="301"/>
      <c r="DSQ1" s="301"/>
      <c r="DSR1" s="301"/>
      <c r="DSS1" s="301"/>
      <c r="DST1" s="301"/>
      <c r="DSU1" s="301"/>
      <c r="DSV1" s="301"/>
      <c r="DSW1" s="301"/>
      <c r="DSX1" s="301"/>
      <c r="DSY1" s="301"/>
      <c r="DSZ1" s="301"/>
      <c r="DTA1" s="301"/>
      <c r="DTB1" s="301"/>
      <c r="DTC1" s="301"/>
      <c r="DTD1" s="301"/>
      <c r="DTE1" s="301"/>
      <c r="DTF1" s="301"/>
      <c r="DTG1" s="301"/>
      <c r="DTH1" s="301"/>
      <c r="DTI1" s="301"/>
      <c r="DTJ1" s="301"/>
      <c r="DTK1" s="301"/>
      <c r="DTL1" s="301"/>
      <c r="DTM1" s="301"/>
      <c r="DTN1" s="301"/>
      <c r="DTO1" s="301"/>
      <c r="DTP1" s="301"/>
      <c r="DTQ1" s="301"/>
      <c r="DTR1" s="301"/>
      <c r="DTS1" s="301"/>
      <c r="DTT1" s="301"/>
      <c r="DTU1" s="301"/>
      <c r="DTV1" s="301"/>
      <c r="DTW1" s="301"/>
      <c r="DTX1" s="301"/>
      <c r="DTY1" s="301"/>
      <c r="DTZ1" s="301"/>
      <c r="DUA1" s="301"/>
      <c r="DUB1" s="301"/>
      <c r="DUC1" s="301"/>
      <c r="DUD1" s="301"/>
      <c r="DUE1" s="301"/>
      <c r="DUF1" s="301"/>
      <c r="DUG1" s="301"/>
      <c r="DUH1" s="301"/>
      <c r="DUI1" s="301"/>
      <c r="DUJ1" s="301"/>
      <c r="DUK1" s="301"/>
      <c r="DUL1" s="301"/>
      <c r="DUM1" s="301"/>
      <c r="DUN1" s="301"/>
      <c r="DUO1" s="301"/>
      <c r="DUP1" s="301"/>
      <c r="DUQ1" s="301"/>
      <c r="DUR1" s="301"/>
      <c r="DUS1" s="301"/>
      <c r="DUT1" s="301"/>
      <c r="DUU1" s="301"/>
      <c r="DUV1" s="301"/>
      <c r="DUW1" s="301"/>
      <c r="DUX1" s="301"/>
      <c r="DUY1" s="301"/>
      <c r="DUZ1" s="301"/>
      <c r="DVA1" s="301"/>
      <c r="DVB1" s="301"/>
      <c r="DVC1" s="301"/>
      <c r="DVD1" s="301"/>
      <c r="DVE1" s="301"/>
      <c r="DVF1" s="301"/>
      <c r="DVG1" s="301"/>
      <c r="DVH1" s="301"/>
      <c r="DVI1" s="301"/>
      <c r="DVJ1" s="301"/>
      <c r="DVK1" s="301"/>
      <c r="DVL1" s="301"/>
      <c r="DVM1" s="301"/>
      <c r="DVN1" s="301"/>
      <c r="DVO1" s="301"/>
      <c r="DVP1" s="301"/>
      <c r="DVQ1" s="301"/>
      <c r="DVR1" s="301"/>
      <c r="DVS1" s="301"/>
      <c r="DVT1" s="301"/>
      <c r="DVU1" s="301"/>
      <c r="DVV1" s="301"/>
      <c r="DVW1" s="301"/>
      <c r="DVX1" s="301"/>
      <c r="DVY1" s="301"/>
      <c r="DVZ1" s="301"/>
      <c r="DWA1" s="301"/>
      <c r="DWB1" s="301"/>
      <c r="DWC1" s="301"/>
      <c r="DWD1" s="301"/>
      <c r="DWE1" s="301"/>
      <c r="DWF1" s="301"/>
      <c r="DWG1" s="301"/>
      <c r="DWH1" s="301"/>
      <c r="DWI1" s="301"/>
      <c r="DWJ1" s="301"/>
      <c r="DWK1" s="301"/>
      <c r="DWL1" s="301"/>
      <c r="DWM1" s="301"/>
      <c r="DWN1" s="301"/>
      <c r="DWO1" s="301"/>
      <c r="DWP1" s="301"/>
      <c r="DWQ1" s="301"/>
      <c r="DWR1" s="301"/>
      <c r="DWS1" s="301"/>
      <c r="DWT1" s="301"/>
      <c r="DWU1" s="301"/>
      <c r="DWV1" s="301"/>
      <c r="DWW1" s="301"/>
      <c r="DWX1" s="301"/>
      <c r="DWY1" s="301"/>
      <c r="DWZ1" s="301"/>
      <c r="DXA1" s="301"/>
      <c r="DXB1" s="301"/>
      <c r="DXC1" s="301"/>
      <c r="DXD1" s="301"/>
      <c r="DXE1" s="301"/>
      <c r="DXF1" s="301"/>
      <c r="DXG1" s="301"/>
      <c r="DXH1" s="301"/>
      <c r="DXI1" s="301"/>
      <c r="DXJ1" s="301"/>
      <c r="DXK1" s="301"/>
      <c r="DXL1" s="301"/>
      <c r="DXM1" s="301"/>
      <c r="DXN1" s="301"/>
      <c r="DXO1" s="301"/>
      <c r="DXP1" s="301"/>
      <c r="DXQ1" s="301"/>
      <c r="DXR1" s="301"/>
      <c r="DXS1" s="301"/>
      <c r="DXT1" s="301"/>
      <c r="DXU1" s="301"/>
      <c r="DXV1" s="301"/>
      <c r="DXW1" s="301"/>
      <c r="DXX1" s="301"/>
      <c r="DXY1" s="301"/>
      <c r="DXZ1" s="301"/>
      <c r="DYA1" s="301"/>
      <c r="DYB1" s="301"/>
      <c r="DYC1" s="301"/>
      <c r="DYD1" s="301"/>
      <c r="DYE1" s="301"/>
      <c r="DYF1" s="301"/>
      <c r="DYG1" s="301"/>
      <c r="DYH1" s="301"/>
      <c r="DYI1" s="301"/>
      <c r="DYJ1" s="301"/>
      <c r="DYK1" s="301"/>
      <c r="DYL1" s="301"/>
      <c r="DYM1" s="301"/>
      <c r="DYN1" s="301"/>
      <c r="DYO1" s="301"/>
      <c r="DYP1" s="301"/>
      <c r="DYQ1" s="301"/>
      <c r="DYR1" s="301"/>
      <c r="DYS1" s="301"/>
      <c r="DYT1" s="301"/>
      <c r="DYU1" s="301"/>
      <c r="DYV1" s="301"/>
      <c r="DYW1" s="301"/>
      <c r="DYX1" s="301"/>
      <c r="DYY1" s="301"/>
      <c r="DYZ1" s="301"/>
      <c r="DZA1" s="301"/>
      <c r="DZB1" s="301"/>
      <c r="DZC1" s="301"/>
      <c r="DZD1" s="301"/>
      <c r="DZE1" s="301"/>
      <c r="DZF1" s="301"/>
      <c r="DZG1" s="301"/>
      <c r="DZH1" s="301"/>
      <c r="DZI1" s="301"/>
      <c r="DZJ1" s="301"/>
      <c r="DZK1" s="301"/>
      <c r="DZL1" s="301"/>
      <c r="DZM1" s="301"/>
      <c r="DZN1" s="301"/>
      <c r="DZO1" s="301"/>
      <c r="DZP1" s="301"/>
      <c r="DZQ1" s="301"/>
      <c r="DZR1" s="301"/>
      <c r="DZS1" s="301"/>
      <c r="DZT1" s="301"/>
      <c r="DZU1" s="301"/>
      <c r="DZV1" s="301"/>
      <c r="DZW1" s="301"/>
      <c r="DZX1" s="301"/>
      <c r="DZY1" s="301"/>
      <c r="DZZ1" s="301"/>
      <c r="EAA1" s="301"/>
      <c r="EAB1" s="301"/>
      <c r="EAC1" s="301"/>
      <c r="EAD1" s="301"/>
      <c r="EAE1" s="301"/>
      <c r="EAF1" s="301"/>
      <c r="EAG1" s="301"/>
      <c r="EAH1" s="301"/>
      <c r="EAI1" s="301"/>
      <c r="EAJ1" s="301"/>
      <c r="EAK1" s="301"/>
      <c r="EAL1" s="301"/>
      <c r="EAM1" s="301"/>
      <c r="EAN1" s="301"/>
      <c r="EAO1" s="301"/>
      <c r="EAP1" s="301"/>
      <c r="EAQ1" s="301"/>
      <c r="EAR1" s="301"/>
      <c r="EAS1" s="301"/>
      <c r="EAT1" s="301"/>
      <c r="EAU1" s="301"/>
      <c r="EAV1" s="301"/>
      <c r="EAW1" s="301"/>
      <c r="EAX1" s="301"/>
      <c r="EAY1" s="301"/>
      <c r="EAZ1" s="301"/>
      <c r="EBA1" s="301"/>
      <c r="EBB1" s="301"/>
      <c r="EBC1" s="301"/>
      <c r="EBD1" s="301"/>
      <c r="EBE1" s="301"/>
      <c r="EBF1" s="301"/>
      <c r="EBG1" s="301"/>
      <c r="EBH1" s="301"/>
      <c r="EBI1" s="301"/>
      <c r="EBJ1" s="301"/>
      <c r="EBK1" s="301"/>
      <c r="EBL1" s="301"/>
      <c r="EBM1" s="301"/>
      <c r="EBN1" s="301"/>
      <c r="EBO1" s="301"/>
      <c r="EBP1" s="301"/>
      <c r="EBQ1" s="301"/>
      <c r="EBR1" s="301"/>
      <c r="EBS1" s="301"/>
      <c r="EBT1" s="301"/>
      <c r="EBU1" s="301"/>
      <c r="EBV1" s="301"/>
      <c r="EBW1" s="301"/>
      <c r="EBX1" s="301"/>
      <c r="EBY1" s="301"/>
      <c r="EBZ1" s="301"/>
      <c r="ECA1" s="301"/>
      <c r="ECB1" s="301"/>
      <c r="ECC1" s="301"/>
      <c r="ECD1" s="301"/>
      <c r="ECE1" s="301"/>
      <c r="ECF1" s="301"/>
      <c r="ECG1" s="301"/>
      <c r="ECH1" s="301"/>
      <c r="ECI1" s="301"/>
      <c r="ECJ1" s="301"/>
      <c r="ECK1" s="301"/>
      <c r="ECL1" s="301"/>
      <c r="ECM1" s="301"/>
      <c r="ECN1" s="301"/>
      <c r="ECO1" s="301"/>
      <c r="ECP1" s="301"/>
      <c r="ECQ1" s="301"/>
      <c r="ECR1" s="301"/>
      <c r="ECS1" s="301"/>
      <c r="ECT1" s="301"/>
      <c r="ECU1" s="301"/>
      <c r="ECV1" s="301"/>
      <c r="ECW1" s="301"/>
      <c r="ECX1" s="301"/>
      <c r="ECY1" s="301"/>
      <c r="ECZ1" s="301"/>
      <c r="EDA1" s="301"/>
      <c r="EDB1" s="301"/>
      <c r="EDC1" s="301"/>
      <c r="EDD1" s="301"/>
      <c r="EDE1" s="301"/>
      <c r="EDF1" s="301"/>
      <c r="EDG1" s="301"/>
      <c r="EDH1" s="301"/>
      <c r="EDI1" s="301"/>
      <c r="EDJ1" s="301"/>
      <c r="EDK1" s="301"/>
      <c r="EDL1" s="301"/>
      <c r="EDM1" s="301"/>
      <c r="EDN1" s="301"/>
      <c r="EDO1" s="301"/>
      <c r="EDP1" s="301"/>
      <c r="EDQ1" s="301"/>
      <c r="EDR1" s="301"/>
      <c r="EDS1" s="301"/>
      <c r="EDT1" s="301"/>
      <c r="EDU1" s="301"/>
      <c r="EDV1" s="301"/>
      <c r="EDW1" s="301"/>
      <c r="EDX1" s="301"/>
      <c r="EDY1" s="301"/>
      <c r="EDZ1" s="301"/>
      <c r="EEA1" s="301"/>
      <c r="EEB1" s="301"/>
      <c r="EEC1" s="301"/>
      <c r="EED1" s="301"/>
      <c r="EEE1" s="301"/>
      <c r="EEF1" s="301"/>
      <c r="EEG1" s="301"/>
      <c r="EEH1" s="301"/>
      <c r="EEI1" s="301"/>
      <c r="EEJ1" s="301"/>
      <c r="EEK1" s="301"/>
      <c r="EEL1" s="301"/>
      <c r="EEM1" s="301"/>
      <c r="EEN1" s="301"/>
      <c r="EEO1" s="301"/>
      <c r="EEP1" s="301"/>
      <c r="EEQ1" s="301"/>
      <c r="EER1" s="301"/>
      <c r="EES1" s="301"/>
      <c r="EET1" s="301"/>
      <c r="EEU1" s="301"/>
      <c r="EEV1" s="301"/>
      <c r="EEW1" s="301"/>
      <c r="EEX1" s="301"/>
      <c r="EEY1" s="301"/>
      <c r="EEZ1" s="301"/>
      <c r="EFA1" s="301"/>
      <c r="EFB1" s="301"/>
      <c r="EFC1" s="301"/>
      <c r="EFD1" s="301"/>
      <c r="EFE1" s="301"/>
      <c r="EFF1" s="301"/>
      <c r="EFG1" s="301"/>
      <c r="EFH1" s="301"/>
      <c r="EFI1" s="301"/>
      <c r="EFJ1" s="301"/>
      <c r="EFK1" s="301"/>
      <c r="EFL1" s="301"/>
      <c r="EFM1" s="301"/>
      <c r="EFN1" s="301"/>
      <c r="EFO1" s="301"/>
      <c r="EFP1" s="301"/>
      <c r="EFQ1" s="301"/>
      <c r="EFR1" s="301"/>
      <c r="EFS1" s="301"/>
      <c r="EFT1" s="301"/>
      <c r="EFU1" s="301"/>
      <c r="EFV1" s="301"/>
      <c r="EFW1" s="301"/>
      <c r="EFX1" s="301"/>
      <c r="EFY1" s="301"/>
      <c r="EFZ1" s="301"/>
      <c r="EGA1" s="301"/>
      <c r="EGB1" s="301"/>
      <c r="EGC1" s="301"/>
      <c r="EGD1" s="301"/>
      <c r="EGE1" s="301"/>
      <c r="EGF1" s="301"/>
      <c r="EGG1" s="301"/>
      <c r="EGH1" s="301"/>
      <c r="EGI1" s="301"/>
      <c r="EGJ1" s="301"/>
      <c r="EGK1" s="301"/>
      <c r="EGL1" s="301"/>
      <c r="EGM1" s="301"/>
      <c r="EGN1" s="301"/>
      <c r="EGO1" s="301"/>
      <c r="EGP1" s="301"/>
      <c r="EGQ1" s="301"/>
      <c r="EGR1" s="301"/>
      <c r="EGS1" s="301"/>
      <c r="EGT1" s="301"/>
      <c r="EGU1" s="301"/>
      <c r="EGV1" s="301"/>
      <c r="EGW1" s="301"/>
      <c r="EGX1" s="301"/>
      <c r="EGY1" s="301"/>
      <c r="EGZ1" s="301"/>
      <c r="EHA1" s="301"/>
      <c r="EHB1" s="301"/>
      <c r="EHC1" s="301"/>
      <c r="EHD1" s="301"/>
      <c r="EHE1" s="301"/>
      <c r="EHF1" s="301"/>
      <c r="EHG1" s="301"/>
      <c r="EHH1" s="301"/>
      <c r="EHI1" s="301"/>
      <c r="EHJ1" s="301"/>
      <c r="EHK1" s="301"/>
      <c r="EHL1" s="301"/>
      <c r="EHM1" s="301"/>
      <c r="EHN1" s="301"/>
      <c r="EHO1" s="301"/>
      <c r="EHP1" s="301"/>
      <c r="EHQ1" s="301"/>
      <c r="EHR1" s="301"/>
      <c r="EHS1" s="301"/>
      <c r="EHT1" s="301"/>
      <c r="EHU1" s="301"/>
      <c r="EHV1" s="301"/>
      <c r="EHW1" s="301"/>
      <c r="EHX1" s="301"/>
      <c r="EHY1" s="301"/>
      <c r="EHZ1" s="301"/>
      <c r="EIA1" s="301"/>
      <c r="EIB1" s="301"/>
      <c r="EIC1" s="301"/>
      <c r="EID1" s="301"/>
      <c r="EIE1" s="301"/>
      <c r="EIF1" s="301"/>
      <c r="EIG1" s="301"/>
      <c r="EIH1" s="301"/>
      <c r="EII1" s="301"/>
      <c r="EIJ1" s="301"/>
      <c r="EIK1" s="301"/>
      <c r="EIL1" s="301"/>
      <c r="EIM1" s="301"/>
      <c r="EIN1" s="301"/>
      <c r="EIO1" s="301"/>
      <c r="EIP1" s="301"/>
      <c r="EIQ1" s="301"/>
      <c r="EIR1" s="301"/>
      <c r="EIS1" s="301"/>
      <c r="EIT1" s="301"/>
      <c r="EIU1" s="301"/>
      <c r="EIV1" s="301"/>
      <c r="EIW1" s="301"/>
      <c r="EIX1" s="301"/>
      <c r="EIY1" s="301"/>
      <c r="EIZ1" s="301"/>
      <c r="EJA1" s="301"/>
      <c r="EJB1" s="301"/>
      <c r="EJC1" s="301"/>
      <c r="EJD1" s="301"/>
      <c r="EJE1" s="301"/>
      <c r="EJF1" s="301"/>
      <c r="EJG1" s="301"/>
      <c r="EJH1" s="301"/>
      <c r="EJI1" s="301"/>
      <c r="EJJ1" s="301"/>
      <c r="EJK1" s="301"/>
      <c r="EJL1" s="301"/>
      <c r="EJM1" s="301"/>
      <c r="EJN1" s="301"/>
      <c r="EJO1" s="301"/>
      <c r="EJP1" s="301"/>
      <c r="EJQ1" s="301"/>
      <c r="EJR1" s="301"/>
      <c r="EJS1" s="301"/>
      <c r="EJT1" s="301"/>
      <c r="EJU1" s="301"/>
      <c r="EJV1" s="301"/>
      <c r="EJW1" s="301"/>
      <c r="EJX1" s="301"/>
      <c r="EJY1" s="301"/>
      <c r="EJZ1" s="301"/>
      <c r="EKA1" s="301"/>
      <c r="EKB1" s="301"/>
      <c r="EKC1" s="301"/>
      <c r="EKD1" s="301"/>
      <c r="EKE1" s="301"/>
      <c r="EKF1" s="301"/>
      <c r="EKG1" s="301"/>
      <c r="EKH1" s="301"/>
      <c r="EKI1" s="301"/>
      <c r="EKJ1" s="301"/>
      <c r="EKK1" s="301"/>
      <c r="EKL1" s="301"/>
      <c r="EKM1" s="301"/>
      <c r="EKN1" s="301"/>
      <c r="EKO1" s="301"/>
      <c r="EKP1" s="301"/>
      <c r="EKQ1" s="301"/>
      <c r="EKR1" s="301"/>
      <c r="EKS1" s="301"/>
      <c r="EKT1" s="301"/>
      <c r="EKU1" s="301"/>
      <c r="EKV1" s="301"/>
      <c r="EKW1" s="301"/>
      <c r="EKX1" s="301"/>
      <c r="EKY1" s="301"/>
      <c r="EKZ1" s="301"/>
      <c r="ELA1" s="301"/>
      <c r="ELB1" s="301"/>
      <c r="ELC1" s="301"/>
      <c r="ELD1" s="301"/>
      <c r="ELE1" s="301"/>
      <c r="ELF1" s="301"/>
      <c r="ELG1" s="301"/>
      <c r="ELH1" s="301"/>
      <c r="ELI1" s="301"/>
      <c r="ELJ1" s="301"/>
      <c r="ELK1" s="301"/>
      <c r="ELL1" s="301"/>
      <c r="ELM1" s="301"/>
      <c r="ELN1" s="301"/>
      <c r="ELO1" s="301"/>
      <c r="ELP1" s="301"/>
      <c r="ELQ1" s="301"/>
      <c r="ELR1" s="301"/>
      <c r="ELS1" s="301"/>
      <c r="ELT1" s="301"/>
      <c r="ELU1" s="301"/>
      <c r="ELV1" s="301"/>
      <c r="ELW1" s="301"/>
      <c r="ELX1" s="301"/>
      <c r="ELY1" s="301"/>
      <c r="ELZ1" s="301"/>
      <c r="EMA1" s="301"/>
      <c r="EMB1" s="301"/>
      <c r="EMC1" s="301"/>
      <c r="EMD1" s="301"/>
      <c r="EME1" s="301"/>
      <c r="EMF1" s="301"/>
      <c r="EMG1" s="301"/>
      <c r="EMH1" s="301"/>
      <c r="EMI1" s="301"/>
      <c r="EMJ1" s="301"/>
      <c r="EMK1" s="301"/>
      <c r="EML1" s="301"/>
      <c r="EMM1" s="301"/>
      <c r="EMN1" s="301"/>
      <c r="EMO1" s="301"/>
      <c r="EMP1" s="301"/>
      <c r="EMQ1" s="301"/>
      <c r="EMR1" s="301"/>
      <c r="EMS1" s="301"/>
      <c r="EMT1" s="301"/>
      <c r="EMU1" s="301"/>
      <c r="EMV1" s="301"/>
      <c r="EMW1" s="301"/>
      <c r="EMX1" s="301"/>
      <c r="EMY1" s="301"/>
      <c r="EMZ1" s="301"/>
      <c r="ENA1" s="301"/>
      <c r="ENB1" s="301"/>
      <c r="ENC1" s="301"/>
      <c r="END1" s="301"/>
      <c r="ENE1" s="301"/>
      <c r="ENF1" s="301"/>
      <c r="ENG1" s="301"/>
      <c r="ENH1" s="301"/>
      <c r="ENI1" s="301"/>
      <c r="ENJ1" s="301"/>
      <c r="ENK1" s="301"/>
      <c r="ENL1" s="301"/>
      <c r="ENM1" s="301"/>
      <c r="ENN1" s="301"/>
      <c r="ENO1" s="301"/>
      <c r="ENP1" s="301"/>
      <c r="ENQ1" s="301"/>
      <c r="ENR1" s="301"/>
      <c r="ENS1" s="301"/>
      <c r="ENT1" s="301"/>
      <c r="ENU1" s="301"/>
      <c r="ENV1" s="301"/>
      <c r="ENW1" s="301"/>
      <c r="ENX1" s="301"/>
      <c r="ENY1" s="301"/>
      <c r="ENZ1" s="301"/>
      <c r="EOA1" s="301"/>
      <c r="EOB1" s="301"/>
      <c r="EOC1" s="301"/>
      <c r="EOD1" s="301"/>
      <c r="EOE1" s="301"/>
      <c r="EOF1" s="301"/>
      <c r="EOG1" s="301"/>
      <c r="EOH1" s="301"/>
      <c r="EOI1" s="301"/>
      <c r="EOJ1" s="301"/>
      <c r="EOK1" s="301"/>
      <c r="EOL1" s="301"/>
      <c r="EOM1" s="301"/>
      <c r="EON1" s="301"/>
      <c r="EOO1" s="301"/>
      <c r="EOP1" s="301"/>
      <c r="EOQ1" s="301"/>
      <c r="EOR1" s="301"/>
      <c r="EOS1" s="301"/>
      <c r="EOT1" s="301"/>
      <c r="EOU1" s="301"/>
      <c r="EOV1" s="301"/>
      <c r="EOW1" s="301"/>
      <c r="EOX1" s="301"/>
      <c r="EOY1" s="301"/>
      <c r="EOZ1" s="301"/>
      <c r="EPA1" s="301"/>
      <c r="EPB1" s="301"/>
      <c r="EPC1" s="301"/>
      <c r="EPD1" s="301"/>
      <c r="EPE1" s="301"/>
      <c r="EPF1" s="301"/>
      <c r="EPG1" s="301"/>
      <c r="EPH1" s="301"/>
      <c r="EPI1" s="301"/>
      <c r="EPJ1" s="301"/>
      <c r="EPK1" s="301"/>
      <c r="EPL1" s="301"/>
      <c r="EPM1" s="301"/>
      <c r="EPN1" s="301"/>
      <c r="EPO1" s="301"/>
      <c r="EPP1" s="301"/>
      <c r="EPQ1" s="301"/>
      <c r="EPR1" s="301"/>
      <c r="EPS1" s="301"/>
      <c r="EPT1" s="301"/>
      <c r="EPU1" s="301"/>
      <c r="EPV1" s="301"/>
      <c r="EPW1" s="301"/>
      <c r="EPX1" s="301"/>
      <c r="EPY1" s="301"/>
      <c r="EPZ1" s="301"/>
      <c r="EQA1" s="301"/>
      <c r="EQB1" s="301"/>
      <c r="EQC1" s="301"/>
      <c r="EQD1" s="301"/>
      <c r="EQE1" s="301"/>
      <c r="EQF1" s="301"/>
      <c r="EQG1" s="301"/>
      <c r="EQH1" s="301"/>
      <c r="EQI1" s="301"/>
      <c r="EQJ1" s="301"/>
      <c r="EQK1" s="301"/>
      <c r="EQL1" s="301"/>
      <c r="EQM1" s="301"/>
      <c r="EQN1" s="301"/>
      <c r="EQO1" s="301"/>
      <c r="EQP1" s="301"/>
      <c r="EQQ1" s="301"/>
      <c r="EQR1" s="301"/>
      <c r="EQS1" s="301"/>
      <c r="EQT1" s="301"/>
      <c r="EQU1" s="301"/>
      <c r="EQV1" s="301"/>
      <c r="EQW1" s="301"/>
      <c r="EQX1" s="301"/>
      <c r="EQY1" s="301"/>
      <c r="EQZ1" s="301"/>
      <c r="ERA1" s="301"/>
      <c r="ERB1" s="301"/>
      <c r="ERC1" s="301"/>
      <c r="ERD1" s="301"/>
      <c r="ERE1" s="301"/>
      <c r="ERF1" s="301"/>
      <c r="ERG1" s="301"/>
      <c r="ERH1" s="301"/>
      <c r="ERI1" s="301"/>
      <c r="ERJ1" s="301"/>
      <c r="ERK1" s="301"/>
      <c r="ERL1" s="301"/>
      <c r="ERM1" s="301"/>
      <c r="ERN1" s="301"/>
      <c r="ERO1" s="301"/>
      <c r="ERP1" s="301"/>
      <c r="ERQ1" s="301"/>
      <c r="ERR1" s="301"/>
      <c r="ERS1" s="301"/>
      <c r="ERT1" s="301"/>
      <c r="ERU1" s="301"/>
      <c r="ERV1" s="301"/>
      <c r="ERW1" s="301"/>
      <c r="ERX1" s="301"/>
      <c r="ERY1" s="301"/>
      <c r="ERZ1" s="301"/>
      <c r="ESA1" s="301"/>
      <c r="ESB1" s="301"/>
      <c r="ESC1" s="301"/>
      <c r="ESD1" s="301"/>
      <c r="ESE1" s="301"/>
      <c r="ESF1" s="301"/>
      <c r="ESG1" s="301"/>
      <c r="ESH1" s="301"/>
      <c r="ESI1" s="301"/>
      <c r="ESJ1" s="301"/>
      <c r="ESK1" s="301"/>
      <c r="ESL1" s="301"/>
      <c r="ESM1" s="301"/>
      <c r="ESN1" s="301"/>
      <c r="ESO1" s="301"/>
      <c r="ESP1" s="301"/>
      <c r="ESQ1" s="301"/>
      <c r="ESR1" s="301"/>
      <c r="ESS1" s="301"/>
      <c r="EST1" s="301"/>
      <c r="ESU1" s="301"/>
      <c r="ESV1" s="301"/>
      <c r="ESW1" s="301"/>
      <c r="ESX1" s="301"/>
      <c r="ESY1" s="301"/>
      <c r="ESZ1" s="301"/>
      <c r="ETA1" s="301"/>
      <c r="ETB1" s="301"/>
      <c r="ETC1" s="301"/>
      <c r="ETD1" s="301"/>
      <c r="ETE1" s="301"/>
      <c r="ETF1" s="301"/>
      <c r="ETG1" s="301"/>
      <c r="ETH1" s="301"/>
      <c r="ETI1" s="301"/>
      <c r="ETJ1" s="301"/>
      <c r="ETK1" s="301"/>
      <c r="ETL1" s="301"/>
      <c r="ETM1" s="301"/>
      <c r="ETN1" s="301"/>
      <c r="ETO1" s="301"/>
      <c r="ETP1" s="301"/>
      <c r="ETQ1" s="301"/>
      <c r="ETR1" s="301"/>
      <c r="ETS1" s="301"/>
      <c r="ETT1" s="301"/>
      <c r="ETU1" s="301"/>
      <c r="ETV1" s="301"/>
      <c r="ETW1" s="301"/>
      <c r="ETX1" s="301"/>
      <c r="ETY1" s="301"/>
      <c r="ETZ1" s="301"/>
      <c r="EUA1" s="301"/>
      <c r="EUB1" s="301"/>
      <c r="EUC1" s="301"/>
      <c r="EUD1" s="301"/>
      <c r="EUE1" s="301"/>
      <c r="EUF1" s="301"/>
      <c r="EUG1" s="301"/>
      <c r="EUH1" s="301"/>
      <c r="EUI1" s="301"/>
      <c r="EUJ1" s="301"/>
      <c r="EUK1" s="301"/>
      <c r="EUL1" s="301"/>
      <c r="EUM1" s="301"/>
      <c r="EUN1" s="301"/>
      <c r="EUO1" s="301"/>
      <c r="EUP1" s="301"/>
      <c r="EUQ1" s="301"/>
      <c r="EUR1" s="301"/>
      <c r="EUS1" s="301"/>
      <c r="EUT1" s="301"/>
      <c r="EUU1" s="301"/>
      <c r="EUV1" s="301"/>
      <c r="EUW1" s="301"/>
      <c r="EUX1" s="301"/>
      <c r="EUY1" s="301"/>
      <c r="EUZ1" s="301"/>
      <c r="EVA1" s="301"/>
      <c r="EVB1" s="301"/>
      <c r="EVC1" s="301"/>
      <c r="EVD1" s="301"/>
      <c r="EVE1" s="301"/>
      <c r="EVF1" s="301"/>
      <c r="EVG1" s="301"/>
      <c r="EVH1" s="301"/>
      <c r="EVI1" s="301"/>
      <c r="EVJ1" s="301"/>
      <c r="EVK1" s="301"/>
      <c r="EVL1" s="301"/>
      <c r="EVM1" s="301"/>
      <c r="EVN1" s="301"/>
      <c r="EVO1" s="301"/>
      <c r="EVP1" s="301"/>
      <c r="EVQ1" s="301"/>
      <c r="EVR1" s="301"/>
      <c r="EVS1" s="301"/>
      <c r="EVT1" s="301"/>
      <c r="EVU1" s="301"/>
      <c r="EVV1" s="301"/>
      <c r="EVW1" s="301"/>
      <c r="EVX1" s="301"/>
      <c r="EVY1" s="301"/>
      <c r="EVZ1" s="301"/>
      <c r="EWA1" s="301"/>
      <c r="EWB1" s="301"/>
      <c r="EWC1" s="301"/>
      <c r="EWD1" s="301"/>
      <c r="EWE1" s="301"/>
      <c r="EWF1" s="301"/>
      <c r="EWG1" s="301"/>
      <c r="EWH1" s="301"/>
      <c r="EWI1" s="301"/>
      <c r="EWJ1" s="301"/>
      <c r="EWK1" s="301"/>
      <c r="EWL1" s="301"/>
      <c r="EWM1" s="301"/>
      <c r="EWN1" s="301"/>
      <c r="EWO1" s="301"/>
      <c r="EWP1" s="301"/>
      <c r="EWQ1" s="301"/>
      <c r="EWR1" s="301"/>
      <c r="EWS1" s="301"/>
      <c r="EWT1" s="301"/>
      <c r="EWU1" s="301"/>
      <c r="EWV1" s="301"/>
      <c r="EWW1" s="301"/>
      <c r="EWX1" s="301"/>
      <c r="EWY1" s="301"/>
      <c r="EWZ1" s="301"/>
      <c r="EXA1" s="301"/>
      <c r="EXB1" s="301"/>
      <c r="EXC1" s="301"/>
      <c r="EXD1" s="301"/>
      <c r="EXE1" s="301"/>
      <c r="EXF1" s="301"/>
      <c r="EXG1" s="301"/>
      <c r="EXH1" s="301"/>
      <c r="EXI1" s="301"/>
      <c r="EXJ1" s="301"/>
      <c r="EXK1" s="301"/>
      <c r="EXL1" s="301"/>
      <c r="EXM1" s="301"/>
      <c r="EXN1" s="301"/>
      <c r="EXO1" s="301"/>
      <c r="EXP1" s="301"/>
      <c r="EXQ1" s="301"/>
      <c r="EXR1" s="301"/>
      <c r="EXS1" s="301"/>
      <c r="EXT1" s="301"/>
      <c r="EXU1" s="301"/>
      <c r="EXV1" s="301"/>
      <c r="EXW1" s="301"/>
      <c r="EXX1" s="301"/>
      <c r="EXY1" s="301"/>
      <c r="EXZ1" s="301"/>
      <c r="EYA1" s="301"/>
      <c r="EYB1" s="301"/>
      <c r="EYC1" s="301"/>
      <c r="EYD1" s="301"/>
      <c r="EYE1" s="301"/>
      <c r="EYF1" s="301"/>
      <c r="EYG1" s="301"/>
      <c r="EYH1" s="301"/>
      <c r="EYI1" s="301"/>
      <c r="EYJ1" s="301"/>
      <c r="EYK1" s="301"/>
      <c r="EYL1" s="301"/>
      <c r="EYM1" s="301"/>
      <c r="EYN1" s="301"/>
      <c r="EYO1" s="301"/>
      <c r="EYP1" s="301"/>
      <c r="EYQ1" s="301"/>
      <c r="EYR1" s="301"/>
      <c r="EYS1" s="301"/>
      <c r="EYT1" s="301"/>
      <c r="EYU1" s="301"/>
      <c r="EYV1" s="301"/>
      <c r="EYW1" s="301"/>
      <c r="EYX1" s="301"/>
      <c r="EYY1" s="301"/>
      <c r="EYZ1" s="301"/>
      <c r="EZA1" s="301"/>
      <c r="EZB1" s="301"/>
      <c r="EZC1" s="301"/>
      <c r="EZD1" s="301"/>
      <c r="EZE1" s="301"/>
      <c r="EZF1" s="301"/>
      <c r="EZG1" s="301"/>
      <c r="EZH1" s="301"/>
      <c r="EZI1" s="301"/>
      <c r="EZJ1" s="301"/>
      <c r="EZK1" s="301"/>
      <c r="EZL1" s="301"/>
      <c r="EZM1" s="301"/>
      <c r="EZN1" s="301"/>
      <c r="EZO1" s="301"/>
      <c r="EZP1" s="301"/>
      <c r="EZQ1" s="301"/>
      <c r="EZR1" s="301"/>
      <c r="EZS1" s="301"/>
      <c r="EZT1" s="301"/>
      <c r="EZU1" s="301"/>
      <c r="EZV1" s="301"/>
      <c r="EZW1" s="301"/>
      <c r="EZX1" s="301"/>
      <c r="EZY1" s="301"/>
      <c r="EZZ1" s="301"/>
      <c r="FAA1" s="301"/>
      <c r="FAB1" s="301"/>
      <c r="FAC1" s="301"/>
      <c r="FAD1" s="301"/>
      <c r="FAE1" s="301"/>
      <c r="FAF1" s="301"/>
      <c r="FAG1" s="301"/>
      <c r="FAH1" s="301"/>
      <c r="FAI1" s="301"/>
      <c r="FAJ1" s="301"/>
      <c r="FAK1" s="301"/>
      <c r="FAL1" s="301"/>
      <c r="FAM1" s="301"/>
      <c r="FAN1" s="301"/>
      <c r="FAO1" s="301"/>
      <c r="FAP1" s="301"/>
      <c r="FAQ1" s="301"/>
      <c r="FAR1" s="301"/>
      <c r="FAS1" s="301"/>
      <c r="FAT1" s="301"/>
      <c r="FAU1" s="301"/>
      <c r="FAV1" s="301"/>
      <c r="FAW1" s="301"/>
      <c r="FAX1" s="301"/>
      <c r="FAY1" s="301"/>
      <c r="FAZ1" s="301"/>
      <c r="FBA1" s="301"/>
      <c r="FBB1" s="301"/>
      <c r="FBC1" s="301"/>
      <c r="FBD1" s="301"/>
      <c r="FBE1" s="301"/>
      <c r="FBF1" s="301"/>
      <c r="FBG1" s="301"/>
      <c r="FBH1" s="301"/>
      <c r="FBI1" s="301"/>
      <c r="FBJ1" s="301"/>
      <c r="FBK1" s="301"/>
      <c r="FBL1" s="301"/>
      <c r="FBM1" s="301"/>
      <c r="FBN1" s="301"/>
      <c r="FBO1" s="301"/>
      <c r="FBP1" s="301"/>
      <c r="FBQ1" s="301"/>
      <c r="FBR1" s="301"/>
      <c r="FBS1" s="301"/>
      <c r="FBT1" s="301"/>
      <c r="FBU1" s="301"/>
      <c r="FBV1" s="301"/>
      <c r="FBW1" s="301"/>
      <c r="FBX1" s="301"/>
      <c r="FBY1" s="301"/>
      <c r="FBZ1" s="301"/>
      <c r="FCA1" s="301"/>
      <c r="FCB1" s="301"/>
      <c r="FCC1" s="301"/>
      <c r="FCD1" s="301"/>
      <c r="FCE1" s="301"/>
      <c r="FCF1" s="301"/>
      <c r="FCG1" s="301"/>
      <c r="FCH1" s="301"/>
      <c r="FCI1" s="301"/>
      <c r="FCJ1" s="301"/>
      <c r="FCK1" s="301"/>
      <c r="FCL1" s="301"/>
      <c r="FCM1" s="301"/>
      <c r="FCN1" s="301"/>
      <c r="FCO1" s="301"/>
      <c r="FCP1" s="301"/>
      <c r="FCQ1" s="301"/>
      <c r="FCR1" s="301"/>
      <c r="FCS1" s="301"/>
      <c r="FCT1" s="301"/>
      <c r="FCU1" s="301"/>
      <c r="FCV1" s="301"/>
      <c r="FCW1" s="301"/>
      <c r="FCX1" s="301"/>
      <c r="FCY1" s="301"/>
      <c r="FCZ1" s="301"/>
      <c r="FDA1" s="301"/>
      <c r="FDB1" s="301"/>
      <c r="FDC1" s="301"/>
      <c r="FDD1" s="301"/>
      <c r="FDE1" s="301"/>
      <c r="FDF1" s="301"/>
      <c r="FDG1" s="301"/>
      <c r="FDH1" s="301"/>
      <c r="FDI1" s="301"/>
      <c r="FDJ1" s="301"/>
      <c r="FDK1" s="301"/>
      <c r="FDL1" s="301"/>
      <c r="FDM1" s="301"/>
      <c r="FDN1" s="301"/>
      <c r="FDO1" s="301"/>
      <c r="FDP1" s="301"/>
      <c r="FDQ1" s="301"/>
      <c r="FDR1" s="301"/>
      <c r="FDS1" s="301"/>
      <c r="FDT1" s="301"/>
      <c r="FDU1" s="301"/>
      <c r="FDV1" s="301"/>
      <c r="FDW1" s="301"/>
      <c r="FDX1" s="301"/>
      <c r="FDY1" s="301"/>
      <c r="FDZ1" s="301"/>
      <c r="FEA1" s="301"/>
      <c r="FEB1" s="301"/>
      <c r="FEC1" s="301"/>
      <c r="FED1" s="301"/>
      <c r="FEE1" s="301"/>
      <c r="FEF1" s="301"/>
      <c r="FEG1" s="301"/>
      <c r="FEH1" s="301"/>
      <c r="FEI1" s="301"/>
      <c r="FEJ1" s="301"/>
      <c r="FEK1" s="301"/>
      <c r="FEL1" s="301"/>
      <c r="FEM1" s="301"/>
      <c r="FEN1" s="301"/>
      <c r="FEO1" s="301"/>
      <c r="FEP1" s="301"/>
      <c r="FEQ1" s="301"/>
      <c r="FER1" s="301"/>
      <c r="FES1" s="301"/>
      <c r="FET1" s="301"/>
      <c r="FEU1" s="301"/>
      <c r="FEV1" s="301"/>
      <c r="FEW1" s="301"/>
      <c r="FEX1" s="301"/>
      <c r="FEY1" s="301"/>
      <c r="FEZ1" s="301"/>
      <c r="FFA1" s="301"/>
      <c r="FFB1" s="301"/>
      <c r="FFC1" s="301"/>
      <c r="FFD1" s="301"/>
      <c r="FFE1" s="301"/>
      <c r="FFF1" s="301"/>
      <c r="FFG1" s="301"/>
      <c r="FFH1" s="301"/>
      <c r="FFI1" s="301"/>
      <c r="FFJ1" s="301"/>
      <c r="FFK1" s="301"/>
      <c r="FFL1" s="301"/>
      <c r="FFM1" s="301"/>
      <c r="FFN1" s="301"/>
      <c r="FFO1" s="301"/>
      <c r="FFP1" s="301"/>
      <c r="FFQ1" s="301"/>
      <c r="FFR1" s="301"/>
      <c r="FFS1" s="301"/>
      <c r="FFT1" s="301"/>
      <c r="FFU1" s="301"/>
      <c r="FFV1" s="301"/>
      <c r="FFW1" s="301"/>
      <c r="FFX1" s="301"/>
      <c r="FFY1" s="301"/>
      <c r="FFZ1" s="301"/>
      <c r="FGA1" s="301"/>
      <c r="FGB1" s="301"/>
      <c r="FGC1" s="301"/>
      <c r="FGD1" s="301"/>
      <c r="FGE1" s="301"/>
      <c r="FGF1" s="301"/>
      <c r="FGG1" s="301"/>
      <c r="FGH1" s="301"/>
      <c r="FGI1" s="301"/>
      <c r="FGJ1" s="301"/>
      <c r="FGK1" s="301"/>
      <c r="FGL1" s="301"/>
      <c r="FGM1" s="301"/>
      <c r="FGN1" s="301"/>
      <c r="FGO1" s="301"/>
      <c r="FGP1" s="301"/>
      <c r="FGQ1" s="301"/>
      <c r="FGR1" s="301"/>
      <c r="FGS1" s="301"/>
      <c r="FGT1" s="301"/>
      <c r="FGU1" s="301"/>
      <c r="FGV1" s="301"/>
      <c r="FGW1" s="301"/>
      <c r="FGX1" s="301"/>
      <c r="FGY1" s="301"/>
      <c r="FGZ1" s="301"/>
      <c r="FHA1" s="301"/>
      <c r="FHB1" s="301"/>
      <c r="FHC1" s="301"/>
      <c r="FHD1" s="301"/>
      <c r="FHE1" s="301"/>
      <c r="FHF1" s="301"/>
      <c r="FHG1" s="301"/>
      <c r="FHH1" s="301"/>
      <c r="FHI1" s="301"/>
      <c r="FHJ1" s="301"/>
      <c r="FHK1" s="301"/>
      <c r="FHL1" s="301"/>
      <c r="FHM1" s="301"/>
      <c r="FHN1" s="301"/>
      <c r="FHO1" s="301"/>
      <c r="FHP1" s="301"/>
      <c r="FHQ1" s="301"/>
      <c r="FHR1" s="301"/>
      <c r="FHS1" s="301"/>
      <c r="FHT1" s="301"/>
      <c r="FHU1" s="301"/>
      <c r="FHV1" s="301"/>
      <c r="FHW1" s="301"/>
      <c r="FHX1" s="301"/>
      <c r="FHY1" s="301"/>
      <c r="FHZ1" s="301"/>
      <c r="FIA1" s="301"/>
      <c r="FIB1" s="301"/>
      <c r="FIC1" s="301"/>
      <c r="FID1" s="301"/>
      <c r="FIE1" s="301"/>
      <c r="FIF1" s="301"/>
      <c r="FIG1" s="301"/>
      <c r="FIH1" s="301"/>
      <c r="FII1" s="301"/>
      <c r="FIJ1" s="301"/>
      <c r="FIK1" s="301"/>
      <c r="FIL1" s="301"/>
      <c r="FIM1" s="301"/>
      <c r="FIN1" s="301"/>
      <c r="FIO1" s="301"/>
      <c r="FIP1" s="301"/>
      <c r="FIQ1" s="301"/>
      <c r="FIR1" s="301"/>
      <c r="FIS1" s="301"/>
      <c r="FIT1" s="301"/>
      <c r="FIU1" s="301"/>
      <c r="FIV1" s="301"/>
      <c r="FIW1" s="301"/>
      <c r="FIX1" s="301"/>
      <c r="FIY1" s="301"/>
      <c r="FIZ1" s="301"/>
      <c r="FJA1" s="301"/>
      <c r="FJB1" s="301"/>
      <c r="FJC1" s="301"/>
      <c r="FJD1" s="301"/>
      <c r="FJE1" s="301"/>
      <c r="FJF1" s="301"/>
      <c r="FJG1" s="301"/>
      <c r="FJH1" s="301"/>
      <c r="FJI1" s="301"/>
      <c r="FJJ1" s="301"/>
      <c r="FJK1" s="301"/>
      <c r="FJL1" s="301"/>
      <c r="FJM1" s="301"/>
      <c r="FJN1" s="301"/>
      <c r="FJO1" s="301"/>
      <c r="FJP1" s="301"/>
      <c r="FJQ1" s="301"/>
      <c r="FJR1" s="301"/>
      <c r="FJS1" s="301"/>
      <c r="FJT1" s="301"/>
      <c r="FJU1" s="301"/>
      <c r="FJV1" s="301"/>
      <c r="FJW1" s="301"/>
      <c r="FJX1" s="301"/>
      <c r="FJY1" s="301"/>
      <c r="FJZ1" s="301"/>
      <c r="FKA1" s="301"/>
      <c r="FKB1" s="301"/>
      <c r="FKC1" s="301"/>
      <c r="FKD1" s="301"/>
      <c r="FKE1" s="301"/>
      <c r="FKF1" s="301"/>
      <c r="FKG1" s="301"/>
      <c r="FKH1" s="301"/>
      <c r="FKI1" s="301"/>
      <c r="FKJ1" s="301"/>
      <c r="FKK1" s="301"/>
      <c r="FKL1" s="301"/>
      <c r="FKM1" s="301"/>
      <c r="FKN1" s="301"/>
      <c r="FKO1" s="301"/>
      <c r="FKP1" s="301"/>
      <c r="FKQ1" s="301"/>
      <c r="FKR1" s="301"/>
      <c r="FKS1" s="301"/>
      <c r="FKT1" s="301"/>
      <c r="FKU1" s="301"/>
      <c r="FKV1" s="301"/>
      <c r="FKW1" s="301"/>
      <c r="FKX1" s="301"/>
      <c r="FKY1" s="301"/>
      <c r="FKZ1" s="301"/>
      <c r="FLA1" s="301"/>
      <c r="FLB1" s="301"/>
      <c r="FLC1" s="301"/>
      <c r="FLD1" s="301"/>
      <c r="FLE1" s="301"/>
      <c r="FLF1" s="301"/>
      <c r="FLG1" s="301"/>
      <c r="FLH1" s="301"/>
      <c r="FLI1" s="301"/>
      <c r="FLJ1" s="301"/>
      <c r="FLK1" s="301"/>
      <c r="FLL1" s="301"/>
      <c r="FLM1" s="301"/>
      <c r="FLN1" s="301"/>
      <c r="FLO1" s="301"/>
      <c r="FLP1" s="301"/>
      <c r="FLQ1" s="301"/>
      <c r="FLR1" s="301"/>
      <c r="FLS1" s="301"/>
      <c r="FLT1" s="301"/>
      <c r="FLU1" s="301"/>
      <c r="FLV1" s="301"/>
      <c r="FLW1" s="301"/>
      <c r="FLX1" s="301"/>
      <c r="FLY1" s="301"/>
      <c r="FLZ1" s="301"/>
      <c r="FMA1" s="301"/>
      <c r="FMB1" s="301"/>
      <c r="FMC1" s="301"/>
      <c r="FMD1" s="301"/>
      <c r="FME1" s="301"/>
      <c r="FMF1" s="301"/>
      <c r="FMG1" s="301"/>
      <c r="FMH1" s="301"/>
      <c r="FMI1" s="301"/>
      <c r="FMJ1" s="301"/>
      <c r="FMK1" s="301"/>
      <c r="FML1" s="301"/>
      <c r="FMM1" s="301"/>
      <c r="FMN1" s="301"/>
      <c r="FMO1" s="301"/>
      <c r="FMP1" s="301"/>
      <c r="FMQ1" s="301"/>
      <c r="FMR1" s="301"/>
      <c r="FMS1" s="301"/>
      <c r="FMT1" s="301"/>
      <c r="FMU1" s="301"/>
      <c r="FMV1" s="301"/>
      <c r="FMW1" s="301"/>
      <c r="FMX1" s="301"/>
      <c r="FMY1" s="301"/>
      <c r="FMZ1" s="301"/>
      <c r="FNA1" s="301"/>
      <c r="FNB1" s="301"/>
      <c r="FNC1" s="301"/>
      <c r="FND1" s="301"/>
      <c r="FNE1" s="301"/>
      <c r="FNF1" s="301"/>
      <c r="FNG1" s="301"/>
      <c r="FNH1" s="301"/>
      <c r="FNI1" s="301"/>
      <c r="FNJ1" s="301"/>
      <c r="FNK1" s="301"/>
      <c r="FNL1" s="301"/>
      <c r="FNM1" s="301"/>
      <c r="FNN1" s="301"/>
      <c r="FNO1" s="301"/>
      <c r="FNP1" s="301"/>
      <c r="FNQ1" s="301"/>
      <c r="FNR1" s="301"/>
      <c r="FNS1" s="301"/>
      <c r="FNT1" s="301"/>
      <c r="FNU1" s="301"/>
      <c r="FNV1" s="301"/>
      <c r="FNW1" s="301"/>
      <c r="FNX1" s="301"/>
      <c r="FNY1" s="301"/>
      <c r="FNZ1" s="301"/>
      <c r="FOA1" s="301"/>
      <c r="FOB1" s="301"/>
      <c r="FOC1" s="301"/>
      <c r="FOD1" s="301"/>
      <c r="FOE1" s="301"/>
      <c r="FOF1" s="301"/>
      <c r="FOG1" s="301"/>
      <c r="FOH1" s="301"/>
      <c r="FOI1" s="301"/>
      <c r="FOJ1" s="301"/>
      <c r="FOK1" s="301"/>
      <c r="FOL1" s="301"/>
      <c r="FOM1" s="301"/>
      <c r="FON1" s="301"/>
      <c r="FOO1" s="301"/>
      <c r="FOP1" s="301"/>
      <c r="FOQ1" s="301"/>
      <c r="FOR1" s="301"/>
      <c r="FOS1" s="301"/>
      <c r="FOT1" s="301"/>
      <c r="FOU1" s="301"/>
      <c r="FOV1" s="301"/>
      <c r="FOW1" s="301"/>
      <c r="FOX1" s="301"/>
      <c r="FOY1" s="301"/>
      <c r="FOZ1" s="301"/>
      <c r="FPA1" s="301"/>
      <c r="FPB1" s="301"/>
      <c r="FPC1" s="301"/>
      <c r="FPD1" s="301"/>
      <c r="FPE1" s="301"/>
      <c r="FPF1" s="301"/>
      <c r="FPG1" s="301"/>
      <c r="FPH1" s="301"/>
      <c r="FPI1" s="301"/>
      <c r="FPJ1" s="301"/>
      <c r="FPK1" s="301"/>
      <c r="FPL1" s="301"/>
      <c r="FPM1" s="301"/>
      <c r="FPN1" s="301"/>
      <c r="FPO1" s="301"/>
      <c r="FPP1" s="301"/>
      <c r="FPQ1" s="301"/>
      <c r="FPR1" s="301"/>
      <c r="FPS1" s="301"/>
      <c r="FPT1" s="301"/>
      <c r="FPU1" s="301"/>
      <c r="FPV1" s="301"/>
      <c r="FPW1" s="301"/>
      <c r="FPX1" s="301"/>
      <c r="FPY1" s="301"/>
      <c r="FPZ1" s="301"/>
      <c r="FQA1" s="301"/>
      <c r="FQB1" s="301"/>
      <c r="FQC1" s="301"/>
      <c r="FQD1" s="301"/>
      <c r="FQE1" s="301"/>
      <c r="FQF1" s="301"/>
      <c r="FQG1" s="301"/>
      <c r="FQH1" s="301"/>
      <c r="FQI1" s="301"/>
      <c r="FQJ1" s="301"/>
      <c r="FQK1" s="301"/>
      <c r="FQL1" s="301"/>
      <c r="FQM1" s="301"/>
      <c r="FQN1" s="301"/>
      <c r="FQO1" s="301"/>
      <c r="FQP1" s="301"/>
      <c r="FQQ1" s="301"/>
      <c r="FQR1" s="301"/>
      <c r="FQS1" s="301"/>
      <c r="FQT1" s="301"/>
      <c r="FQU1" s="301"/>
      <c r="FQV1" s="301"/>
      <c r="FQW1" s="301"/>
      <c r="FQX1" s="301"/>
      <c r="FQY1" s="301"/>
      <c r="FQZ1" s="301"/>
      <c r="FRA1" s="301"/>
      <c r="FRB1" s="301"/>
      <c r="FRC1" s="301"/>
      <c r="FRD1" s="301"/>
      <c r="FRE1" s="301"/>
      <c r="FRF1" s="301"/>
      <c r="FRG1" s="301"/>
      <c r="FRH1" s="301"/>
      <c r="FRI1" s="301"/>
      <c r="FRJ1" s="301"/>
      <c r="FRK1" s="301"/>
      <c r="FRL1" s="301"/>
      <c r="FRM1" s="301"/>
      <c r="FRN1" s="301"/>
      <c r="FRO1" s="301"/>
      <c r="FRP1" s="301"/>
      <c r="FRQ1" s="301"/>
      <c r="FRR1" s="301"/>
      <c r="FRS1" s="301"/>
      <c r="FRT1" s="301"/>
      <c r="FRU1" s="301"/>
      <c r="FRV1" s="301"/>
      <c r="FRW1" s="301"/>
      <c r="FRX1" s="301"/>
      <c r="FRY1" s="301"/>
      <c r="FRZ1" s="301"/>
      <c r="FSA1" s="301"/>
      <c r="FSB1" s="301"/>
      <c r="FSC1" s="301"/>
      <c r="FSD1" s="301"/>
      <c r="FSE1" s="301"/>
      <c r="FSF1" s="301"/>
      <c r="FSG1" s="301"/>
      <c r="FSH1" s="301"/>
      <c r="FSI1" s="301"/>
      <c r="FSJ1" s="301"/>
      <c r="FSK1" s="301"/>
      <c r="FSL1" s="301"/>
      <c r="FSM1" s="301"/>
      <c r="FSN1" s="301"/>
      <c r="FSO1" s="301"/>
      <c r="FSP1" s="301"/>
      <c r="FSQ1" s="301"/>
      <c r="FSR1" s="301"/>
      <c r="FSS1" s="301"/>
      <c r="FST1" s="301"/>
      <c r="FSU1" s="301"/>
      <c r="FSV1" s="301"/>
      <c r="FSW1" s="301"/>
      <c r="FSX1" s="301"/>
      <c r="FSY1" s="301"/>
      <c r="FSZ1" s="301"/>
      <c r="FTA1" s="301"/>
      <c r="FTB1" s="301"/>
      <c r="FTC1" s="301"/>
      <c r="FTD1" s="301"/>
      <c r="FTE1" s="301"/>
      <c r="FTF1" s="301"/>
      <c r="FTG1" s="301"/>
      <c r="FTH1" s="301"/>
      <c r="FTI1" s="301"/>
      <c r="FTJ1" s="301"/>
      <c r="FTK1" s="301"/>
      <c r="FTL1" s="301"/>
      <c r="FTM1" s="301"/>
      <c r="FTN1" s="301"/>
      <c r="FTO1" s="301"/>
      <c r="FTP1" s="301"/>
      <c r="FTQ1" s="301"/>
      <c r="FTR1" s="301"/>
      <c r="FTS1" s="301"/>
      <c r="FTT1" s="301"/>
      <c r="FTU1" s="301"/>
      <c r="FTV1" s="301"/>
      <c r="FTW1" s="301"/>
      <c r="FTX1" s="301"/>
      <c r="FTY1" s="301"/>
      <c r="FTZ1" s="301"/>
      <c r="FUA1" s="301"/>
      <c r="FUB1" s="301"/>
      <c r="FUC1" s="301"/>
      <c r="FUD1" s="301"/>
      <c r="FUE1" s="301"/>
      <c r="FUF1" s="301"/>
      <c r="FUG1" s="301"/>
      <c r="FUH1" s="301"/>
      <c r="FUI1" s="301"/>
      <c r="FUJ1" s="301"/>
      <c r="FUK1" s="301"/>
      <c r="FUL1" s="301"/>
      <c r="FUM1" s="301"/>
      <c r="FUN1" s="301"/>
      <c r="FUO1" s="301"/>
      <c r="FUP1" s="301"/>
      <c r="FUQ1" s="301"/>
      <c r="FUR1" s="301"/>
      <c r="FUS1" s="301"/>
      <c r="FUT1" s="301"/>
      <c r="FUU1" s="301"/>
      <c r="FUV1" s="301"/>
      <c r="FUW1" s="301"/>
      <c r="FUX1" s="301"/>
      <c r="FUY1" s="301"/>
      <c r="FUZ1" s="301"/>
      <c r="FVA1" s="301"/>
      <c r="FVB1" s="301"/>
      <c r="FVC1" s="301"/>
      <c r="FVD1" s="301"/>
      <c r="FVE1" s="301"/>
      <c r="FVF1" s="301"/>
      <c r="FVG1" s="301"/>
      <c r="FVH1" s="301"/>
      <c r="FVI1" s="301"/>
      <c r="FVJ1" s="301"/>
      <c r="FVK1" s="301"/>
      <c r="FVL1" s="301"/>
      <c r="FVM1" s="301"/>
      <c r="FVN1" s="301"/>
      <c r="FVO1" s="301"/>
      <c r="FVP1" s="301"/>
      <c r="FVQ1" s="301"/>
      <c r="FVR1" s="301"/>
      <c r="FVS1" s="301"/>
      <c r="FVT1" s="301"/>
      <c r="FVU1" s="301"/>
      <c r="FVV1" s="301"/>
      <c r="FVW1" s="301"/>
      <c r="FVX1" s="301"/>
      <c r="FVY1" s="301"/>
      <c r="FVZ1" s="301"/>
      <c r="FWA1" s="301"/>
      <c r="FWB1" s="301"/>
      <c r="FWC1" s="301"/>
      <c r="FWD1" s="301"/>
      <c r="FWE1" s="301"/>
      <c r="FWF1" s="301"/>
      <c r="FWG1" s="301"/>
      <c r="FWH1" s="301"/>
      <c r="FWI1" s="301"/>
      <c r="FWJ1" s="301"/>
      <c r="FWK1" s="301"/>
      <c r="FWL1" s="301"/>
      <c r="FWM1" s="301"/>
      <c r="FWN1" s="301"/>
      <c r="FWO1" s="301"/>
      <c r="FWP1" s="301"/>
      <c r="FWQ1" s="301"/>
      <c r="FWR1" s="301"/>
      <c r="FWS1" s="301"/>
      <c r="FWT1" s="301"/>
      <c r="FWU1" s="301"/>
      <c r="FWV1" s="301"/>
      <c r="FWW1" s="301"/>
      <c r="FWX1" s="301"/>
      <c r="FWY1" s="301"/>
      <c r="FWZ1" s="301"/>
      <c r="FXA1" s="301"/>
      <c r="FXB1" s="301"/>
      <c r="FXC1" s="301"/>
      <c r="FXD1" s="301"/>
      <c r="FXE1" s="301"/>
      <c r="FXF1" s="301"/>
      <c r="FXG1" s="301"/>
      <c r="FXH1" s="301"/>
      <c r="FXI1" s="301"/>
      <c r="FXJ1" s="301"/>
      <c r="FXK1" s="301"/>
      <c r="FXL1" s="301"/>
      <c r="FXM1" s="301"/>
      <c r="FXN1" s="301"/>
      <c r="FXO1" s="301"/>
      <c r="FXP1" s="301"/>
      <c r="FXQ1" s="301"/>
      <c r="FXR1" s="301"/>
      <c r="FXS1" s="301"/>
      <c r="FXT1" s="301"/>
      <c r="FXU1" s="301"/>
      <c r="FXV1" s="301"/>
      <c r="FXW1" s="301"/>
      <c r="FXX1" s="301"/>
      <c r="FXY1" s="301"/>
      <c r="FXZ1" s="301"/>
      <c r="FYA1" s="301"/>
      <c r="FYB1" s="301"/>
      <c r="FYC1" s="301"/>
      <c r="FYD1" s="301"/>
      <c r="FYE1" s="301"/>
      <c r="FYF1" s="301"/>
      <c r="FYG1" s="301"/>
      <c r="FYH1" s="301"/>
      <c r="FYI1" s="301"/>
      <c r="FYJ1" s="301"/>
      <c r="FYK1" s="301"/>
      <c r="FYL1" s="301"/>
      <c r="FYM1" s="301"/>
      <c r="FYN1" s="301"/>
      <c r="FYO1" s="301"/>
      <c r="FYP1" s="301"/>
      <c r="FYQ1" s="301"/>
      <c r="FYR1" s="301"/>
      <c r="FYS1" s="301"/>
      <c r="FYT1" s="301"/>
      <c r="FYU1" s="301"/>
      <c r="FYV1" s="301"/>
      <c r="FYW1" s="301"/>
      <c r="FYX1" s="301"/>
      <c r="FYY1" s="301"/>
      <c r="FYZ1" s="301"/>
      <c r="FZA1" s="301"/>
      <c r="FZB1" s="301"/>
      <c r="FZC1" s="301"/>
      <c r="FZD1" s="301"/>
      <c r="FZE1" s="301"/>
      <c r="FZF1" s="301"/>
      <c r="FZG1" s="301"/>
      <c r="FZH1" s="301"/>
      <c r="FZI1" s="301"/>
      <c r="FZJ1" s="301"/>
      <c r="FZK1" s="301"/>
      <c r="FZL1" s="301"/>
      <c r="FZM1" s="301"/>
      <c r="FZN1" s="301"/>
      <c r="FZO1" s="301"/>
      <c r="FZP1" s="301"/>
      <c r="FZQ1" s="301"/>
      <c r="FZR1" s="301"/>
      <c r="FZS1" s="301"/>
      <c r="FZT1" s="301"/>
      <c r="FZU1" s="301"/>
      <c r="FZV1" s="301"/>
      <c r="FZW1" s="301"/>
      <c r="FZX1" s="301"/>
      <c r="FZY1" s="301"/>
      <c r="FZZ1" s="301"/>
      <c r="GAA1" s="301"/>
      <c r="GAB1" s="301"/>
      <c r="GAC1" s="301"/>
      <c r="GAD1" s="301"/>
      <c r="GAE1" s="301"/>
      <c r="GAF1" s="301"/>
      <c r="GAG1" s="301"/>
      <c r="GAH1" s="301"/>
      <c r="GAI1" s="301"/>
      <c r="GAJ1" s="301"/>
      <c r="GAK1" s="301"/>
      <c r="GAL1" s="301"/>
      <c r="GAM1" s="301"/>
      <c r="GAN1" s="301"/>
      <c r="GAO1" s="301"/>
      <c r="GAP1" s="301"/>
      <c r="GAQ1" s="301"/>
      <c r="GAR1" s="301"/>
      <c r="GAS1" s="301"/>
      <c r="GAT1" s="301"/>
      <c r="GAU1" s="301"/>
      <c r="GAV1" s="301"/>
      <c r="GAW1" s="301"/>
      <c r="GAX1" s="301"/>
      <c r="GAY1" s="301"/>
      <c r="GAZ1" s="301"/>
      <c r="GBA1" s="301"/>
      <c r="GBB1" s="301"/>
      <c r="GBC1" s="301"/>
      <c r="GBD1" s="301"/>
      <c r="GBE1" s="301"/>
      <c r="GBF1" s="301"/>
      <c r="GBG1" s="301"/>
      <c r="GBH1" s="301"/>
      <c r="GBI1" s="301"/>
      <c r="GBJ1" s="301"/>
      <c r="GBK1" s="301"/>
      <c r="GBL1" s="301"/>
      <c r="GBM1" s="301"/>
      <c r="GBN1" s="301"/>
      <c r="GBO1" s="301"/>
      <c r="GBP1" s="301"/>
      <c r="GBQ1" s="301"/>
      <c r="GBR1" s="301"/>
      <c r="GBS1" s="301"/>
      <c r="GBT1" s="301"/>
      <c r="GBU1" s="301"/>
      <c r="GBV1" s="301"/>
      <c r="GBW1" s="301"/>
      <c r="GBX1" s="301"/>
      <c r="GBY1" s="301"/>
      <c r="GBZ1" s="301"/>
      <c r="GCA1" s="301"/>
      <c r="GCB1" s="301"/>
      <c r="GCC1" s="301"/>
      <c r="GCD1" s="301"/>
      <c r="GCE1" s="301"/>
      <c r="GCF1" s="301"/>
      <c r="GCG1" s="301"/>
      <c r="GCH1" s="301"/>
      <c r="GCI1" s="301"/>
      <c r="GCJ1" s="301"/>
      <c r="GCK1" s="301"/>
      <c r="GCL1" s="301"/>
      <c r="GCM1" s="301"/>
      <c r="GCN1" s="301"/>
      <c r="GCO1" s="301"/>
      <c r="GCP1" s="301"/>
      <c r="GCQ1" s="301"/>
      <c r="GCR1" s="301"/>
      <c r="GCS1" s="301"/>
      <c r="GCT1" s="301"/>
      <c r="GCU1" s="301"/>
      <c r="GCV1" s="301"/>
      <c r="GCW1" s="301"/>
      <c r="GCX1" s="301"/>
      <c r="GCY1" s="301"/>
      <c r="GCZ1" s="301"/>
      <c r="GDA1" s="301"/>
      <c r="GDB1" s="301"/>
      <c r="GDC1" s="301"/>
      <c r="GDD1" s="301"/>
      <c r="GDE1" s="301"/>
      <c r="GDF1" s="301"/>
      <c r="GDG1" s="301"/>
      <c r="GDH1" s="301"/>
      <c r="GDI1" s="301"/>
      <c r="GDJ1" s="301"/>
      <c r="GDK1" s="301"/>
      <c r="GDL1" s="301"/>
      <c r="GDM1" s="301"/>
      <c r="GDN1" s="301"/>
      <c r="GDO1" s="301"/>
      <c r="GDP1" s="301"/>
      <c r="GDQ1" s="301"/>
      <c r="GDR1" s="301"/>
      <c r="GDS1" s="301"/>
      <c r="GDT1" s="301"/>
      <c r="GDU1" s="301"/>
      <c r="GDV1" s="301"/>
      <c r="GDW1" s="301"/>
      <c r="GDX1" s="301"/>
      <c r="GDY1" s="301"/>
      <c r="GDZ1" s="301"/>
      <c r="GEA1" s="301"/>
      <c r="GEB1" s="301"/>
      <c r="GEC1" s="301"/>
      <c r="GED1" s="301"/>
      <c r="GEE1" s="301"/>
      <c r="GEF1" s="301"/>
      <c r="GEG1" s="301"/>
      <c r="GEH1" s="301"/>
      <c r="GEI1" s="301"/>
      <c r="GEJ1" s="301"/>
      <c r="GEK1" s="301"/>
      <c r="GEL1" s="301"/>
      <c r="GEM1" s="301"/>
      <c r="GEN1" s="301"/>
      <c r="GEO1" s="301"/>
      <c r="GEP1" s="301"/>
      <c r="GEQ1" s="301"/>
      <c r="GER1" s="301"/>
      <c r="GES1" s="301"/>
      <c r="GET1" s="301"/>
      <c r="GEU1" s="301"/>
      <c r="GEV1" s="301"/>
      <c r="GEW1" s="301"/>
      <c r="GEX1" s="301"/>
      <c r="GEY1" s="301"/>
      <c r="GEZ1" s="301"/>
      <c r="GFA1" s="301"/>
      <c r="GFB1" s="301"/>
      <c r="GFC1" s="301"/>
      <c r="GFD1" s="301"/>
      <c r="GFE1" s="301"/>
      <c r="GFF1" s="301"/>
      <c r="GFG1" s="301"/>
      <c r="GFH1" s="301"/>
      <c r="GFI1" s="301"/>
      <c r="GFJ1" s="301"/>
      <c r="GFK1" s="301"/>
      <c r="GFL1" s="301"/>
      <c r="GFM1" s="301"/>
      <c r="GFN1" s="301"/>
      <c r="GFO1" s="301"/>
      <c r="GFP1" s="301"/>
      <c r="GFQ1" s="301"/>
      <c r="GFR1" s="301"/>
      <c r="GFS1" s="301"/>
      <c r="GFT1" s="301"/>
      <c r="GFU1" s="301"/>
      <c r="GFV1" s="301"/>
      <c r="GFW1" s="301"/>
      <c r="GFX1" s="301"/>
      <c r="GFY1" s="301"/>
      <c r="GFZ1" s="301"/>
      <c r="GGA1" s="301"/>
      <c r="GGB1" s="301"/>
      <c r="GGC1" s="301"/>
      <c r="GGD1" s="301"/>
      <c r="GGE1" s="301"/>
      <c r="GGF1" s="301"/>
      <c r="GGG1" s="301"/>
      <c r="GGH1" s="301"/>
      <c r="GGI1" s="301"/>
      <c r="GGJ1" s="301"/>
      <c r="GGK1" s="301"/>
      <c r="GGL1" s="301"/>
      <c r="GGM1" s="301"/>
      <c r="GGN1" s="301"/>
      <c r="GGO1" s="301"/>
      <c r="GGP1" s="301"/>
      <c r="GGQ1" s="301"/>
      <c r="GGR1" s="301"/>
      <c r="GGS1" s="301"/>
      <c r="GGT1" s="301"/>
      <c r="GGU1" s="301"/>
      <c r="GGV1" s="301"/>
      <c r="GGW1" s="301"/>
      <c r="GGX1" s="301"/>
      <c r="GGY1" s="301"/>
      <c r="GGZ1" s="301"/>
      <c r="GHA1" s="301"/>
      <c r="GHB1" s="301"/>
      <c r="GHC1" s="301"/>
      <c r="GHD1" s="301"/>
      <c r="GHE1" s="301"/>
      <c r="GHF1" s="301"/>
      <c r="GHG1" s="301"/>
      <c r="GHH1" s="301"/>
      <c r="GHI1" s="301"/>
      <c r="GHJ1" s="301"/>
      <c r="GHK1" s="301"/>
      <c r="GHL1" s="301"/>
      <c r="GHM1" s="301"/>
      <c r="GHN1" s="301"/>
      <c r="GHO1" s="301"/>
      <c r="GHP1" s="301"/>
      <c r="GHQ1" s="301"/>
      <c r="GHR1" s="301"/>
      <c r="GHS1" s="301"/>
      <c r="GHT1" s="301"/>
      <c r="GHU1" s="301"/>
      <c r="GHV1" s="301"/>
      <c r="GHW1" s="301"/>
      <c r="GHX1" s="301"/>
      <c r="GHY1" s="301"/>
      <c r="GHZ1" s="301"/>
      <c r="GIA1" s="301"/>
      <c r="GIB1" s="301"/>
      <c r="GIC1" s="301"/>
      <c r="GID1" s="301"/>
      <c r="GIE1" s="301"/>
      <c r="GIF1" s="301"/>
      <c r="GIG1" s="301"/>
      <c r="GIH1" s="301"/>
      <c r="GII1" s="301"/>
      <c r="GIJ1" s="301"/>
      <c r="GIK1" s="301"/>
      <c r="GIL1" s="301"/>
      <c r="GIM1" s="301"/>
      <c r="GIN1" s="301"/>
      <c r="GIO1" s="301"/>
      <c r="GIP1" s="301"/>
      <c r="GIQ1" s="301"/>
      <c r="GIR1" s="301"/>
      <c r="GIS1" s="301"/>
      <c r="GIT1" s="301"/>
      <c r="GIU1" s="301"/>
      <c r="GIV1" s="301"/>
      <c r="GIW1" s="301"/>
      <c r="GIX1" s="301"/>
      <c r="GIY1" s="301"/>
      <c r="GIZ1" s="301"/>
      <c r="GJA1" s="301"/>
      <c r="GJB1" s="301"/>
      <c r="GJC1" s="301"/>
      <c r="GJD1" s="301"/>
      <c r="GJE1" s="301"/>
      <c r="GJF1" s="301"/>
      <c r="GJG1" s="301"/>
      <c r="GJH1" s="301"/>
      <c r="GJI1" s="301"/>
      <c r="GJJ1" s="301"/>
      <c r="GJK1" s="301"/>
      <c r="GJL1" s="301"/>
      <c r="GJM1" s="301"/>
      <c r="GJN1" s="301"/>
      <c r="GJO1" s="301"/>
      <c r="GJP1" s="301"/>
      <c r="GJQ1" s="301"/>
      <c r="GJR1" s="301"/>
      <c r="GJS1" s="301"/>
      <c r="GJT1" s="301"/>
      <c r="GJU1" s="301"/>
      <c r="GJV1" s="301"/>
      <c r="GJW1" s="301"/>
      <c r="GJX1" s="301"/>
      <c r="GJY1" s="301"/>
      <c r="GJZ1" s="301"/>
      <c r="GKA1" s="301"/>
      <c r="GKB1" s="301"/>
      <c r="GKC1" s="301"/>
      <c r="GKD1" s="301"/>
      <c r="GKE1" s="301"/>
      <c r="GKF1" s="301"/>
      <c r="GKG1" s="301"/>
      <c r="GKH1" s="301"/>
      <c r="GKI1" s="301"/>
      <c r="GKJ1" s="301"/>
      <c r="GKK1" s="301"/>
      <c r="GKL1" s="301"/>
      <c r="GKM1" s="301"/>
      <c r="GKN1" s="301"/>
      <c r="GKO1" s="301"/>
      <c r="GKP1" s="301"/>
      <c r="GKQ1" s="301"/>
      <c r="GKR1" s="301"/>
      <c r="GKS1" s="301"/>
      <c r="GKT1" s="301"/>
      <c r="GKU1" s="301"/>
      <c r="GKV1" s="301"/>
      <c r="GKW1" s="301"/>
      <c r="GKX1" s="301"/>
      <c r="GKY1" s="301"/>
      <c r="GKZ1" s="301"/>
      <c r="GLA1" s="301"/>
      <c r="GLB1" s="301"/>
      <c r="GLC1" s="301"/>
      <c r="GLD1" s="301"/>
      <c r="GLE1" s="301"/>
      <c r="GLF1" s="301"/>
      <c r="GLG1" s="301"/>
      <c r="GLH1" s="301"/>
      <c r="GLI1" s="301"/>
      <c r="GLJ1" s="301"/>
      <c r="GLK1" s="301"/>
      <c r="GLL1" s="301"/>
      <c r="GLM1" s="301"/>
      <c r="GLN1" s="301"/>
      <c r="GLO1" s="301"/>
      <c r="GLP1" s="301"/>
      <c r="GLQ1" s="301"/>
      <c r="GLR1" s="301"/>
      <c r="GLS1" s="301"/>
      <c r="GLT1" s="301"/>
      <c r="GLU1" s="301"/>
      <c r="GLV1" s="301"/>
      <c r="GLW1" s="301"/>
      <c r="GLX1" s="301"/>
      <c r="GLY1" s="301"/>
      <c r="GLZ1" s="301"/>
      <c r="GMA1" s="301"/>
      <c r="GMB1" s="301"/>
      <c r="GMC1" s="301"/>
      <c r="GMD1" s="301"/>
      <c r="GME1" s="301"/>
      <c r="GMF1" s="301"/>
      <c r="GMG1" s="301"/>
      <c r="GMH1" s="301"/>
      <c r="GMI1" s="301"/>
      <c r="GMJ1" s="301"/>
      <c r="GMK1" s="301"/>
      <c r="GML1" s="301"/>
      <c r="GMM1" s="301"/>
      <c r="GMN1" s="301"/>
      <c r="GMO1" s="301"/>
      <c r="GMP1" s="301"/>
      <c r="GMQ1" s="301"/>
      <c r="GMR1" s="301"/>
      <c r="GMS1" s="301"/>
      <c r="GMT1" s="301"/>
      <c r="GMU1" s="301"/>
      <c r="GMV1" s="301"/>
      <c r="GMW1" s="301"/>
      <c r="GMX1" s="301"/>
      <c r="GMY1" s="301"/>
      <c r="GMZ1" s="301"/>
      <c r="GNA1" s="301"/>
      <c r="GNB1" s="301"/>
      <c r="GNC1" s="301"/>
      <c r="GND1" s="301"/>
      <c r="GNE1" s="301"/>
      <c r="GNF1" s="301"/>
      <c r="GNG1" s="301"/>
      <c r="GNH1" s="301"/>
      <c r="GNI1" s="301"/>
      <c r="GNJ1" s="301"/>
      <c r="GNK1" s="301"/>
      <c r="GNL1" s="301"/>
      <c r="GNM1" s="301"/>
      <c r="GNN1" s="301"/>
      <c r="GNO1" s="301"/>
      <c r="GNP1" s="301"/>
      <c r="GNQ1" s="301"/>
      <c r="GNR1" s="301"/>
      <c r="GNS1" s="301"/>
      <c r="GNT1" s="301"/>
      <c r="GNU1" s="301"/>
      <c r="GNV1" s="301"/>
      <c r="GNW1" s="301"/>
      <c r="GNX1" s="301"/>
      <c r="GNY1" s="301"/>
      <c r="GNZ1" s="301"/>
      <c r="GOA1" s="301"/>
      <c r="GOB1" s="301"/>
      <c r="GOC1" s="301"/>
      <c r="GOD1" s="301"/>
      <c r="GOE1" s="301"/>
      <c r="GOF1" s="301"/>
      <c r="GOG1" s="301"/>
      <c r="GOH1" s="301"/>
      <c r="GOI1" s="301"/>
      <c r="GOJ1" s="301"/>
      <c r="GOK1" s="301"/>
      <c r="GOL1" s="301"/>
      <c r="GOM1" s="301"/>
      <c r="GON1" s="301"/>
      <c r="GOO1" s="301"/>
      <c r="GOP1" s="301"/>
      <c r="GOQ1" s="301"/>
      <c r="GOR1" s="301"/>
      <c r="GOS1" s="301"/>
      <c r="GOT1" s="301"/>
      <c r="GOU1" s="301"/>
      <c r="GOV1" s="301"/>
      <c r="GOW1" s="301"/>
      <c r="GOX1" s="301"/>
      <c r="GOY1" s="301"/>
      <c r="GOZ1" s="301"/>
      <c r="GPA1" s="301"/>
      <c r="GPB1" s="301"/>
      <c r="GPC1" s="301"/>
      <c r="GPD1" s="301"/>
      <c r="GPE1" s="301"/>
      <c r="GPF1" s="301"/>
      <c r="GPG1" s="301"/>
      <c r="GPH1" s="301"/>
      <c r="GPI1" s="301"/>
      <c r="GPJ1" s="301"/>
      <c r="GPK1" s="301"/>
      <c r="GPL1" s="301"/>
      <c r="GPM1" s="301"/>
      <c r="GPN1" s="301"/>
      <c r="GPO1" s="301"/>
      <c r="GPP1" s="301"/>
      <c r="GPQ1" s="301"/>
      <c r="GPR1" s="301"/>
      <c r="GPS1" s="301"/>
      <c r="GPT1" s="301"/>
      <c r="GPU1" s="301"/>
      <c r="GPV1" s="301"/>
      <c r="GPW1" s="301"/>
      <c r="GPX1" s="301"/>
      <c r="GPY1" s="301"/>
      <c r="GPZ1" s="301"/>
      <c r="GQA1" s="301"/>
      <c r="GQB1" s="301"/>
      <c r="GQC1" s="301"/>
      <c r="GQD1" s="301"/>
      <c r="GQE1" s="301"/>
      <c r="GQF1" s="301"/>
      <c r="GQG1" s="301"/>
      <c r="GQH1" s="301"/>
      <c r="GQI1" s="301"/>
      <c r="GQJ1" s="301"/>
      <c r="GQK1" s="301"/>
      <c r="GQL1" s="301"/>
      <c r="GQM1" s="301"/>
      <c r="GQN1" s="301"/>
      <c r="GQO1" s="301"/>
      <c r="GQP1" s="301"/>
      <c r="GQQ1" s="301"/>
      <c r="GQR1" s="301"/>
      <c r="GQS1" s="301"/>
      <c r="GQT1" s="301"/>
      <c r="GQU1" s="301"/>
      <c r="GQV1" s="301"/>
      <c r="GQW1" s="301"/>
      <c r="GQX1" s="301"/>
      <c r="GQY1" s="301"/>
      <c r="GQZ1" s="301"/>
      <c r="GRA1" s="301"/>
      <c r="GRB1" s="301"/>
      <c r="GRC1" s="301"/>
      <c r="GRD1" s="301"/>
      <c r="GRE1" s="301"/>
      <c r="GRF1" s="301"/>
      <c r="GRG1" s="301"/>
      <c r="GRH1" s="301"/>
      <c r="GRI1" s="301"/>
      <c r="GRJ1" s="301"/>
      <c r="GRK1" s="301"/>
      <c r="GRL1" s="301"/>
      <c r="GRM1" s="301"/>
      <c r="GRN1" s="301"/>
      <c r="GRO1" s="301"/>
      <c r="GRP1" s="301"/>
      <c r="GRQ1" s="301"/>
      <c r="GRR1" s="301"/>
      <c r="GRS1" s="301"/>
      <c r="GRT1" s="301"/>
      <c r="GRU1" s="301"/>
      <c r="GRV1" s="301"/>
      <c r="GRW1" s="301"/>
      <c r="GRX1" s="301"/>
      <c r="GRY1" s="301"/>
      <c r="GRZ1" s="301"/>
      <c r="GSA1" s="301"/>
      <c r="GSB1" s="301"/>
      <c r="GSC1" s="301"/>
      <c r="GSD1" s="301"/>
      <c r="GSE1" s="301"/>
      <c r="GSF1" s="301"/>
      <c r="GSG1" s="301"/>
      <c r="GSH1" s="301"/>
      <c r="GSI1" s="301"/>
      <c r="GSJ1" s="301"/>
      <c r="GSK1" s="301"/>
      <c r="GSL1" s="301"/>
      <c r="GSM1" s="301"/>
      <c r="GSN1" s="301"/>
      <c r="GSO1" s="301"/>
      <c r="GSP1" s="301"/>
      <c r="GSQ1" s="301"/>
      <c r="GSR1" s="301"/>
      <c r="GSS1" s="301"/>
      <c r="GST1" s="301"/>
      <c r="GSU1" s="301"/>
      <c r="GSV1" s="301"/>
      <c r="GSW1" s="301"/>
      <c r="GSX1" s="301"/>
      <c r="GSY1" s="301"/>
      <c r="GSZ1" s="301"/>
      <c r="GTA1" s="301"/>
      <c r="GTB1" s="301"/>
      <c r="GTC1" s="301"/>
      <c r="GTD1" s="301"/>
      <c r="GTE1" s="301"/>
      <c r="GTF1" s="301"/>
      <c r="GTG1" s="301"/>
      <c r="GTH1" s="301"/>
      <c r="GTI1" s="301"/>
      <c r="GTJ1" s="301"/>
      <c r="GTK1" s="301"/>
      <c r="GTL1" s="301"/>
      <c r="GTM1" s="301"/>
      <c r="GTN1" s="301"/>
      <c r="GTO1" s="301"/>
      <c r="GTP1" s="301"/>
      <c r="GTQ1" s="301"/>
      <c r="GTR1" s="301"/>
      <c r="GTS1" s="301"/>
      <c r="GTT1" s="301"/>
      <c r="GTU1" s="301"/>
      <c r="GTV1" s="301"/>
      <c r="GTW1" s="301"/>
      <c r="GTX1" s="301"/>
      <c r="GTY1" s="301"/>
      <c r="GTZ1" s="301"/>
      <c r="GUA1" s="301"/>
      <c r="GUB1" s="301"/>
      <c r="GUC1" s="301"/>
      <c r="GUD1" s="301"/>
      <c r="GUE1" s="301"/>
      <c r="GUF1" s="301"/>
      <c r="GUG1" s="301"/>
      <c r="GUH1" s="301"/>
      <c r="GUI1" s="301"/>
      <c r="GUJ1" s="301"/>
      <c r="GUK1" s="301"/>
      <c r="GUL1" s="301"/>
      <c r="GUM1" s="301"/>
      <c r="GUN1" s="301"/>
      <c r="GUO1" s="301"/>
      <c r="GUP1" s="301"/>
      <c r="GUQ1" s="301"/>
      <c r="GUR1" s="301"/>
      <c r="GUS1" s="301"/>
      <c r="GUT1" s="301"/>
      <c r="GUU1" s="301"/>
      <c r="GUV1" s="301"/>
      <c r="GUW1" s="301"/>
      <c r="GUX1" s="301"/>
      <c r="GUY1" s="301"/>
      <c r="GUZ1" s="301"/>
      <c r="GVA1" s="301"/>
      <c r="GVB1" s="301"/>
      <c r="GVC1" s="301"/>
      <c r="GVD1" s="301"/>
      <c r="GVE1" s="301"/>
      <c r="GVF1" s="301"/>
      <c r="GVG1" s="301"/>
      <c r="GVH1" s="301"/>
      <c r="GVI1" s="301"/>
      <c r="GVJ1" s="301"/>
      <c r="GVK1" s="301"/>
      <c r="GVL1" s="301"/>
      <c r="GVM1" s="301"/>
      <c r="GVN1" s="301"/>
      <c r="GVO1" s="301"/>
      <c r="GVP1" s="301"/>
      <c r="GVQ1" s="301"/>
      <c r="GVR1" s="301"/>
      <c r="GVS1" s="301"/>
      <c r="GVT1" s="301"/>
      <c r="GVU1" s="301"/>
      <c r="GVV1" s="301"/>
      <c r="GVW1" s="301"/>
      <c r="GVX1" s="301"/>
      <c r="GVY1" s="301"/>
      <c r="GVZ1" s="301"/>
      <c r="GWA1" s="301"/>
      <c r="GWB1" s="301"/>
      <c r="GWC1" s="301"/>
      <c r="GWD1" s="301"/>
      <c r="GWE1" s="301"/>
      <c r="GWF1" s="301"/>
      <c r="GWG1" s="301"/>
      <c r="GWH1" s="301"/>
      <c r="GWI1" s="301"/>
      <c r="GWJ1" s="301"/>
      <c r="GWK1" s="301"/>
      <c r="GWL1" s="301"/>
      <c r="GWM1" s="301"/>
      <c r="GWN1" s="301"/>
      <c r="GWO1" s="301"/>
      <c r="GWP1" s="301"/>
      <c r="GWQ1" s="301"/>
      <c r="GWR1" s="301"/>
      <c r="GWS1" s="301"/>
      <c r="GWT1" s="301"/>
      <c r="GWU1" s="301"/>
      <c r="GWV1" s="301"/>
      <c r="GWW1" s="301"/>
      <c r="GWX1" s="301"/>
      <c r="GWY1" s="301"/>
      <c r="GWZ1" s="301"/>
      <c r="GXA1" s="301"/>
      <c r="GXB1" s="301"/>
      <c r="GXC1" s="301"/>
      <c r="GXD1" s="301"/>
      <c r="GXE1" s="301"/>
      <c r="GXF1" s="301"/>
      <c r="GXG1" s="301"/>
      <c r="GXH1" s="301"/>
      <c r="GXI1" s="301"/>
      <c r="GXJ1" s="301"/>
      <c r="GXK1" s="301"/>
      <c r="GXL1" s="301"/>
      <c r="GXM1" s="301"/>
      <c r="GXN1" s="301"/>
      <c r="GXO1" s="301"/>
      <c r="GXP1" s="301"/>
      <c r="GXQ1" s="301"/>
      <c r="GXR1" s="301"/>
      <c r="GXS1" s="301"/>
      <c r="GXT1" s="301"/>
      <c r="GXU1" s="301"/>
      <c r="GXV1" s="301"/>
      <c r="GXW1" s="301"/>
      <c r="GXX1" s="301"/>
      <c r="GXY1" s="301"/>
      <c r="GXZ1" s="301"/>
      <c r="GYA1" s="301"/>
      <c r="GYB1" s="301"/>
      <c r="GYC1" s="301"/>
      <c r="GYD1" s="301"/>
      <c r="GYE1" s="301"/>
      <c r="GYF1" s="301"/>
      <c r="GYG1" s="301"/>
      <c r="GYH1" s="301"/>
      <c r="GYI1" s="301"/>
      <c r="GYJ1" s="301"/>
      <c r="GYK1" s="301"/>
      <c r="GYL1" s="301"/>
      <c r="GYM1" s="301"/>
      <c r="GYN1" s="301"/>
      <c r="GYO1" s="301"/>
      <c r="GYP1" s="301"/>
      <c r="GYQ1" s="301"/>
      <c r="GYR1" s="301"/>
      <c r="GYS1" s="301"/>
      <c r="GYT1" s="301"/>
      <c r="GYU1" s="301"/>
      <c r="GYV1" s="301"/>
      <c r="GYW1" s="301"/>
      <c r="GYX1" s="301"/>
      <c r="GYY1" s="301"/>
      <c r="GYZ1" s="301"/>
      <c r="GZA1" s="301"/>
      <c r="GZB1" s="301"/>
      <c r="GZC1" s="301"/>
      <c r="GZD1" s="301"/>
      <c r="GZE1" s="301"/>
      <c r="GZF1" s="301"/>
      <c r="GZG1" s="301"/>
      <c r="GZH1" s="301"/>
      <c r="GZI1" s="301"/>
      <c r="GZJ1" s="301"/>
      <c r="GZK1" s="301"/>
      <c r="GZL1" s="301"/>
      <c r="GZM1" s="301"/>
      <c r="GZN1" s="301"/>
      <c r="GZO1" s="301"/>
      <c r="GZP1" s="301"/>
      <c r="GZQ1" s="301"/>
      <c r="GZR1" s="301"/>
      <c r="GZS1" s="301"/>
      <c r="GZT1" s="301"/>
      <c r="GZU1" s="301"/>
      <c r="GZV1" s="301"/>
      <c r="GZW1" s="301"/>
      <c r="GZX1" s="301"/>
      <c r="GZY1" s="301"/>
      <c r="GZZ1" s="301"/>
      <c r="HAA1" s="301"/>
      <c r="HAB1" s="301"/>
      <c r="HAC1" s="301"/>
      <c r="HAD1" s="301"/>
      <c r="HAE1" s="301"/>
      <c r="HAF1" s="301"/>
      <c r="HAG1" s="301"/>
      <c r="HAH1" s="301"/>
      <c r="HAI1" s="301"/>
      <c r="HAJ1" s="301"/>
      <c r="HAK1" s="301"/>
      <c r="HAL1" s="301"/>
      <c r="HAM1" s="301"/>
      <c r="HAN1" s="301"/>
      <c r="HAO1" s="301"/>
      <c r="HAP1" s="301"/>
      <c r="HAQ1" s="301"/>
      <c r="HAR1" s="301"/>
      <c r="HAS1" s="301"/>
      <c r="HAT1" s="301"/>
      <c r="HAU1" s="301"/>
      <c r="HAV1" s="301"/>
      <c r="HAW1" s="301"/>
      <c r="HAX1" s="301"/>
      <c r="HAY1" s="301"/>
      <c r="HAZ1" s="301"/>
      <c r="HBA1" s="301"/>
      <c r="HBB1" s="301"/>
      <c r="HBC1" s="301"/>
      <c r="HBD1" s="301"/>
      <c r="HBE1" s="301"/>
      <c r="HBF1" s="301"/>
      <c r="HBG1" s="301"/>
      <c r="HBH1" s="301"/>
      <c r="HBI1" s="301"/>
      <c r="HBJ1" s="301"/>
      <c r="HBK1" s="301"/>
      <c r="HBL1" s="301"/>
      <c r="HBM1" s="301"/>
      <c r="HBN1" s="301"/>
      <c r="HBO1" s="301"/>
      <c r="HBP1" s="301"/>
      <c r="HBQ1" s="301"/>
      <c r="HBR1" s="301"/>
      <c r="HBS1" s="301"/>
      <c r="HBT1" s="301"/>
      <c r="HBU1" s="301"/>
      <c r="HBV1" s="301"/>
      <c r="HBW1" s="301"/>
      <c r="HBX1" s="301"/>
      <c r="HBY1" s="301"/>
      <c r="HBZ1" s="301"/>
      <c r="HCA1" s="301"/>
      <c r="HCB1" s="301"/>
      <c r="HCC1" s="301"/>
      <c r="HCD1" s="301"/>
      <c r="HCE1" s="301"/>
      <c r="HCF1" s="301"/>
      <c r="HCG1" s="301"/>
      <c r="HCH1" s="301"/>
      <c r="HCI1" s="301"/>
      <c r="HCJ1" s="301"/>
      <c r="HCK1" s="301"/>
      <c r="HCL1" s="301"/>
      <c r="HCM1" s="301"/>
      <c r="HCN1" s="301"/>
      <c r="HCO1" s="301"/>
      <c r="HCP1" s="301"/>
      <c r="HCQ1" s="301"/>
      <c r="HCR1" s="301"/>
      <c r="HCS1" s="301"/>
      <c r="HCT1" s="301"/>
      <c r="HCU1" s="301"/>
      <c r="HCV1" s="301"/>
      <c r="HCW1" s="301"/>
      <c r="HCX1" s="301"/>
      <c r="HCY1" s="301"/>
      <c r="HCZ1" s="301"/>
      <c r="HDA1" s="301"/>
      <c r="HDB1" s="301"/>
      <c r="HDC1" s="301"/>
      <c r="HDD1" s="301"/>
      <c r="HDE1" s="301"/>
      <c r="HDF1" s="301"/>
      <c r="HDG1" s="301"/>
      <c r="HDH1" s="301"/>
      <c r="HDI1" s="301"/>
      <c r="HDJ1" s="301"/>
      <c r="HDK1" s="301"/>
      <c r="HDL1" s="301"/>
      <c r="HDM1" s="301"/>
      <c r="HDN1" s="301"/>
      <c r="HDO1" s="301"/>
      <c r="HDP1" s="301"/>
      <c r="HDQ1" s="301"/>
      <c r="HDR1" s="301"/>
      <c r="HDS1" s="301"/>
      <c r="HDT1" s="301"/>
      <c r="HDU1" s="301"/>
      <c r="HDV1" s="301"/>
      <c r="HDW1" s="301"/>
      <c r="HDX1" s="301"/>
      <c r="HDY1" s="301"/>
      <c r="HDZ1" s="301"/>
      <c r="HEA1" s="301"/>
      <c r="HEB1" s="301"/>
      <c r="HEC1" s="301"/>
      <c r="HED1" s="301"/>
      <c r="HEE1" s="301"/>
      <c r="HEF1" s="301"/>
      <c r="HEG1" s="301"/>
      <c r="HEH1" s="301"/>
      <c r="HEI1" s="301"/>
      <c r="HEJ1" s="301"/>
      <c r="HEK1" s="301"/>
      <c r="HEL1" s="301"/>
      <c r="HEM1" s="301"/>
      <c r="HEN1" s="301"/>
      <c r="HEO1" s="301"/>
      <c r="HEP1" s="301"/>
      <c r="HEQ1" s="301"/>
      <c r="HER1" s="301"/>
      <c r="HES1" s="301"/>
      <c r="HET1" s="301"/>
      <c r="HEU1" s="301"/>
      <c r="HEV1" s="301"/>
      <c r="HEW1" s="301"/>
      <c r="HEX1" s="301"/>
      <c r="HEY1" s="301"/>
      <c r="HEZ1" s="301"/>
      <c r="HFA1" s="301"/>
      <c r="HFB1" s="301"/>
      <c r="HFC1" s="301"/>
      <c r="HFD1" s="301"/>
      <c r="HFE1" s="301"/>
      <c r="HFF1" s="301"/>
      <c r="HFG1" s="301"/>
      <c r="HFH1" s="301"/>
      <c r="HFI1" s="301"/>
      <c r="HFJ1" s="301"/>
      <c r="HFK1" s="301"/>
      <c r="HFL1" s="301"/>
      <c r="HFM1" s="301"/>
      <c r="HFN1" s="301"/>
      <c r="HFO1" s="301"/>
      <c r="HFP1" s="301"/>
      <c r="HFQ1" s="301"/>
      <c r="HFR1" s="301"/>
      <c r="HFS1" s="301"/>
      <c r="HFT1" s="301"/>
      <c r="HFU1" s="301"/>
      <c r="HFV1" s="301"/>
      <c r="HFW1" s="301"/>
      <c r="HFX1" s="301"/>
      <c r="HFY1" s="301"/>
      <c r="HFZ1" s="301"/>
      <c r="HGA1" s="301"/>
      <c r="HGB1" s="301"/>
      <c r="HGC1" s="301"/>
      <c r="HGD1" s="301"/>
      <c r="HGE1" s="301"/>
      <c r="HGF1" s="301"/>
      <c r="HGG1" s="301"/>
      <c r="HGH1" s="301"/>
      <c r="HGI1" s="301"/>
      <c r="HGJ1" s="301"/>
      <c r="HGK1" s="301"/>
      <c r="HGL1" s="301"/>
      <c r="HGM1" s="301"/>
      <c r="HGN1" s="301"/>
      <c r="HGO1" s="301"/>
      <c r="HGP1" s="301"/>
      <c r="HGQ1" s="301"/>
      <c r="HGR1" s="301"/>
      <c r="HGS1" s="301"/>
      <c r="HGT1" s="301"/>
      <c r="HGU1" s="301"/>
      <c r="HGV1" s="301"/>
      <c r="HGW1" s="301"/>
      <c r="HGX1" s="301"/>
      <c r="HGY1" s="301"/>
      <c r="HGZ1" s="301"/>
      <c r="HHA1" s="301"/>
      <c r="HHB1" s="301"/>
      <c r="HHC1" s="301"/>
      <c r="HHD1" s="301"/>
      <c r="HHE1" s="301"/>
      <c r="HHF1" s="301"/>
      <c r="HHG1" s="301"/>
      <c r="HHH1" s="301"/>
      <c r="HHI1" s="301"/>
      <c r="HHJ1" s="301"/>
      <c r="HHK1" s="301"/>
      <c r="HHL1" s="301"/>
      <c r="HHM1" s="301"/>
      <c r="HHN1" s="301"/>
      <c r="HHO1" s="301"/>
      <c r="HHP1" s="301"/>
      <c r="HHQ1" s="301"/>
      <c r="HHR1" s="301"/>
      <c r="HHS1" s="301"/>
      <c r="HHT1" s="301"/>
      <c r="HHU1" s="301"/>
      <c r="HHV1" s="301"/>
      <c r="HHW1" s="301"/>
      <c r="HHX1" s="301"/>
      <c r="HHY1" s="301"/>
      <c r="HHZ1" s="301"/>
      <c r="HIA1" s="301"/>
      <c r="HIB1" s="301"/>
      <c r="HIC1" s="301"/>
      <c r="HID1" s="301"/>
      <c r="HIE1" s="301"/>
      <c r="HIF1" s="301"/>
      <c r="HIG1" s="301"/>
      <c r="HIH1" s="301"/>
      <c r="HII1" s="301"/>
      <c r="HIJ1" s="301"/>
      <c r="HIK1" s="301"/>
      <c r="HIL1" s="301"/>
      <c r="HIM1" s="301"/>
      <c r="HIN1" s="301"/>
      <c r="HIO1" s="301"/>
      <c r="HIP1" s="301"/>
      <c r="HIQ1" s="301"/>
      <c r="HIR1" s="301"/>
      <c r="HIS1" s="301"/>
      <c r="HIT1" s="301"/>
      <c r="HIU1" s="301"/>
      <c r="HIV1" s="301"/>
      <c r="HIW1" s="301"/>
      <c r="HIX1" s="301"/>
      <c r="HIY1" s="301"/>
      <c r="HIZ1" s="301"/>
      <c r="HJA1" s="301"/>
      <c r="HJB1" s="301"/>
      <c r="HJC1" s="301"/>
      <c r="HJD1" s="301"/>
      <c r="HJE1" s="301"/>
      <c r="HJF1" s="301"/>
      <c r="HJG1" s="301"/>
      <c r="HJH1" s="301"/>
      <c r="HJI1" s="301"/>
      <c r="HJJ1" s="301"/>
      <c r="HJK1" s="301"/>
      <c r="HJL1" s="301"/>
      <c r="HJM1" s="301"/>
      <c r="HJN1" s="301"/>
      <c r="HJO1" s="301"/>
      <c r="HJP1" s="301"/>
      <c r="HJQ1" s="301"/>
      <c r="HJR1" s="301"/>
      <c r="HJS1" s="301"/>
      <c r="HJT1" s="301"/>
      <c r="HJU1" s="301"/>
      <c r="HJV1" s="301"/>
      <c r="HJW1" s="301"/>
      <c r="HJX1" s="301"/>
      <c r="HJY1" s="301"/>
      <c r="HJZ1" s="301"/>
      <c r="HKA1" s="301"/>
      <c r="HKB1" s="301"/>
      <c r="HKC1" s="301"/>
      <c r="HKD1" s="301"/>
      <c r="HKE1" s="301"/>
      <c r="HKF1" s="301"/>
      <c r="HKG1" s="301"/>
      <c r="HKH1" s="301"/>
      <c r="HKI1" s="301"/>
      <c r="HKJ1" s="301"/>
      <c r="HKK1" s="301"/>
      <c r="HKL1" s="301"/>
      <c r="HKM1" s="301"/>
      <c r="HKN1" s="301"/>
      <c r="HKO1" s="301"/>
      <c r="HKP1" s="301"/>
      <c r="HKQ1" s="301"/>
      <c r="HKR1" s="301"/>
      <c r="HKS1" s="301"/>
      <c r="HKT1" s="301"/>
      <c r="HKU1" s="301"/>
      <c r="HKV1" s="301"/>
      <c r="HKW1" s="301"/>
      <c r="HKX1" s="301"/>
      <c r="HKY1" s="301"/>
      <c r="HKZ1" s="301"/>
      <c r="HLA1" s="301"/>
      <c r="HLB1" s="301"/>
      <c r="HLC1" s="301"/>
      <c r="HLD1" s="301"/>
      <c r="HLE1" s="301"/>
      <c r="HLF1" s="301"/>
      <c r="HLG1" s="301"/>
      <c r="HLH1" s="301"/>
      <c r="HLI1" s="301"/>
      <c r="HLJ1" s="301"/>
      <c r="HLK1" s="301"/>
      <c r="HLL1" s="301"/>
      <c r="HLM1" s="301"/>
      <c r="HLN1" s="301"/>
      <c r="HLO1" s="301"/>
      <c r="HLP1" s="301"/>
      <c r="HLQ1" s="301"/>
      <c r="HLR1" s="301"/>
      <c r="HLS1" s="301"/>
      <c r="HLT1" s="301"/>
      <c r="HLU1" s="301"/>
      <c r="HLV1" s="301"/>
      <c r="HLW1" s="301"/>
      <c r="HLX1" s="301"/>
      <c r="HLY1" s="301"/>
      <c r="HLZ1" s="301"/>
      <c r="HMA1" s="301"/>
      <c r="HMB1" s="301"/>
      <c r="HMC1" s="301"/>
      <c r="HMD1" s="301"/>
      <c r="HME1" s="301"/>
      <c r="HMF1" s="301"/>
      <c r="HMG1" s="301"/>
      <c r="HMH1" s="301"/>
      <c r="HMI1" s="301"/>
      <c r="HMJ1" s="301"/>
      <c r="HMK1" s="301"/>
      <c r="HML1" s="301"/>
      <c r="HMM1" s="301"/>
      <c r="HMN1" s="301"/>
      <c r="HMO1" s="301"/>
      <c r="HMP1" s="301"/>
      <c r="HMQ1" s="301"/>
      <c r="HMR1" s="301"/>
      <c r="HMS1" s="301"/>
      <c r="HMT1" s="301"/>
      <c r="HMU1" s="301"/>
      <c r="HMV1" s="301"/>
      <c r="HMW1" s="301"/>
      <c r="HMX1" s="301"/>
      <c r="HMY1" s="301"/>
      <c r="HMZ1" s="301"/>
      <c r="HNA1" s="301"/>
      <c r="HNB1" s="301"/>
      <c r="HNC1" s="301"/>
      <c r="HND1" s="301"/>
      <c r="HNE1" s="301"/>
      <c r="HNF1" s="301"/>
      <c r="HNG1" s="301"/>
      <c r="HNH1" s="301"/>
      <c r="HNI1" s="301"/>
      <c r="HNJ1" s="301"/>
      <c r="HNK1" s="301"/>
      <c r="HNL1" s="301"/>
      <c r="HNM1" s="301"/>
      <c r="HNN1" s="301"/>
      <c r="HNO1" s="301"/>
      <c r="HNP1" s="301"/>
      <c r="HNQ1" s="301"/>
      <c r="HNR1" s="301"/>
      <c r="HNS1" s="301"/>
      <c r="HNT1" s="301"/>
      <c r="HNU1" s="301"/>
      <c r="HNV1" s="301"/>
      <c r="HNW1" s="301"/>
      <c r="HNX1" s="301"/>
      <c r="HNY1" s="301"/>
      <c r="HNZ1" s="301"/>
      <c r="HOA1" s="301"/>
      <c r="HOB1" s="301"/>
      <c r="HOC1" s="301"/>
      <c r="HOD1" s="301"/>
      <c r="HOE1" s="301"/>
      <c r="HOF1" s="301"/>
      <c r="HOG1" s="301"/>
      <c r="HOH1" s="301"/>
      <c r="HOI1" s="301"/>
      <c r="HOJ1" s="301"/>
      <c r="HOK1" s="301"/>
      <c r="HOL1" s="301"/>
      <c r="HOM1" s="301"/>
      <c r="HON1" s="301"/>
      <c r="HOO1" s="301"/>
      <c r="HOP1" s="301"/>
      <c r="HOQ1" s="301"/>
      <c r="HOR1" s="301"/>
      <c r="HOS1" s="301"/>
      <c r="HOT1" s="301"/>
      <c r="HOU1" s="301"/>
      <c r="HOV1" s="301"/>
      <c r="HOW1" s="301"/>
      <c r="HOX1" s="301"/>
      <c r="HOY1" s="301"/>
      <c r="HOZ1" s="301"/>
      <c r="HPA1" s="301"/>
      <c r="HPB1" s="301"/>
      <c r="HPC1" s="301"/>
      <c r="HPD1" s="301"/>
      <c r="HPE1" s="301"/>
      <c r="HPF1" s="301"/>
      <c r="HPG1" s="301"/>
      <c r="HPH1" s="301"/>
      <c r="HPI1" s="301"/>
      <c r="HPJ1" s="301"/>
      <c r="HPK1" s="301"/>
      <c r="HPL1" s="301"/>
      <c r="HPM1" s="301"/>
      <c r="HPN1" s="301"/>
      <c r="HPO1" s="301"/>
      <c r="HPP1" s="301"/>
      <c r="HPQ1" s="301"/>
      <c r="HPR1" s="301"/>
      <c r="HPS1" s="301"/>
      <c r="HPT1" s="301"/>
      <c r="HPU1" s="301"/>
      <c r="HPV1" s="301"/>
      <c r="HPW1" s="301"/>
      <c r="HPX1" s="301"/>
      <c r="HPY1" s="301"/>
      <c r="HPZ1" s="301"/>
      <c r="HQA1" s="301"/>
      <c r="HQB1" s="301"/>
      <c r="HQC1" s="301"/>
      <c r="HQD1" s="301"/>
      <c r="HQE1" s="301"/>
      <c r="HQF1" s="301"/>
      <c r="HQG1" s="301"/>
      <c r="HQH1" s="301"/>
      <c r="HQI1" s="301"/>
      <c r="HQJ1" s="301"/>
      <c r="HQK1" s="301"/>
      <c r="HQL1" s="301"/>
      <c r="HQM1" s="301"/>
      <c r="HQN1" s="301"/>
      <c r="HQO1" s="301"/>
      <c r="HQP1" s="301"/>
      <c r="HQQ1" s="301"/>
      <c r="HQR1" s="301"/>
      <c r="HQS1" s="301"/>
      <c r="HQT1" s="301"/>
      <c r="HQU1" s="301"/>
      <c r="HQV1" s="301"/>
      <c r="HQW1" s="301"/>
      <c r="HQX1" s="301"/>
      <c r="HQY1" s="301"/>
      <c r="HQZ1" s="301"/>
      <c r="HRA1" s="301"/>
      <c r="HRB1" s="301"/>
      <c r="HRC1" s="301"/>
      <c r="HRD1" s="301"/>
      <c r="HRE1" s="301"/>
      <c r="HRF1" s="301"/>
      <c r="HRG1" s="301"/>
      <c r="HRH1" s="301"/>
      <c r="HRI1" s="301"/>
      <c r="HRJ1" s="301"/>
      <c r="HRK1" s="301"/>
      <c r="HRL1" s="301"/>
      <c r="HRM1" s="301"/>
      <c r="HRN1" s="301"/>
      <c r="HRO1" s="301"/>
      <c r="HRP1" s="301"/>
      <c r="HRQ1" s="301"/>
      <c r="HRR1" s="301"/>
      <c r="HRS1" s="301"/>
      <c r="HRT1" s="301"/>
      <c r="HRU1" s="301"/>
      <c r="HRV1" s="301"/>
      <c r="HRW1" s="301"/>
      <c r="HRX1" s="301"/>
      <c r="HRY1" s="301"/>
      <c r="HRZ1" s="301"/>
      <c r="HSA1" s="301"/>
      <c r="HSB1" s="301"/>
      <c r="HSC1" s="301"/>
      <c r="HSD1" s="301"/>
      <c r="HSE1" s="301"/>
      <c r="HSF1" s="301"/>
      <c r="HSG1" s="301"/>
      <c r="HSH1" s="301"/>
      <c r="HSI1" s="301"/>
      <c r="HSJ1" s="301"/>
      <c r="HSK1" s="301"/>
      <c r="HSL1" s="301"/>
      <c r="HSM1" s="301"/>
      <c r="HSN1" s="301"/>
      <c r="HSO1" s="301"/>
      <c r="HSP1" s="301"/>
      <c r="HSQ1" s="301"/>
      <c r="HSR1" s="301"/>
      <c r="HSS1" s="301"/>
      <c r="HST1" s="301"/>
      <c r="HSU1" s="301"/>
      <c r="HSV1" s="301"/>
      <c r="HSW1" s="301"/>
      <c r="HSX1" s="301"/>
      <c r="HSY1" s="301"/>
      <c r="HSZ1" s="301"/>
      <c r="HTA1" s="301"/>
      <c r="HTB1" s="301"/>
      <c r="HTC1" s="301"/>
      <c r="HTD1" s="301"/>
      <c r="HTE1" s="301"/>
      <c r="HTF1" s="301"/>
      <c r="HTG1" s="301"/>
      <c r="HTH1" s="301"/>
      <c r="HTI1" s="301"/>
      <c r="HTJ1" s="301"/>
      <c r="HTK1" s="301"/>
      <c r="HTL1" s="301"/>
      <c r="HTM1" s="301"/>
      <c r="HTN1" s="301"/>
      <c r="HTO1" s="301"/>
      <c r="HTP1" s="301"/>
      <c r="HTQ1" s="301"/>
      <c r="HTR1" s="301"/>
      <c r="HTS1" s="301"/>
      <c r="HTT1" s="301"/>
      <c r="HTU1" s="301"/>
      <c r="HTV1" s="301"/>
      <c r="HTW1" s="301"/>
      <c r="HTX1" s="301"/>
      <c r="HTY1" s="301"/>
      <c r="HTZ1" s="301"/>
      <c r="HUA1" s="301"/>
      <c r="HUB1" s="301"/>
      <c r="HUC1" s="301"/>
      <c r="HUD1" s="301"/>
      <c r="HUE1" s="301"/>
      <c r="HUF1" s="301"/>
      <c r="HUG1" s="301"/>
      <c r="HUH1" s="301"/>
      <c r="HUI1" s="301"/>
      <c r="HUJ1" s="301"/>
      <c r="HUK1" s="301"/>
      <c r="HUL1" s="301"/>
      <c r="HUM1" s="301"/>
      <c r="HUN1" s="301"/>
      <c r="HUO1" s="301"/>
      <c r="HUP1" s="301"/>
      <c r="HUQ1" s="301"/>
      <c r="HUR1" s="301"/>
      <c r="HUS1" s="301"/>
      <c r="HUT1" s="301"/>
      <c r="HUU1" s="301"/>
      <c r="HUV1" s="301"/>
      <c r="HUW1" s="301"/>
      <c r="HUX1" s="301"/>
      <c r="HUY1" s="301"/>
      <c r="HUZ1" s="301"/>
      <c r="HVA1" s="301"/>
      <c r="HVB1" s="301"/>
      <c r="HVC1" s="301"/>
      <c r="HVD1" s="301"/>
      <c r="HVE1" s="301"/>
      <c r="HVF1" s="301"/>
      <c r="HVG1" s="301"/>
      <c r="HVH1" s="301"/>
      <c r="HVI1" s="301"/>
      <c r="HVJ1" s="301"/>
      <c r="HVK1" s="301"/>
      <c r="HVL1" s="301"/>
      <c r="HVM1" s="301"/>
      <c r="HVN1" s="301"/>
      <c r="HVO1" s="301"/>
      <c r="HVP1" s="301"/>
      <c r="HVQ1" s="301"/>
      <c r="HVR1" s="301"/>
      <c r="HVS1" s="301"/>
      <c r="HVT1" s="301"/>
      <c r="HVU1" s="301"/>
      <c r="HVV1" s="301"/>
      <c r="HVW1" s="301"/>
      <c r="HVX1" s="301"/>
      <c r="HVY1" s="301"/>
      <c r="HVZ1" s="301"/>
      <c r="HWA1" s="301"/>
      <c r="HWB1" s="301"/>
      <c r="HWC1" s="301"/>
      <c r="HWD1" s="301"/>
      <c r="HWE1" s="301"/>
      <c r="HWF1" s="301"/>
      <c r="HWG1" s="301"/>
      <c r="HWH1" s="301"/>
      <c r="HWI1" s="301"/>
      <c r="HWJ1" s="301"/>
      <c r="HWK1" s="301"/>
      <c r="HWL1" s="301"/>
      <c r="HWM1" s="301"/>
      <c r="HWN1" s="301"/>
      <c r="HWO1" s="301"/>
      <c r="HWP1" s="301"/>
      <c r="HWQ1" s="301"/>
      <c r="HWR1" s="301"/>
      <c r="HWS1" s="301"/>
      <c r="HWT1" s="301"/>
      <c r="HWU1" s="301"/>
      <c r="HWV1" s="301"/>
      <c r="HWW1" s="301"/>
      <c r="HWX1" s="301"/>
      <c r="HWY1" s="301"/>
      <c r="HWZ1" s="301"/>
      <c r="HXA1" s="301"/>
      <c r="HXB1" s="301"/>
      <c r="HXC1" s="301"/>
      <c r="HXD1" s="301"/>
      <c r="HXE1" s="301"/>
      <c r="HXF1" s="301"/>
      <c r="HXG1" s="301"/>
      <c r="HXH1" s="301"/>
      <c r="HXI1" s="301"/>
      <c r="HXJ1" s="301"/>
      <c r="HXK1" s="301"/>
      <c r="HXL1" s="301"/>
      <c r="HXM1" s="301"/>
      <c r="HXN1" s="301"/>
      <c r="HXO1" s="301"/>
      <c r="HXP1" s="301"/>
      <c r="HXQ1" s="301"/>
      <c r="HXR1" s="301"/>
      <c r="HXS1" s="301"/>
      <c r="HXT1" s="301"/>
      <c r="HXU1" s="301"/>
      <c r="HXV1" s="301"/>
      <c r="HXW1" s="301"/>
      <c r="HXX1" s="301"/>
      <c r="HXY1" s="301"/>
      <c r="HXZ1" s="301"/>
      <c r="HYA1" s="301"/>
      <c r="HYB1" s="301"/>
      <c r="HYC1" s="301"/>
      <c r="HYD1" s="301"/>
      <c r="HYE1" s="301"/>
      <c r="HYF1" s="301"/>
      <c r="HYG1" s="301"/>
      <c r="HYH1" s="301"/>
      <c r="HYI1" s="301"/>
      <c r="HYJ1" s="301"/>
      <c r="HYK1" s="301"/>
      <c r="HYL1" s="301"/>
      <c r="HYM1" s="301"/>
      <c r="HYN1" s="301"/>
      <c r="HYO1" s="301"/>
      <c r="HYP1" s="301"/>
      <c r="HYQ1" s="301"/>
      <c r="HYR1" s="301"/>
      <c r="HYS1" s="301"/>
      <c r="HYT1" s="301"/>
      <c r="HYU1" s="301"/>
      <c r="HYV1" s="301"/>
      <c r="HYW1" s="301"/>
      <c r="HYX1" s="301"/>
      <c r="HYY1" s="301"/>
      <c r="HYZ1" s="301"/>
      <c r="HZA1" s="301"/>
      <c r="HZB1" s="301"/>
      <c r="HZC1" s="301"/>
      <c r="HZD1" s="301"/>
      <c r="HZE1" s="301"/>
      <c r="HZF1" s="301"/>
      <c r="HZG1" s="301"/>
      <c r="HZH1" s="301"/>
      <c r="HZI1" s="301"/>
      <c r="HZJ1" s="301"/>
      <c r="HZK1" s="301"/>
      <c r="HZL1" s="301"/>
      <c r="HZM1" s="301"/>
      <c r="HZN1" s="301"/>
      <c r="HZO1" s="301"/>
      <c r="HZP1" s="301"/>
      <c r="HZQ1" s="301"/>
      <c r="HZR1" s="301"/>
      <c r="HZS1" s="301"/>
      <c r="HZT1" s="301"/>
      <c r="HZU1" s="301"/>
      <c r="HZV1" s="301"/>
      <c r="HZW1" s="301"/>
      <c r="HZX1" s="301"/>
      <c r="HZY1" s="301"/>
      <c r="HZZ1" s="301"/>
      <c r="IAA1" s="301"/>
      <c r="IAB1" s="301"/>
      <c r="IAC1" s="301"/>
      <c r="IAD1" s="301"/>
      <c r="IAE1" s="301"/>
      <c r="IAF1" s="301"/>
      <c r="IAG1" s="301"/>
      <c r="IAH1" s="301"/>
      <c r="IAI1" s="301"/>
      <c r="IAJ1" s="301"/>
      <c r="IAK1" s="301"/>
      <c r="IAL1" s="301"/>
      <c r="IAM1" s="301"/>
      <c r="IAN1" s="301"/>
      <c r="IAO1" s="301"/>
      <c r="IAP1" s="301"/>
      <c r="IAQ1" s="301"/>
      <c r="IAR1" s="301"/>
      <c r="IAS1" s="301"/>
      <c r="IAT1" s="301"/>
      <c r="IAU1" s="301"/>
      <c r="IAV1" s="301"/>
      <c r="IAW1" s="301"/>
      <c r="IAX1" s="301"/>
      <c r="IAY1" s="301"/>
      <c r="IAZ1" s="301"/>
      <c r="IBA1" s="301"/>
      <c r="IBB1" s="301"/>
      <c r="IBC1" s="301"/>
      <c r="IBD1" s="301"/>
      <c r="IBE1" s="301"/>
      <c r="IBF1" s="301"/>
      <c r="IBG1" s="301"/>
      <c r="IBH1" s="301"/>
      <c r="IBI1" s="301"/>
      <c r="IBJ1" s="301"/>
      <c r="IBK1" s="301"/>
      <c r="IBL1" s="301"/>
      <c r="IBM1" s="301"/>
      <c r="IBN1" s="301"/>
      <c r="IBO1" s="301"/>
      <c r="IBP1" s="301"/>
      <c r="IBQ1" s="301"/>
      <c r="IBR1" s="301"/>
      <c r="IBS1" s="301"/>
      <c r="IBT1" s="301"/>
      <c r="IBU1" s="301"/>
      <c r="IBV1" s="301"/>
      <c r="IBW1" s="301"/>
      <c r="IBX1" s="301"/>
      <c r="IBY1" s="301"/>
      <c r="IBZ1" s="301"/>
      <c r="ICA1" s="301"/>
      <c r="ICB1" s="301"/>
      <c r="ICC1" s="301"/>
      <c r="ICD1" s="301"/>
      <c r="ICE1" s="301"/>
      <c r="ICF1" s="301"/>
      <c r="ICG1" s="301"/>
      <c r="ICH1" s="301"/>
      <c r="ICI1" s="301"/>
      <c r="ICJ1" s="301"/>
      <c r="ICK1" s="301"/>
      <c r="ICL1" s="301"/>
      <c r="ICM1" s="301"/>
      <c r="ICN1" s="301"/>
      <c r="ICO1" s="301"/>
      <c r="ICP1" s="301"/>
      <c r="ICQ1" s="301"/>
      <c r="ICR1" s="301"/>
      <c r="ICS1" s="301"/>
      <c r="ICT1" s="301"/>
      <c r="ICU1" s="301"/>
      <c r="ICV1" s="301"/>
      <c r="ICW1" s="301"/>
      <c r="ICX1" s="301"/>
      <c r="ICY1" s="301"/>
      <c r="ICZ1" s="301"/>
      <c r="IDA1" s="301"/>
      <c r="IDB1" s="301"/>
      <c r="IDC1" s="301"/>
      <c r="IDD1" s="301"/>
      <c r="IDE1" s="301"/>
      <c r="IDF1" s="301"/>
      <c r="IDG1" s="301"/>
      <c r="IDH1" s="301"/>
      <c r="IDI1" s="301"/>
      <c r="IDJ1" s="301"/>
      <c r="IDK1" s="301"/>
      <c r="IDL1" s="301"/>
      <c r="IDM1" s="301"/>
      <c r="IDN1" s="301"/>
      <c r="IDO1" s="301"/>
      <c r="IDP1" s="301"/>
      <c r="IDQ1" s="301"/>
      <c r="IDR1" s="301"/>
      <c r="IDS1" s="301"/>
      <c r="IDT1" s="301"/>
      <c r="IDU1" s="301"/>
      <c r="IDV1" s="301"/>
      <c r="IDW1" s="301"/>
      <c r="IDX1" s="301"/>
      <c r="IDY1" s="301"/>
      <c r="IDZ1" s="301"/>
      <c r="IEA1" s="301"/>
      <c r="IEB1" s="301"/>
      <c r="IEC1" s="301"/>
      <c r="IED1" s="301"/>
      <c r="IEE1" s="301"/>
      <c r="IEF1" s="301"/>
      <c r="IEG1" s="301"/>
      <c r="IEH1" s="301"/>
      <c r="IEI1" s="301"/>
      <c r="IEJ1" s="301"/>
      <c r="IEK1" s="301"/>
      <c r="IEL1" s="301"/>
      <c r="IEM1" s="301"/>
      <c r="IEN1" s="301"/>
      <c r="IEO1" s="301"/>
      <c r="IEP1" s="301"/>
      <c r="IEQ1" s="301"/>
      <c r="IER1" s="301"/>
      <c r="IES1" s="301"/>
      <c r="IET1" s="301"/>
      <c r="IEU1" s="301"/>
      <c r="IEV1" s="301"/>
      <c r="IEW1" s="301"/>
      <c r="IEX1" s="301"/>
      <c r="IEY1" s="301"/>
      <c r="IEZ1" s="301"/>
      <c r="IFA1" s="301"/>
      <c r="IFB1" s="301"/>
      <c r="IFC1" s="301"/>
      <c r="IFD1" s="301"/>
      <c r="IFE1" s="301"/>
      <c r="IFF1" s="301"/>
      <c r="IFG1" s="301"/>
      <c r="IFH1" s="301"/>
      <c r="IFI1" s="301"/>
      <c r="IFJ1" s="301"/>
      <c r="IFK1" s="301"/>
      <c r="IFL1" s="301"/>
      <c r="IFM1" s="301"/>
      <c r="IFN1" s="301"/>
      <c r="IFO1" s="301"/>
      <c r="IFP1" s="301"/>
      <c r="IFQ1" s="301"/>
      <c r="IFR1" s="301"/>
      <c r="IFS1" s="301"/>
      <c r="IFT1" s="301"/>
      <c r="IFU1" s="301"/>
      <c r="IFV1" s="301"/>
      <c r="IFW1" s="301"/>
      <c r="IFX1" s="301"/>
      <c r="IFY1" s="301"/>
      <c r="IFZ1" s="301"/>
      <c r="IGA1" s="301"/>
      <c r="IGB1" s="301"/>
      <c r="IGC1" s="301"/>
      <c r="IGD1" s="301"/>
      <c r="IGE1" s="301"/>
      <c r="IGF1" s="301"/>
      <c r="IGG1" s="301"/>
      <c r="IGH1" s="301"/>
      <c r="IGI1" s="301"/>
      <c r="IGJ1" s="301"/>
      <c r="IGK1" s="301"/>
      <c r="IGL1" s="301"/>
      <c r="IGM1" s="301"/>
      <c r="IGN1" s="301"/>
      <c r="IGO1" s="301"/>
      <c r="IGP1" s="301"/>
      <c r="IGQ1" s="301"/>
      <c r="IGR1" s="301"/>
      <c r="IGS1" s="301"/>
      <c r="IGT1" s="301"/>
      <c r="IGU1" s="301"/>
      <c r="IGV1" s="301"/>
      <c r="IGW1" s="301"/>
      <c r="IGX1" s="301"/>
      <c r="IGY1" s="301"/>
      <c r="IGZ1" s="301"/>
      <c r="IHA1" s="301"/>
      <c r="IHB1" s="301"/>
      <c r="IHC1" s="301"/>
      <c r="IHD1" s="301"/>
      <c r="IHE1" s="301"/>
      <c r="IHF1" s="301"/>
      <c r="IHG1" s="301"/>
      <c r="IHH1" s="301"/>
      <c r="IHI1" s="301"/>
      <c r="IHJ1" s="301"/>
      <c r="IHK1" s="301"/>
      <c r="IHL1" s="301"/>
      <c r="IHM1" s="301"/>
      <c r="IHN1" s="301"/>
      <c r="IHO1" s="301"/>
      <c r="IHP1" s="301"/>
      <c r="IHQ1" s="301"/>
      <c r="IHR1" s="301"/>
      <c r="IHS1" s="301"/>
      <c r="IHT1" s="301"/>
      <c r="IHU1" s="301"/>
      <c r="IHV1" s="301"/>
      <c r="IHW1" s="301"/>
      <c r="IHX1" s="301"/>
      <c r="IHY1" s="301"/>
      <c r="IHZ1" s="301"/>
      <c r="IIA1" s="301"/>
      <c r="IIB1" s="301"/>
      <c r="IIC1" s="301"/>
      <c r="IID1" s="301"/>
      <c r="IIE1" s="301"/>
      <c r="IIF1" s="301"/>
      <c r="IIG1" s="301"/>
      <c r="IIH1" s="301"/>
      <c r="III1" s="301"/>
      <c r="IIJ1" s="301"/>
      <c r="IIK1" s="301"/>
      <c r="IIL1" s="301"/>
      <c r="IIM1" s="301"/>
      <c r="IIN1" s="301"/>
      <c r="IIO1" s="301"/>
      <c r="IIP1" s="301"/>
      <c r="IIQ1" s="301"/>
      <c r="IIR1" s="301"/>
      <c r="IIS1" s="301"/>
      <c r="IIT1" s="301"/>
      <c r="IIU1" s="301"/>
      <c r="IIV1" s="301"/>
      <c r="IIW1" s="301"/>
      <c r="IIX1" s="301"/>
      <c r="IIY1" s="301"/>
      <c r="IIZ1" s="301"/>
      <c r="IJA1" s="301"/>
      <c r="IJB1" s="301"/>
      <c r="IJC1" s="301"/>
      <c r="IJD1" s="301"/>
      <c r="IJE1" s="301"/>
      <c r="IJF1" s="301"/>
      <c r="IJG1" s="301"/>
      <c r="IJH1" s="301"/>
      <c r="IJI1" s="301"/>
      <c r="IJJ1" s="301"/>
      <c r="IJK1" s="301"/>
      <c r="IJL1" s="301"/>
      <c r="IJM1" s="301"/>
      <c r="IJN1" s="301"/>
      <c r="IJO1" s="301"/>
      <c r="IJP1" s="301"/>
      <c r="IJQ1" s="301"/>
      <c r="IJR1" s="301"/>
      <c r="IJS1" s="301"/>
      <c r="IJT1" s="301"/>
      <c r="IJU1" s="301"/>
      <c r="IJV1" s="301"/>
      <c r="IJW1" s="301"/>
      <c r="IJX1" s="301"/>
      <c r="IJY1" s="301"/>
      <c r="IJZ1" s="301"/>
      <c r="IKA1" s="301"/>
      <c r="IKB1" s="301"/>
      <c r="IKC1" s="301"/>
      <c r="IKD1" s="301"/>
      <c r="IKE1" s="301"/>
      <c r="IKF1" s="301"/>
      <c r="IKG1" s="301"/>
      <c r="IKH1" s="301"/>
      <c r="IKI1" s="301"/>
      <c r="IKJ1" s="301"/>
      <c r="IKK1" s="301"/>
      <c r="IKL1" s="301"/>
      <c r="IKM1" s="301"/>
      <c r="IKN1" s="301"/>
      <c r="IKO1" s="301"/>
      <c r="IKP1" s="301"/>
      <c r="IKQ1" s="301"/>
      <c r="IKR1" s="301"/>
      <c r="IKS1" s="301"/>
      <c r="IKT1" s="301"/>
      <c r="IKU1" s="301"/>
      <c r="IKV1" s="301"/>
      <c r="IKW1" s="301"/>
      <c r="IKX1" s="301"/>
      <c r="IKY1" s="301"/>
      <c r="IKZ1" s="301"/>
      <c r="ILA1" s="301"/>
      <c r="ILB1" s="301"/>
      <c r="ILC1" s="301"/>
      <c r="ILD1" s="301"/>
      <c r="ILE1" s="301"/>
      <c r="ILF1" s="301"/>
      <c r="ILG1" s="301"/>
      <c r="ILH1" s="301"/>
      <c r="ILI1" s="301"/>
      <c r="ILJ1" s="301"/>
      <c r="ILK1" s="301"/>
      <c r="ILL1" s="301"/>
      <c r="ILM1" s="301"/>
      <c r="ILN1" s="301"/>
      <c r="ILO1" s="301"/>
      <c r="ILP1" s="301"/>
      <c r="ILQ1" s="301"/>
      <c r="ILR1" s="301"/>
      <c r="ILS1" s="301"/>
      <c r="ILT1" s="301"/>
      <c r="ILU1" s="301"/>
      <c r="ILV1" s="301"/>
      <c r="ILW1" s="301"/>
      <c r="ILX1" s="301"/>
      <c r="ILY1" s="301"/>
      <c r="ILZ1" s="301"/>
      <c r="IMA1" s="301"/>
      <c r="IMB1" s="301"/>
      <c r="IMC1" s="301"/>
      <c r="IMD1" s="301"/>
      <c r="IME1" s="301"/>
      <c r="IMF1" s="301"/>
      <c r="IMG1" s="301"/>
      <c r="IMH1" s="301"/>
      <c r="IMI1" s="301"/>
      <c r="IMJ1" s="301"/>
      <c r="IMK1" s="301"/>
      <c r="IML1" s="301"/>
      <c r="IMM1" s="301"/>
      <c r="IMN1" s="301"/>
      <c r="IMO1" s="301"/>
      <c r="IMP1" s="301"/>
      <c r="IMQ1" s="301"/>
      <c r="IMR1" s="301"/>
      <c r="IMS1" s="301"/>
      <c r="IMT1" s="301"/>
      <c r="IMU1" s="301"/>
      <c r="IMV1" s="301"/>
      <c r="IMW1" s="301"/>
      <c r="IMX1" s="301"/>
      <c r="IMY1" s="301"/>
      <c r="IMZ1" s="301"/>
      <c r="INA1" s="301"/>
      <c r="INB1" s="301"/>
      <c r="INC1" s="301"/>
      <c r="IND1" s="301"/>
      <c r="INE1" s="301"/>
      <c r="INF1" s="301"/>
      <c r="ING1" s="301"/>
      <c r="INH1" s="301"/>
      <c r="INI1" s="301"/>
      <c r="INJ1" s="301"/>
      <c r="INK1" s="301"/>
      <c r="INL1" s="301"/>
      <c r="INM1" s="301"/>
      <c r="INN1" s="301"/>
      <c r="INO1" s="301"/>
      <c r="INP1" s="301"/>
      <c r="INQ1" s="301"/>
      <c r="INR1" s="301"/>
      <c r="INS1" s="301"/>
      <c r="INT1" s="301"/>
      <c r="INU1" s="301"/>
      <c r="INV1" s="301"/>
      <c r="INW1" s="301"/>
      <c r="INX1" s="301"/>
      <c r="INY1" s="301"/>
      <c r="INZ1" s="301"/>
      <c r="IOA1" s="301"/>
      <c r="IOB1" s="301"/>
      <c r="IOC1" s="301"/>
      <c r="IOD1" s="301"/>
      <c r="IOE1" s="301"/>
      <c r="IOF1" s="301"/>
      <c r="IOG1" s="301"/>
      <c r="IOH1" s="301"/>
      <c r="IOI1" s="301"/>
      <c r="IOJ1" s="301"/>
      <c r="IOK1" s="301"/>
      <c r="IOL1" s="301"/>
      <c r="IOM1" s="301"/>
      <c r="ION1" s="301"/>
      <c r="IOO1" s="301"/>
      <c r="IOP1" s="301"/>
      <c r="IOQ1" s="301"/>
      <c r="IOR1" s="301"/>
      <c r="IOS1" s="301"/>
      <c r="IOT1" s="301"/>
      <c r="IOU1" s="301"/>
      <c r="IOV1" s="301"/>
      <c r="IOW1" s="301"/>
      <c r="IOX1" s="301"/>
      <c r="IOY1" s="301"/>
      <c r="IOZ1" s="301"/>
      <c r="IPA1" s="301"/>
      <c r="IPB1" s="301"/>
      <c r="IPC1" s="301"/>
      <c r="IPD1" s="301"/>
      <c r="IPE1" s="301"/>
      <c r="IPF1" s="301"/>
      <c r="IPG1" s="301"/>
      <c r="IPH1" s="301"/>
      <c r="IPI1" s="301"/>
      <c r="IPJ1" s="301"/>
      <c r="IPK1" s="301"/>
      <c r="IPL1" s="301"/>
      <c r="IPM1" s="301"/>
      <c r="IPN1" s="301"/>
      <c r="IPO1" s="301"/>
      <c r="IPP1" s="301"/>
      <c r="IPQ1" s="301"/>
      <c r="IPR1" s="301"/>
      <c r="IPS1" s="301"/>
      <c r="IPT1" s="301"/>
      <c r="IPU1" s="301"/>
      <c r="IPV1" s="301"/>
      <c r="IPW1" s="301"/>
      <c r="IPX1" s="301"/>
      <c r="IPY1" s="301"/>
      <c r="IPZ1" s="301"/>
      <c r="IQA1" s="301"/>
      <c r="IQB1" s="301"/>
      <c r="IQC1" s="301"/>
      <c r="IQD1" s="301"/>
      <c r="IQE1" s="301"/>
      <c r="IQF1" s="301"/>
      <c r="IQG1" s="301"/>
      <c r="IQH1" s="301"/>
      <c r="IQI1" s="301"/>
      <c r="IQJ1" s="301"/>
      <c r="IQK1" s="301"/>
      <c r="IQL1" s="301"/>
      <c r="IQM1" s="301"/>
      <c r="IQN1" s="301"/>
      <c r="IQO1" s="301"/>
      <c r="IQP1" s="301"/>
      <c r="IQQ1" s="301"/>
      <c r="IQR1" s="301"/>
      <c r="IQS1" s="301"/>
      <c r="IQT1" s="301"/>
      <c r="IQU1" s="301"/>
      <c r="IQV1" s="301"/>
      <c r="IQW1" s="301"/>
      <c r="IQX1" s="301"/>
      <c r="IQY1" s="301"/>
      <c r="IQZ1" s="301"/>
      <c r="IRA1" s="301"/>
      <c r="IRB1" s="301"/>
      <c r="IRC1" s="301"/>
      <c r="IRD1" s="301"/>
      <c r="IRE1" s="301"/>
      <c r="IRF1" s="301"/>
      <c r="IRG1" s="301"/>
      <c r="IRH1" s="301"/>
      <c r="IRI1" s="301"/>
      <c r="IRJ1" s="301"/>
      <c r="IRK1" s="301"/>
      <c r="IRL1" s="301"/>
      <c r="IRM1" s="301"/>
      <c r="IRN1" s="301"/>
      <c r="IRO1" s="301"/>
      <c r="IRP1" s="301"/>
      <c r="IRQ1" s="301"/>
      <c r="IRR1" s="301"/>
      <c r="IRS1" s="301"/>
      <c r="IRT1" s="301"/>
      <c r="IRU1" s="301"/>
      <c r="IRV1" s="301"/>
      <c r="IRW1" s="301"/>
      <c r="IRX1" s="301"/>
      <c r="IRY1" s="301"/>
      <c r="IRZ1" s="301"/>
      <c r="ISA1" s="301"/>
      <c r="ISB1" s="301"/>
      <c r="ISC1" s="301"/>
      <c r="ISD1" s="301"/>
      <c r="ISE1" s="301"/>
      <c r="ISF1" s="301"/>
      <c r="ISG1" s="301"/>
      <c r="ISH1" s="301"/>
      <c r="ISI1" s="301"/>
      <c r="ISJ1" s="301"/>
      <c r="ISK1" s="301"/>
      <c r="ISL1" s="301"/>
      <c r="ISM1" s="301"/>
      <c r="ISN1" s="301"/>
      <c r="ISO1" s="301"/>
      <c r="ISP1" s="301"/>
      <c r="ISQ1" s="301"/>
      <c r="ISR1" s="301"/>
      <c r="ISS1" s="301"/>
      <c r="IST1" s="301"/>
      <c r="ISU1" s="301"/>
      <c r="ISV1" s="301"/>
      <c r="ISW1" s="301"/>
      <c r="ISX1" s="301"/>
      <c r="ISY1" s="301"/>
      <c r="ISZ1" s="301"/>
      <c r="ITA1" s="301"/>
      <c r="ITB1" s="301"/>
      <c r="ITC1" s="301"/>
      <c r="ITD1" s="301"/>
      <c r="ITE1" s="301"/>
      <c r="ITF1" s="301"/>
      <c r="ITG1" s="301"/>
      <c r="ITH1" s="301"/>
      <c r="ITI1" s="301"/>
      <c r="ITJ1" s="301"/>
      <c r="ITK1" s="301"/>
      <c r="ITL1" s="301"/>
      <c r="ITM1" s="301"/>
      <c r="ITN1" s="301"/>
      <c r="ITO1" s="301"/>
      <c r="ITP1" s="301"/>
      <c r="ITQ1" s="301"/>
      <c r="ITR1" s="301"/>
      <c r="ITS1" s="301"/>
      <c r="ITT1" s="301"/>
      <c r="ITU1" s="301"/>
      <c r="ITV1" s="301"/>
      <c r="ITW1" s="301"/>
      <c r="ITX1" s="301"/>
      <c r="ITY1" s="301"/>
      <c r="ITZ1" s="301"/>
      <c r="IUA1" s="301"/>
      <c r="IUB1" s="301"/>
      <c r="IUC1" s="301"/>
      <c r="IUD1" s="301"/>
      <c r="IUE1" s="301"/>
      <c r="IUF1" s="301"/>
      <c r="IUG1" s="301"/>
      <c r="IUH1" s="301"/>
      <c r="IUI1" s="301"/>
      <c r="IUJ1" s="301"/>
      <c r="IUK1" s="301"/>
      <c r="IUL1" s="301"/>
      <c r="IUM1" s="301"/>
      <c r="IUN1" s="301"/>
      <c r="IUO1" s="301"/>
      <c r="IUP1" s="301"/>
      <c r="IUQ1" s="301"/>
      <c r="IUR1" s="301"/>
      <c r="IUS1" s="301"/>
      <c r="IUT1" s="301"/>
      <c r="IUU1" s="301"/>
      <c r="IUV1" s="301"/>
      <c r="IUW1" s="301"/>
      <c r="IUX1" s="301"/>
      <c r="IUY1" s="301"/>
      <c r="IUZ1" s="301"/>
      <c r="IVA1" s="301"/>
      <c r="IVB1" s="301"/>
      <c r="IVC1" s="301"/>
      <c r="IVD1" s="301"/>
      <c r="IVE1" s="301"/>
      <c r="IVF1" s="301"/>
      <c r="IVG1" s="301"/>
      <c r="IVH1" s="301"/>
      <c r="IVI1" s="301"/>
      <c r="IVJ1" s="301"/>
      <c r="IVK1" s="301"/>
      <c r="IVL1" s="301"/>
      <c r="IVM1" s="301"/>
      <c r="IVN1" s="301"/>
      <c r="IVO1" s="301"/>
      <c r="IVP1" s="301"/>
      <c r="IVQ1" s="301"/>
      <c r="IVR1" s="301"/>
      <c r="IVS1" s="301"/>
      <c r="IVT1" s="301"/>
      <c r="IVU1" s="301"/>
      <c r="IVV1" s="301"/>
      <c r="IVW1" s="301"/>
      <c r="IVX1" s="301"/>
      <c r="IVY1" s="301"/>
      <c r="IVZ1" s="301"/>
      <c r="IWA1" s="301"/>
      <c r="IWB1" s="301"/>
      <c r="IWC1" s="301"/>
      <c r="IWD1" s="301"/>
      <c r="IWE1" s="301"/>
      <c r="IWF1" s="301"/>
      <c r="IWG1" s="301"/>
      <c r="IWH1" s="301"/>
      <c r="IWI1" s="301"/>
      <c r="IWJ1" s="301"/>
      <c r="IWK1" s="301"/>
      <c r="IWL1" s="301"/>
      <c r="IWM1" s="301"/>
      <c r="IWN1" s="301"/>
      <c r="IWO1" s="301"/>
      <c r="IWP1" s="301"/>
      <c r="IWQ1" s="301"/>
      <c r="IWR1" s="301"/>
      <c r="IWS1" s="301"/>
      <c r="IWT1" s="301"/>
      <c r="IWU1" s="301"/>
      <c r="IWV1" s="301"/>
      <c r="IWW1" s="301"/>
      <c r="IWX1" s="301"/>
      <c r="IWY1" s="301"/>
      <c r="IWZ1" s="301"/>
      <c r="IXA1" s="301"/>
      <c r="IXB1" s="301"/>
      <c r="IXC1" s="301"/>
      <c r="IXD1" s="301"/>
      <c r="IXE1" s="301"/>
      <c r="IXF1" s="301"/>
      <c r="IXG1" s="301"/>
      <c r="IXH1" s="301"/>
      <c r="IXI1" s="301"/>
      <c r="IXJ1" s="301"/>
      <c r="IXK1" s="301"/>
      <c r="IXL1" s="301"/>
      <c r="IXM1" s="301"/>
      <c r="IXN1" s="301"/>
      <c r="IXO1" s="301"/>
      <c r="IXP1" s="301"/>
      <c r="IXQ1" s="301"/>
      <c r="IXR1" s="301"/>
      <c r="IXS1" s="301"/>
      <c r="IXT1" s="301"/>
      <c r="IXU1" s="301"/>
      <c r="IXV1" s="301"/>
      <c r="IXW1" s="301"/>
      <c r="IXX1" s="301"/>
      <c r="IXY1" s="301"/>
      <c r="IXZ1" s="301"/>
      <c r="IYA1" s="301"/>
      <c r="IYB1" s="301"/>
      <c r="IYC1" s="301"/>
      <c r="IYD1" s="301"/>
      <c r="IYE1" s="301"/>
      <c r="IYF1" s="301"/>
      <c r="IYG1" s="301"/>
      <c r="IYH1" s="301"/>
      <c r="IYI1" s="301"/>
      <c r="IYJ1" s="301"/>
      <c r="IYK1" s="301"/>
      <c r="IYL1" s="301"/>
      <c r="IYM1" s="301"/>
      <c r="IYN1" s="301"/>
      <c r="IYO1" s="301"/>
      <c r="IYP1" s="301"/>
      <c r="IYQ1" s="301"/>
      <c r="IYR1" s="301"/>
      <c r="IYS1" s="301"/>
      <c r="IYT1" s="301"/>
      <c r="IYU1" s="301"/>
      <c r="IYV1" s="301"/>
      <c r="IYW1" s="301"/>
      <c r="IYX1" s="301"/>
      <c r="IYY1" s="301"/>
      <c r="IYZ1" s="301"/>
      <c r="IZA1" s="301"/>
      <c r="IZB1" s="301"/>
      <c r="IZC1" s="301"/>
      <c r="IZD1" s="301"/>
      <c r="IZE1" s="301"/>
      <c r="IZF1" s="301"/>
      <c r="IZG1" s="301"/>
      <c r="IZH1" s="301"/>
      <c r="IZI1" s="301"/>
      <c r="IZJ1" s="301"/>
      <c r="IZK1" s="301"/>
      <c r="IZL1" s="301"/>
      <c r="IZM1" s="301"/>
      <c r="IZN1" s="301"/>
      <c r="IZO1" s="301"/>
      <c r="IZP1" s="301"/>
      <c r="IZQ1" s="301"/>
      <c r="IZR1" s="301"/>
      <c r="IZS1" s="301"/>
      <c r="IZT1" s="301"/>
      <c r="IZU1" s="301"/>
      <c r="IZV1" s="301"/>
      <c r="IZW1" s="301"/>
      <c r="IZX1" s="301"/>
      <c r="IZY1" s="301"/>
      <c r="IZZ1" s="301"/>
      <c r="JAA1" s="301"/>
      <c r="JAB1" s="301"/>
      <c r="JAC1" s="301"/>
      <c r="JAD1" s="301"/>
      <c r="JAE1" s="301"/>
      <c r="JAF1" s="301"/>
      <c r="JAG1" s="301"/>
      <c r="JAH1" s="301"/>
      <c r="JAI1" s="301"/>
      <c r="JAJ1" s="301"/>
      <c r="JAK1" s="301"/>
      <c r="JAL1" s="301"/>
      <c r="JAM1" s="301"/>
      <c r="JAN1" s="301"/>
      <c r="JAO1" s="301"/>
      <c r="JAP1" s="301"/>
      <c r="JAQ1" s="301"/>
      <c r="JAR1" s="301"/>
      <c r="JAS1" s="301"/>
      <c r="JAT1" s="301"/>
      <c r="JAU1" s="301"/>
      <c r="JAV1" s="301"/>
      <c r="JAW1" s="301"/>
      <c r="JAX1" s="301"/>
      <c r="JAY1" s="301"/>
      <c r="JAZ1" s="301"/>
      <c r="JBA1" s="301"/>
      <c r="JBB1" s="301"/>
      <c r="JBC1" s="301"/>
      <c r="JBD1" s="301"/>
      <c r="JBE1" s="301"/>
      <c r="JBF1" s="301"/>
      <c r="JBG1" s="301"/>
      <c r="JBH1" s="301"/>
      <c r="JBI1" s="301"/>
      <c r="JBJ1" s="301"/>
      <c r="JBK1" s="301"/>
      <c r="JBL1" s="301"/>
      <c r="JBM1" s="301"/>
      <c r="JBN1" s="301"/>
      <c r="JBO1" s="301"/>
      <c r="JBP1" s="301"/>
      <c r="JBQ1" s="301"/>
      <c r="JBR1" s="301"/>
      <c r="JBS1" s="301"/>
      <c r="JBT1" s="301"/>
      <c r="JBU1" s="301"/>
      <c r="JBV1" s="301"/>
      <c r="JBW1" s="301"/>
      <c r="JBX1" s="301"/>
      <c r="JBY1" s="301"/>
      <c r="JBZ1" s="301"/>
      <c r="JCA1" s="301"/>
      <c r="JCB1" s="301"/>
      <c r="JCC1" s="301"/>
      <c r="JCD1" s="301"/>
      <c r="JCE1" s="301"/>
      <c r="JCF1" s="301"/>
      <c r="JCG1" s="301"/>
      <c r="JCH1" s="301"/>
      <c r="JCI1" s="301"/>
      <c r="JCJ1" s="301"/>
      <c r="JCK1" s="301"/>
      <c r="JCL1" s="301"/>
      <c r="JCM1" s="301"/>
      <c r="JCN1" s="301"/>
      <c r="JCO1" s="301"/>
      <c r="JCP1" s="301"/>
      <c r="JCQ1" s="301"/>
      <c r="JCR1" s="301"/>
      <c r="JCS1" s="301"/>
      <c r="JCT1" s="301"/>
      <c r="JCU1" s="301"/>
      <c r="JCV1" s="301"/>
      <c r="JCW1" s="301"/>
      <c r="JCX1" s="301"/>
      <c r="JCY1" s="301"/>
      <c r="JCZ1" s="301"/>
      <c r="JDA1" s="301"/>
      <c r="JDB1" s="301"/>
      <c r="JDC1" s="301"/>
      <c r="JDD1" s="301"/>
      <c r="JDE1" s="301"/>
      <c r="JDF1" s="301"/>
      <c r="JDG1" s="301"/>
      <c r="JDH1" s="301"/>
      <c r="JDI1" s="301"/>
      <c r="JDJ1" s="301"/>
      <c r="JDK1" s="301"/>
      <c r="JDL1" s="301"/>
      <c r="JDM1" s="301"/>
      <c r="JDN1" s="301"/>
      <c r="JDO1" s="301"/>
      <c r="JDP1" s="301"/>
      <c r="JDQ1" s="301"/>
      <c r="JDR1" s="301"/>
      <c r="JDS1" s="301"/>
      <c r="JDT1" s="301"/>
      <c r="JDU1" s="301"/>
      <c r="JDV1" s="301"/>
      <c r="JDW1" s="301"/>
      <c r="JDX1" s="301"/>
      <c r="JDY1" s="301"/>
      <c r="JDZ1" s="301"/>
      <c r="JEA1" s="301"/>
      <c r="JEB1" s="301"/>
      <c r="JEC1" s="301"/>
      <c r="JED1" s="301"/>
      <c r="JEE1" s="301"/>
      <c r="JEF1" s="301"/>
      <c r="JEG1" s="301"/>
      <c r="JEH1" s="301"/>
      <c r="JEI1" s="301"/>
      <c r="JEJ1" s="301"/>
      <c r="JEK1" s="301"/>
      <c r="JEL1" s="301"/>
      <c r="JEM1" s="301"/>
      <c r="JEN1" s="301"/>
      <c r="JEO1" s="301"/>
      <c r="JEP1" s="301"/>
      <c r="JEQ1" s="301"/>
      <c r="JER1" s="301"/>
      <c r="JES1" s="301"/>
      <c r="JET1" s="301"/>
      <c r="JEU1" s="301"/>
      <c r="JEV1" s="301"/>
      <c r="JEW1" s="301"/>
      <c r="JEX1" s="301"/>
      <c r="JEY1" s="301"/>
      <c r="JEZ1" s="301"/>
      <c r="JFA1" s="301"/>
      <c r="JFB1" s="301"/>
      <c r="JFC1" s="301"/>
      <c r="JFD1" s="301"/>
      <c r="JFE1" s="301"/>
      <c r="JFF1" s="301"/>
      <c r="JFG1" s="301"/>
      <c r="JFH1" s="301"/>
      <c r="JFI1" s="301"/>
      <c r="JFJ1" s="301"/>
      <c r="JFK1" s="301"/>
      <c r="JFL1" s="301"/>
      <c r="JFM1" s="301"/>
      <c r="JFN1" s="301"/>
      <c r="JFO1" s="301"/>
      <c r="JFP1" s="301"/>
      <c r="JFQ1" s="301"/>
      <c r="JFR1" s="301"/>
      <c r="JFS1" s="301"/>
      <c r="JFT1" s="301"/>
      <c r="JFU1" s="301"/>
      <c r="JFV1" s="301"/>
      <c r="JFW1" s="301"/>
      <c r="JFX1" s="301"/>
      <c r="JFY1" s="301"/>
      <c r="JFZ1" s="301"/>
      <c r="JGA1" s="301"/>
      <c r="JGB1" s="301"/>
      <c r="JGC1" s="301"/>
      <c r="JGD1" s="301"/>
      <c r="JGE1" s="301"/>
      <c r="JGF1" s="301"/>
      <c r="JGG1" s="301"/>
      <c r="JGH1" s="301"/>
      <c r="JGI1" s="301"/>
      <c r="JGJ1" s="301"/>
      <c r="JGK1" s="301"/>
      <c r="JGL1" s="301"/>
      <c r="JGM1" s="301"/>
      <c r="JGN1" s="301"/>
      <c r="JGO1" s="301"/>
      <c r="JGP1" s="301"/>
      <c r="JGQ1" s="301"/>
      <c r="JGR1" s="301"/>
      <c r="JGS1" s="301"/>
      <c r="JGT1" s="301"/>
      <c r="JGU1" s="301"/>
      <c r="JGV1" s="301"/>
      <c r="JGW1" s="301"/>
      <c r="JGX1" s="301"/>
      <c r="JGY1" s="301"/>
      <c r="JGZ1" s="301"/>
      <c r="JHA1" s="301"/>
      <c r="JHB1" s="301"/>
      <c r="JHC1" s="301"/>
      <c r="JHD1" s="301"/>
      <c r="JHE1" s="301"/>
      <c r="JHF1" s="301"/>
      <c r="JHG1" s="301"/>
      <c r="JHH1" s="301"/>
      <c r="JHI1" s="301"/>
      <c r="JHJ1" s="301"/>
      <c r="JHK1" s="301"/>
      <c r="JHL1" s="301"/>
      <c r="JHM1" s="301"/>
      <c r="JHN1" s="301"/>
      <c r="JHO1" s="301"/>
      <c r="JHP1" s="301"/>
      <c r="JHQ1" s="301"/>
      <c r="JHR1" s="301"/>
      <c r="JHS1" s="301"/>
      <c r="JHT1" s="301"/>
      <c r="JHU1" s="301"/>
      <c r="JHV1" s="301"/>
      <c r="JHW1" s="301"/>
      <c r="JHX1" s="301"/>
      <c r="JHY1" s="301"/>
      <c r="JHZ1" s="301"/>
      <c r="JIA1" s="301"/>
      <c r="JIB1" s="301"/>
      <c r="JIC1" s="301"/>
      <c r="JID1" s="301"/>
      <c r="JIE1" s="301"/>
      <c r="JIF1" s="301"/>
      <c r="JIG1" s="301"/>
      <c r="JIH1" s="301"/>
      <c r="JII1" s="301"/>
      <c r="JIJ1" s="301"/>
      <c r="JIK1" s="301"/>
      <c r="JIL1" s="301"/>
      <c r="JIM1" s="301"/>
      <c r="JIN1" s="301"/>
      <c r="JIO1" s="301"/>
      <c r="JIP1" s="301"/>
      <c r="JIQ1" s="301"/>
      <c r="JIR1" s="301"/>
      <c r="JIS1" s="301"/>
      <c r="JIT1" s="301"/>
      <c r="JIU1" s="301"/>
      <c r="JIV1" s="301"/>
      <c r="JIW1" s="301"/>
      <c r="JIX1" s="301"/>
      <c r="JIY1" s="301"/>
      <c r="JIZ1" s="301"/>
      <c r="JJA1" s="301"/>
      <c r="JJB1" s="301"/>
      <c r="JJC1" s="301"/>
      <c r="JJD1" s="301"/>
      <c r="JJE1" s="301"/>
      <c r="JJF1" s="301"/>
      <c r="JJG1" s="301"/>
      <c r="JJH1" s="301"/>
      <c r="JJI1" s="301"/>
      <c r="JJJ1" s="301"/>
      <c r="JJK1" s="301"/>
      <c r="JJL1" s="301"/>
      <c r="JJM1" s="301"/>
      <c r="JJN1" s="301"/>
      <c r="JJO1" s="301"/>
      <c r="JJP1" s="301"/>
      <c r="JJQ1" s="301"/>
      <c r="JJR1" s="301"/>
      <c r="JJS1" s="301"/>
      <c r="JJT1" s="301"/>
      <c r="JJU1" s="301"/>
      <c r="JJV1" s="301"/>
      <c r="JJW1" s="301"/>
      <c r="JJX1" s="301"/>
      <c r="JJY1" s="301"/>
      <c r="JJZ1" s="301"/>
      <c r="JKA1" s="301"/>
      <c r="JKB1" s="301"/>
      <c r="JKC1" s="301"/>
      <c r="JKD1" s="301"/>
      <c r="JKE1" s="301"/>
      <c r="JKF1" s="301"/>
      <c r="JKG1" s="301"/>
      <c r="JKH1" s="301"/>
      <c r="JKI1" s="301"/>
      <c r="JKJ1" s="301"/>
      <c r="JKK1" s="301"/>
      <c r="JKL1" s="301"/>
      <c r="JKM1" s="301"/>
      <c r="JKN1" s="301"/>
      <c r="JKO1" s="301"/>
      <c r="JKP1" s="301"/>
      <c r="JKQ1" s="301"/>
      <c r="JKR1" s="301"/>
      <c r="JKS1" s="301"/>
      <c r="JKT1" s="301"/>
      <c r="JKU1" s="301"/>
      <c r="JKV1" s="301"/>
      <c r="JKW1" s="301"/>
      <c r="JKX1" s="301"/>
      <c r="JKY1" s="301"/>
      <c r="JKZ1" s="301"/>
      <c r="JLA1" s="301"/>
      <c r="JLB1" s="301"/>
      <c r="JLC1" s="301"/>
      <c r="JLD1" s="301"/>
      <c r="JLE1" s="301"/>
      <c r="JLF1" s="301"/>
      <c r="JLG1" s="301"/>
      <c r="JLH1" s="301"/>
      <c r="JLI1" s="301"/>
      <c r="JLJ1" s="301"/>
      <c r="JLK1" s="301"/>
      <c r="JLL1" s="301"/>
      <c r="JLM1" s="301"/>
      <c r="JLN1" s="301"/>
      <c r="JLO1" s="301"/>
      <c r="JLP1" s="301"/>
      <c r="JLQ1" s="301"/>
      <c r="JLR1" s="301"/>
      <c r="JLS1" s="301"/>
      <c r="JLT1" s="301"/>
      <c r="JLU1" s="301"/>
      <c r="JLV1" s="301"/>
      <c r="JLW1" s="301"/>
      <c r="JLX1" s="301"/>
      <c r="JLY1" s="301"/>
      <c r="JLZ1" s="301"/>
      <c r="JMA1" s="301"/>
      <c r="JMB1" s="301"/>
      <c r="JMC1" s="301"/>
      <c r="JMD1" s="301"/>
      <c r="JME1" s="301"/>
      <c r="JMF1" s="301"/>
      <c r="JMG1" s="301"/>
      <c r="JMH1" s="301"/>
      <c r="JMI1" s="301"/>
      <c r="JMJ1" s="301"/>
      <c r="JMK1" s="301"/>
      <c r="JML1" s="301"/>
      <c r="JMM1" s="301"/>
      <c r="JMN1" s="301"/>
      <c r="JMO1" s="301"/>
      <c r="JMP1" s="301"/>
      <c r="JMQ1" s="301"/>
      <c r="JMR1" s="301"/>
      <c r="JMS1" s="301"/>
      <c r="JMT1" s="301"/>
      <c r="JMU1" s="301"/>
      <c r="JMV1" s="301"/>
      <c r="JMW1" s="301"/>
      <c r="JMX1" s="301"/>
      <c r="JMY1" s="301"/>
      <c r="JMZ1" s="301"/>
      <c r="JNA1" s="301"/>
      <c r="JNB1" s="301"/>
      <c r="JNC1" s="301"/>
      <c r="JND1" s="301"/>
      <c r="JNE1" s="301"/>
      <c r="JNF1" s="301"/>
      <c r="JNG1" s="301"/>
      <c r="JNH1" s="301"/>
      <c r="JNI1" s="301"/>
      <c r="JNJ1" s="301"/>
      <c r="JNK1" s="301"/>
      <c r="JNL1" s="301"/>
      <c r="JNM1" s="301"/>
      <c r="JNN1" s="301"/>
      <c r="JNO1" s="301"/>
      <c r="JNP1" s="301"/>
      <c r="JNQ1" s="301"/>
      <c r="JNR1" s="301"/>
      <c r="JNS1" s="301"/>
      <c r="JNT1" s="301"/>
      <c r="JNU1" s="301"/>
      <c r="JNV1" s="301"/>
      <c r="JNW1" s="301"/>
      <c r="JNX1" s="301"/>
      <c r="JNY1" s="301"/>
      <c r="JNZ1" s="301"/>
      <c r="JOA1" s="301"/>
      <c r="JOB1" s="301"/>
      <c r="JOC1" s="301"/>
      <c r="JOD1" s="301"/>
      <c r="JOE1" s="301"/>
      <c r="JOF1" s="301"/>
      <c r="JOG1" s="301"/>
      <c r="JOH1" s="301"/>
      <c r="JOI1" s="301"/>
      <c r="JOJ1" s="301"/>
      <c r="JOK1" s="301"/>
      <c r="JOL1" s="301"/>
      <c r="JOM1" s="301"/>
      <c r="JON1" s="301"/>
      <c r="JOO1" s="301"/>
      <c r="JOP1" s="301"/>
      <c r="JOQ1" s="301"/>
      <c r="JOR1" s="301"/>
      <c r="JOS1" s="301"/>
      <c r="JOT1" s="301"/>
      <c r="JOU1" s="301"/>
      <c r="JOV1" s="301"/>
      <c r="JOW1" s="301"/>
      <c r="JOX1" s="301"/>
      <c r="JOY1" s="301"/>
      <c r="JOZ1" s="301"/>
      <c r="JPA1" s="301"/>
      <c r="JPB1" s="301"/>
      <c r="JPC1" s="301"/>
      <c r="JPD1" s="301"/>
      <c r="JPE1" s="301"/>
      <c r="JPF1" s="301"/>
      <c r="JPG1" s="301"/>
      <c r="JPH1" s="301"/>
      <c r="JPI1" s="301"/>
      <c r="JPJ1" s="301"/>
      <c r="JPK1" s="301"/>
      <c r="JPL1" s="301"/>
      <c r="JPM1" s="301"/>
      <c r="JPN1" s="301"/>
      <c r="JPO1" s="301"/>
      <c r="JPP1" s="301"/>
      <c r="JPQ1" s="301"/>
      <c r="JPR1" s="301"/>
      <c r="JPS1" s="301"/>
      <c r="JPT1" s="301"/>
      <c r="JPU1" s="301"/>
      <c r="JPV1" s="301"/>
      <c r="JPW1" s="301"/>
      <c r="JPX1" s="301"/>
      <c r="JPY1" s="301"/>
      <c r="JPZ1" s="301"/>
      <c r="JQA1" s="301"/>
      <c r="JQB1" s="301"/>
      <c r="JQC1" s="301"/>
      <c r="JQD1" s="301"/>
      <c r="JQE1" s="301"/>
      <c r="JQF1" s="301"/>
      <c r="JQG1" s="301"/>
      <c r="JQH1" s="301"/>
      <c r="JQI1" s="301"/>
      <c r="JQJ1" s="301"/>
      <c r="JQK1" s="301"/>
      <c r="JQL1" s="301"/>
      <c r="JQM1" s="301"/>
      <c r="JQN1" s="301"/>
      <c r="JQO1" s="301"/>
      <c r="JQP1" s="301"/>
      <c r="JQQ1" s="301"/>
      <c r="JQR1" s="301"/>
      <c r="JQS1" s="301"/>
      <c r="JQT1" s="301"/>
      <c r="JQU1" s="301"/>
      <c r="JQV1" s="301"/>
      <c r="JQW1" s="301"/>
      <c r="JQX1" s="301"/>
      <c r="JQY1" s="301"/>
      <c r="JQZ1" s="301"/>
      <c r="JRA1" s="301"/>
      <c r="JRB1" s="301"/>
      <c r="JRC1" s="301"/>
      <c r="JRD1" s="301"/>
      <c r="JRE1" s="301"/>
      <c r="JRF1" s="301"/>
      <c r="JRG1" s="301"/>
      <c r="JRH1" s="301"/>
      <c r="JRI1" s="301"/>
      <c r="JRJ1" s="301"/>
      <c r="JRK1" s="301"/>
      <c r="JRL1" s="301"/>
      <c r="JRM1" s="301"/>
      <c r="JRN1" s="301"/>
      <c r="JRO1" s="301"/>
      <c r="JRP1" s="301"/>
      <c r="JRQ1" s="301"/>
      <c r="JRR1" s="301"/>
      <c r="JRS1" s="301"/>
      <c r="JRT1" s="301"/>
      <c r="JRU1" s="301"/>
      <c r="JRV1" s="301"/>
      <c r="JRW1" s="301"/>
      <c r="JRX1" s="301"/>
      <c r="JRY1" s="301"/>
      <c r="JRZ1" s="301"/>
      <c r="JSA1" s="301"/>
      <c r="JSB1" s="301"/>
      <c r="JSC1" s="301"/>
      <c r="JSD1" s="301"/>
      <c r="JSE1" s="301"/>
      <c r="JSF1" s="301"/>
      <c r="JSG1" s="301"/>
      <c r="JSH1" s="301"/>
      <c r="JSI1" s="301"/>
      <c r="JSJ1" s="301"/>
      <c r="JSK1" s="301"/>
      <c r="JSL1" s="301"/>
      <c r="JSM1" s="301"/>
      <c r="JSN1" s="301"/>
      <c r="JSO1" s="301"/>
      <c r="JSP1" s="301"/>
      <c r="JSQ1" s="301"/>
      <c r="JSR1" s="301"/>
      <c r="JSS1" s="301"/>
      <c r="JST1" s="301"/>
      <c r="JSU1" s="301"/>
      <c r="JSV1" s="301"/>
      <c r="JSW1" s="301"/>
      <c r="JSX1" s="301"/>
      <c r="JSY1" s="301"/>
      <c r="JSZ1" s="301"/>
      <c r="JTA1" s="301"/>
      <c r="JTB1" s="301"/>
      <c r="JTC1" s="301"/>
      <c r="JTD1" s="301"/>
      <c r="JTE1" s="301"/>
      <c r="JTF1" s="301"/>
      <c r="JTG1" s="301"/>
      <c r="JTH1" s="301"/>
      <c r="JTI1" s="301"/>
      <c r="JTJ1" s="301"/>
      <c r="JTK1" s="301"/>
      <c r="JTL1" s="301"/>
      <c r="JTM1" s="301"/>
      <c r="JTN1" s="301"/>
      <c r="JTO1" s="301"/>
      <c r="JTP1" s="301"/>
      <c r="JTQ1" s="301"/>
      <c r="JTR1" s="301"/>
      <c r="JTS1" s="301"/>
      <c r="JTT1" s="301"/>
      <c r="JTU1" s="301"/>
      <c r="JTV1" s="301"/>
      <c r="JTW1" s="301"/>
      <c r="JTX1" s="301"/>
      <c r="JTY1" s="301"/>
      <c r="JTZ1" s="301"/>
      <c r="JUA1" s="301"/>
      <c r="JUB1" s="301"/>
      <c r="JUC1" s="301"/>
      <c r="JUD1" s="301"/>
      <c r="JUE1" s="301"/>
      <c r="JUF1" s="301"/>
      <c r="JUG1" s="301"/>
      <c r="JUH1" s="301"/>
      <c r="JUI1" s="301"/>
      <c r="JUJ1" s="301"/>
      <c r="JUK1" s="301"/>
      <c r="JUL1" s="301"/>
      <c r="JUM1" s="301"/>
      <c r="JUN1" s="301"/>
      <c r="JUO1" s="301"/>
      <c r="JUP1" s="301"/>
      <c r="JUQ1" s="301"/>
      <c r="JUR1" s="301"/>
      <c r="JUS1" s="301"/>
      <c r="JUT1" s="301"/>
      <c r="JUU1" s="301"/>
      <c r="JUV1" s="301"/>
      <c r="JUW1" s="301"/>
      <c r="JUX1" s="301"/>
      <c r="JUY1" s="301"/>
      <c r="JUZ1" s="301"/>
      <c r="JVA1" s="301"/>
      <c r="JVB1" s="301"/>
      <c r="JVC1" s="301"/>
      <c r="JVD1" s="301"/>
      <c r="JVE1" s="301"/>
      <c r="JVF1" s="301"/>
      <c r="JVG1" s="301"/>
      <c r="JVH1" s="301"/>
      <c r="JVI1" s="301"/>
      <c r="JVJ1" s="301"/>
      <c r="JVK1" s="301"/>
      <c r="JVL1" s="301"/>
      <c r="JVM1" s="301"/>
      <c r="JVN1" s="301"/>
      <c r="JVO1" s="301"/>
      <c r="JVP1" s="301"/>
      <c r="JVQ1" s="301"/>
      <c r="JVR1" s="301"/>
      <c r="JVS1" s="301"/>
      <c r="JVT1" s="301"/>
      <c r="JVU1" s="301"/>
      <c r="JVV1" s="301"/>
      <c r="JVW1" s="301"/>
      <c r="JVX1" s="301"/>
      <c r="JVY1" s="301"/>
      <c r="JVZ1" s="301"/>
      <c r="JWA1" s="301"/>
      <c r="JWB1" s="301"/>
      <c r="JWC1" s="301"/>
      <c r="JWD1" s="301"/>
      <c r="JWE1" s="301"/>
      <c r="JWF1" s="301"/>
      <c r="JWG1" s="301"/>
      <c r="JWH1" s="301"/>
      <c r="JWI1" s="301"/>
      <c r="JWJ1" s="301"/>
      <c r="JWK1" s="301"/>
      <c r="JWL1" s="301"/>
      <c r="JWM1" s="301"/>
      <c r="JWN1" s="301"/>
      <c r="JWO1" s="301"/>
      <c r="JWP1" s="301"/>
      <c r="JWQ1" s="301"/>
      <c r="JWR1" s="301"/>
      <c r="JWS1" s="301"/>
      <c r="JWT1" s="301"/>
      <c r="JWU1" s="301"/>
      <c r="JWV1" s="301"/>
      <c r="JWW1" s="301"/>
      <c r="JWX1" s="301"/>
      <c r="JWY1" s="301"/>
      <c r="JWZ1" s="301"/>
      <c r="JXA1" s="301"/>
      <c r="JXB1" s="301"/>
      <c r="JXC1" s="301"/>
      <c r="JXD1" s="301"/>
      <c r="JXE1" s="301"/>
      <c r="JXF1" s="301"/>
      <c r="JXG1" s="301"/>
      <c r="JXH1" s="301"/>
      <c r="JXI1" s="301"/>
      <c r="JXJ1" s="301"/>
      <c r="JXK1" s="301"/>
      <c r="JXL1" s="301"/>
      <c r="JXM1" s="301"/>
      <c r="JXN1" s="301"/>
      <c r="JXO1" s="301"/>
      <c r="JXP1" s="301"/>
      <c r="JXQ1" s="301"/>
      <c r="JXR1" s="301"/>
      <c r="JXS1" s="301"/>
      <c r="JXT1" s="301"/>
      <c r="JXU1" s="301"/>
      <c r="JXV1" s="301"/>
      <c r="JXW1" s="301"/>
      <c r="JXX1" s="301"/>
      <c r="JXY1" s="301"/>
      <c r="JXZ1" s="301"/>
      <c r="JYA1" s="301"/>
      <c r="JYB1" s="301"/>
      <c r="JYC1" s="301"/>
      <c r="JYD1" s="301"/>
      <c r="JYE1" s="301"/>
      <c r="JYF1" s="301"/>
      <c r="JYG1" s="301"/>
      <c r="JYH1" s="301"/>
      <c r="JYI1" s="301"/>
      <c r="JYJ1" s="301"/>
      <c r="JYK1" s="301"/>
      <c r="JYL1" s="301"/>
      <c r="JYM1" s="301"/>
      <c r="JYN1" s="301"/>
      <c r="JYO1" s="301"/>
      <c r="JYP1" s="301"/>
      <c r="JYQ1" s="301"/>
      <c r="JYR1" s="301"/>
      <c r="JYS1" s="301"/>
      <c r="JYT1" s="301"/>
      <c r="JYU1" s="301"/>
      <c r="JYV1" s="301"/>
      <c r="JYW1" s="301"/>
      <c r="JYX1" s="301"/>
      <c r="JYY1" s="301"/>
      <c r="JYZ1" s="301"/>
      <c r="JZA1" s="301"/>
      <c r="JZB1" s="301"/>
      <c r="JZC1" s="301"/>
      <c r="JZD1" s="301"/>
      <c r="JZE1" s="301"/>
      <c r="JZF1" s="301"/>
      <c r="JZG1" s="301"/>
      <c r="JZH1" s="301"/>
      <c r="JZI1" s="301"/>
      <c r="JZJ1" s="301"/>
      <c r="JZK1" s="301"/>
      <c r="JZL1" s="301"/>
      <c r="JZM1" s="301"/>
      <c r="JZN1" s="301"/>
      <c r="JZO1" s="301"/>
      <c r="JZP1" s="301"/>
      <c r="JZQ1" s="301"/>
      <c r="JZR1" s="301"/>
      <c r="JZS1" s="301"/>
      <c r="JZT1" s="301"/>
      <c r="JZU1" s="301"/>
      <c r="JZV1" s="301"/>
      <c r="JZW1" s="301"/>
      <c r="JZX1" s="301"/>
      <c r="JZY1" s="301"/>
      <c r="JZZ1" s="301"/>
      <c r="KAA1" s="301"/>
      <c r="KAB1" s="301"/>
      <c r="KAC1" s="301"/>
      <c r="KAD1" s="301"/>
      <c r="KAE1" s="301"/>
      <c r="KAF1" s="301"/>
      <c r="KAG1" s="301"/>
      <c r="KAH1" s="301"/>
      <c r="KAI1" s="301"/>
      <c r="KAJ1" s="301"/>
      <c r="KAK1" s="301"/>
      <c r="KAL1" s="301"/>
      <c r="KAM1" s="301"/>
      <c r="KAN1" s="301"/>
      <c r="KAO1" s="301"/>
      <c r="KAP1" s="301"/>
      <c r="KAQ1" s="301"/>
      <c r="KAR1" s="301"/>
      <c r="KAS1" s="301"/>
      <c r="KAT1" s="301"/>
      <c r="KAU1" s="301"/>
      <c r="KAV1" s="301"/>
      <c r="KAW1" s="301"/>
      <c r="KAX1" s="301"/>
      <c r="KAY1" s="301"/>
      <c r="KAZ1" s="301"/>
      <c r="KBA1" s="301"/>
      <c r="KBB1" s="301"/>
      <c r="KBC1" s="301"/>
      <c r="KBD1" s="301"/>
      <c r="KBE1" s="301"/>
      <c r="KBF1" s="301"/>
      <c r="KBG1" s="301"/>
      <c r="KBH1" s="301"/>
      <c r="KBI1" s="301"/>
      <c r="KBJ1" s="301"/>
      <c r="KBK1" s="301"/>
      <c r="KBL1" s="301"/>
      <c r="KBM1" s="301"/>
      <c r="KBN1" s="301"/>
      <c r="KBO1" s="301"/>
      <c r="KBP1" s="301"/>
      <c r="KBQ1" s="301"/>
      <c r="KBR1" s="301"/>
      <c r="KBS1" s="301"/>
      <c r="KBT1" s="301"/>
      <c r="KBU1" s="301"/>
      <c r="KBV1" s="301"/>
      <c r="KBW1" s="301"/>
      <c r="KBX1" s="301"/>
      <c r="KBY1" s="301"/>
      <c r="KBZ1" s="301"/>
      <c r="KCA1" s="301"/>
      <c r="KCB1" s="301"/>
      <c r="KCC1" s="301"/>
      <c r="KCD1" s="301"/>
      <c r="KCE1" s="301"/>
      <c r="KCF1" s="301"/>
      <c r="KCG1" s="301"/>
      <c r="KCH1" s="301"/>
      <c r="KCI1" s="301"/>
      <c r="KCJ1" s="301"/>
      <c r="KCK1" s="301"/>
      <c r="KCL1" s="301"/>
      <c r="KCM1" s="301"/>
      <c r="KCN1" s="301"/>
      <c r="KCO1" s="301"/>
      <c r="KCP1" s="301"/>
      <c r="KCQ1" s="301"/>
      <c r="KCR1" s="301"/>
      <c r="KCS1" s="301"/>
      <c r="KCT1" s="301"/>
      <c r="KCU1" s="301"/>
      <c r="KCV1" s="301"/>
      <c r="KCW1" s="301"/>
      <c r="KCX1" s="301"/>
      <c r="KCY1" s="301"/>
      <c r="KCZ1" s="301"/>
      <c r="KDA1" s="301"/>
      <c r="KDB1" s="301"/>
      <c r="KDC1" s="301"/>
      <c r="KDD1" s="301"/>
      <c r="KDE1" s="301"/>
      <c r="KDF1" s="301"/>
      <c r="KDG1" s="301"/>
      <c r="KDH1" s="301"/>
      <c r="KDI1" s="301"/>
      <c r="KDJ1" s="301"/>
      <c r="KDK1" s="301"/>
      <c r="KDL1" s="301"/>
      <c r="KDM1" s="301"/>
      <c r="KDN1" s="301"/>
      <c r="KDO1" s="301"/>
      <c r="KDP1" s="301"/>
      <c r="KDQ1" s="301"/>
      <c r="KDR1" s="301"/>
      <c r="KDS1" s="301"/>
      <c r="KDT1" s="301"/>
      <c r="KDU1" s="301"/>
      <c r="KDV1" s="301"/>
      <c r="KDW1" s="301"/>
      <c r="KDX1" s="301"/>
      <c r="KDY1" s="301"/>
      <c r="KDZ1" s="301"/>
      <c r="KEA1" s="301"/>
      <c r="KEB1" s="301"/>
      <c r="KEC1" s="301"/>
      <c r="KED1" s="301"/>
      <c r="KEE1" s="301"/>
      <c r="KEF1" s="301"/>
      <c r="KEG1" s="301"/>
      <c r="KEH1" s="301"/>
      <c r="KEI1" s="301"/>
      <c r="KEJ1" s="301"/>
      <c r="KEK1" s="301"/>
      <c r="KEL1" s="301"/>
      <c r="KEM1" s="301"/>
      <c r="KEN1" s="301"/>
      <c r="KEO1" s="301"/>
      <c r="KEP1" s="301"/>
      <c r="KEQ1" s="301"/>
      <c r="KER1" s="301"/>
      <c r="KES1" s="301"/>
      <c r="KET1" s="301"/>
      <c r="KEU1" s="301"/>
      <c r="KEV1" s="301"/>
      <c r="KEW1" s="301"/>
      <c r="KEX1" s="301"/>
      <c r="KEY1" s="301"/>
      <c r="KEZ1" s="301"/>
      <c r="KFA1" s="301"/>
      <c r="KFB1" s="301"/>
      <c r="KFC1" s="301"/>
      <c r="KFD1" s="301"/>
      <c r="KFE1" s="301"/>
      <c r="KFF1" s="301"/>
      <c r="KFG1" s="301"/>
      <c r="KFH1" s="301"/>
      <c r="KFI1" s="301"/>
      <c r="KFJ1" s="301"/>
      <c r="KFK1" s="301"/>
      <c r="KFL1" s="301"/>
      <c r="KFM1" s="301"/>
      <c r="KFN1" s="301"/>
      <c r="KFO1" s="301"/>
      <c r="KFP1" s="301"/>
      <c r="KFQ1" s="301"/>
      <c r="KFR1" s="301"/>
      <c r="KFS1" s="301"/>
      <c r="KFT1" s="301"/>
      <c r="KFU1" s="301"/>
      <c r="KFV1" s="301"/>
      <c r="KFW1" s="301"/>
      <c r="KFX1" s="301"/>
      <c r="KFY1" s="301"/>
      <c r="KFZ1" s="301"/>
      <c r="KGA1" s="301"/>
      <c r="KGB1" s="301"/>
      <c r="KGC1" s="301"/>
      <c r="KGD1" s="301"/>
      <c r="KGE1" s="301"/>
      <c r="KGF1" s="301"/>
      <c r="KGG1" s="301"/>
      <c r="KGH1" s="301"/>
      <c r="KGI1" s="301"/>
      <c r="KGJ1" s="301"/>
      <c r="KGK1" s="301"/>
      <c r="KGL1" s="301"/>
      <c r="KGM1" s="301"/>
      <c r="KGN1" s="301"/>
      <c r="KGO1" s="301"/>
      <c r="KGP1" s="301"/>
      <c r="KGQ1" s="301"/>
      <c r="KGR1" s="301"/>
      <c r="KGS1" s="301"/>
      <c r="KGT1" s="301"/>
      <c r="KGU1" s="301"/>
      <c r="KGV1" s="301"/>
      <c r="KGW1" s="301"/>
      <c r="KGX1" s="301"/>
      <c r="KGY1" s="301"/>
      <c r="KGZ1" s="301"/>
      <c r="KHA1" s="301"/>
      <c r="KHB1" s="301"/>
      <c r="KHC1" s="301"/>
      <c r="KHD1" s="301"/>
      <c r="KHE1" s="301"/>
      <c r="KHF1" s="301"/>
      <c r="KHG1" s="301"/>
      <c r="KHH1" s="301"/>
      <c r="KHI1" s="301"/>
      <c r="KHJ1" s="301"/>
      <c r="KHK1" s="301"/>
      <c r="KHL1" s="301"/>
      <c r="KHM1" s="301"/>
      <c r="KHN1" s="301"/>
      <c r="KHO1" s="301"/>
      <c r="KHP1" s="301"/>
      <c r="KHQ1" s="301"/>
      <c r="KHR1" s="301"/>
      <c r="KHS1" s="301"/>
      <c r="KHT1" s="301"/>
      <c r="KHU1" s="301"/>
      <c r="KHV1" s="301"/>
      <c r="KHW1" s="301"/>
      <c r="KHX1" s="301"/>
      <c r="KHY1" s="301"/>
      <c r="KHZ1" s="301"/>
      <c r="KIA1" s="301"/>
      <c r="KIB1" s="301"/>
      <c r="KIC1" s="301"/>
      <c r="KID1" s="301"/>
      <c r="KIE1" s="301"/>
      <c r="KIF1" s="301"/>
      <c r="KIG1" s="301"/>
      <c r="KIH1" s="301"/>
      <c r="KII1" s="301"/>
      <c r="KIJ1" s="301"/>
      <c r="KIK1" s="301"/>
      <c r="KIL1" s="301"/>
      <c r="KIM1" s="301"/>
      <c r="KIN1" s="301"/>
      <c r="KIO1" s="301"/>
      <c r="KIP1" s="301"/>
      <c r="KIQ1" s="301"/>
      <c r="KIR1" s="301"/>
      <c r="KIS1" s="301"/>
      <c r="KIT1" s="301"/>
      <c r="KIU1" s="301"/>
      <c r="KIV1" s="301"/>
      <c r="KIW1" s="301"/>
      <c r="KIX1" s="301"/>
      <c r="KIY1" s="301"/>
      <c r="KIZ1" s="301"/>
      <c r="KJA1" s="301"/>
      <c r="KJB1" s="301"/>
      <c r="KJC1" s="301"/>
      <c r="KJD1" s="301"/>
      <c r="KJE1" s="301"/>
      <c r="KJF1" s="301"/>
      <c r="KJG1" s="301"/>
      <c r="KJH1" s="301"/>
      <c r="KJI1" s="301"/>
      <c r="KJJ1" s="301"/>
      <c r="KJK1" s="301"/>
      <c r="KJL1" s="301"/>
      <c r="KJM1" s="301"/>
      <c r="KJN1" s="301"/>
      <c r="KJO1" s="301"/>
      <c r="KJP1" s="301"/>
      <c r="KJQ1" s="301"/>
      <c r="KJR1" s="301"/>
      <c r="KJS1" s="301"/>
      <c r="KJT1" s="301"/>
      <c r="KJU1" s="301"/>
      <c r="KJV1" s="301"/>
      <c r="KJW1" s="301"/>
      <c r="KJX1" s="301"/>
      <c r="KJY1" s="301"/>
      <c r="KJZ1" s="301"/>
      <c r="KKA1" s="301"/>
      <c r="KKB1" s="301"/>
      <c r="KKC1" s="301"/>
      <c r="KKD1" s="301"/>
      <c r="KKE1" s="301"/>
      <c r="KKF1" s="301"/>
      <c r="KKG1" s="301"/>
      <c r="KKH1" s="301"/>
      <c r="KKI1" s="301"/>
      <c r="KKJ1" s="301"/>
      <c r="KKK1" s="301"/>
      <c r="KKL1" s="301"/>
      <c r="KKM1" s="301"/>
      <c r="KKN1" s="301"/>
      <c r="KKO1" s="301"/>
      <c r="KKP1" s="301"/>
      <c r="KKQ1" s="301"/>
      <c r="KKR1" s="301"/>
      <c r="KKS1" s="301"/>
      <c r="KKT1" s="301"/>
      <c r="KKU1" s="301"/>
      <c r="KKV1" s="301"/>
      <c r="KKW1" s="301"/>
      <c r="KKX1" s="301"/>
      <c r="KKY1" s="301"/>
      <c r="KKZ1" s="301"/>
      <c r="KLA1" s="301"/>
      <c r="KLB1" s="301"/>
      <c r="KLC1" s="301"/>
      <c r="KLD1" s="301"/>
      <c r="KLE1" s="301"/>
      <c r="KLF1" s="301"/>
      <c r="KLG1" s="301"/>
      <c r="KLH1" s="301"/>
      <c r="KLI1" s="301"/>
      <c r="KLJ1" s="301"/>
      <c r="KLK1" s="301"/>
      <c r="KLL1" s="301"/>
      <c r="KLM1" s="301"/>
      <c r="KLN1" s="301"/>
      <c r="KLO1" s="301"/>
      <c r="KLP1" s="301"/>
      <c r="KLQ1" s="301"/>
      <c r="KLR1" s="301"/>
      <c r="KLS1" s="301"/>
      <c r="KLT1" s="301"/>
      <c r="KLU1" s="301"/>
      <c r="KLV1" s="301"/>
      <c r="KLW1" s="301"/>
      <c r="KLX1" s="301"/>
      <c r="KLY1" s="301"/>
      <c r="KLZ1" s="301"/>
      <c r="KMA1" s="301"/>
      <c r="KMB1" s="301"/>
      <c r="KMC1" s="301"/>
      <c r="KMD1" s="301"/>
      <c r="KME1" s="301"/>
      <c r="KMF1" s="301"/>
      <c r="KMG1" s="301"/>
      <c r="KMH1" s="301"/>
      <c r="KMI1" s="301"/>
      <c r="KMJ1" s="301"/>
      <c r="KMK1" s="301"/>
      <c r="KML1" s="301"/>
      <c r="KMM1" s="301"/>
      <c r="KMN1" s="301"/>
      <c r="KMO1" s="301"/>
      <c r="KMP1" s="301"/>
      <c r="KMQ1" s="301"/>
      <c r="KMR1" s="301"/>
      <c r="KMS1" s="301"/>
      <c r="KMT1" s="301"/>
      <c r="KMU1" s="301"/>
      <c r="KMV1" s="301"/>
      <c r="KMW1" s="301"/>
      <c r="KMX1" s="301"/>
      <c r="KMY1" s="301"/>
      <c r="KMZ1" s="301"/>
      <c r="KNA1" s="301"/>
      <c r="KNB1" s="301"/>
      <c r="KNC1" s="301"/>
      <c r="KND1" s="301"/>
      <c r="KNE1" s="301"/>
      <c r="KNF1" s="301"/>
      <c r="KNG1" s="301"/>
      <c r="KNH1" s="301"/>
      <c r="KNI1" s="301"/>
      <c r="KNJ1" s="301"/>
      <c r="KNK1" s="301"/>
      <c r="KNL1" s="301"/>
      <c r="KNM1" s="301"/>
      <c r="KNN1" s="301"/>
      <c r="KNO1" s="301"/>
      <c r="KNP1" s="301"/>
      <c r="KNQ1" s="301"/>
      <c r="KNR1" s="301"/>
      <c r="KNS1" s="301"/>
      <c r="KNT1" s="301"/>
      <c r="KNU1" s="301"/>
      <c r="KNV1" s="301"/>
      <c r="KNW1" s="301"/>
      <c r="KNX1" s="301"/>
      <c r="KNY1" s="301"/>
      <c r="KNZ1" s="301"/>
      <c r="KOA1" s="301"/>
      <c r="KOB1" s="301"/>
      <c r="KOC1" s="301"/>
      <c r="KOD1" s="301"/>
      <c r="KOE1" s="301"/>
      <c r="KOF1" s="301"/>
      <c r="KOG1" s="301"/>
      <c r="KOH1" s="301"/>
      <c r="KOI1" s="301"/>
      <c r="KOJ1" s="301"/>
      <c r="KOK1" s="301"/>
      <c r="KOL1" s="301"/>
      <c r="KOM1" s="301"/>
      <c r="KON1" s="301"/>
      <c r="KOO1" s="301"/>
      <c r="KOP1" s="301"/>
      <c r="KOQ1" s="301"/>
      <c r="KOR1" s="301"/>
      <c r="KOS1" s="301"/>
      <c r="KOT1" s="301"/>
      <c r="KOU1" s="301"/>
      <c r="KOV1" s="301"/>
      <c r="KOW1" s="301"/>
      <c r="KOX1" s="301"/>
      <c r="KOY1" s="301"/>
      <c r="KOZ1" s="301"/>
      <c r="KPA1" s="301"/>
      <c r="KPB1" s="301"/>
      <c r="KPC1" s="301"/>
      <c r="KPD1" s="301"/>
      <c r="KPE1" s="301"/>
      <c r="KPF1" s="301"/>
      <c r="KPG1" s="301"/>
      <c r="KPH1" s="301"/>
      <c r="KPI1" s="301"/>
      <c r="KPJ1" s="301"/>
      <c r="KPK1" s="301"/>
      <c r="KPL1" s="301"/>
      <c r="KPM1" s="301"/>
      <c r="KPN1" s="301"/>
      <c r="KPO1" s="301"/>
      <c r="KPP1" s="301"/>
      <c r="KPQ1" s="301"/>
      <c r="KPR1" s="301"/>
      <c r="KPS1" s="301"/>
      <c r="KPT1" s="301"/>
      <c r="KPU1" s="301"/>
      <c r="KPV1" s="301"/>
      <c r="KPW1" s="301"/>
      <c r="KPX1" s="301"/>
      <c r="KPY1" s="301"/>
      <c r="KPZ1" s="301"/>
      <c r="KQA1" s="301"/>
      <c r="KQB1" s="301"/>
      <c r="KQC1" s="301"/>
      <c r="KQD1" s="301"/>
      <c r="KQE1" s="301"/>
      <c r="KQF1" s="301"/>
      <c r="KQG1" s="301"/>
      <c r="KQH1" s="301"/>
      <c r="KQI1" s="301"/>
      <c r="KQJ1" s="301"/>
      <c r="KQK1" s="301"/>
      <c r="KQL1" s="301"/>
      <c r="KQM1" s="301"/>
      <c r="KQN1" s="301"/>
      <c r="KQO1" s="301"/>
      <c r="KQP1" s="301"/>
      <c r="KQQ1" s="301"/>
      <c r="KQR1" s="301"/>
      <c r="KQS1" s="301"/>
      <c r="KQT1" s="301"/>
      <c r="KQU1" s="301"/>
      <c r="KQV1" s="301"/>
      <c r="KQW1" s="301"/>
      <c r="KQX1" s="301"/>
      <c r="KQY1" s="301"/>
      <c r="KQZ1" s="301"/>
      <c r="KRA1" s="301"/>
      <c r="KRB1" s="301"/>
      <c r="KRC1" s="301"/>
      <c r="KRD1" s="301"/>
      <c r="KRE1" s="301"/>
      <c r="KRF1" s="301"/>
      <c r="KRG1" s="301"/>
      <c r="KRH1" s="301"/>
      <c r="KRI1" s="301"/>
      <c r="KRJ1" s="301"/>
      <c r="KRK1" s="301"/>
      <c r="KRL1" s="301"/>
      <c r="KRM1" s="301"/>
      <c r="KRN1" s="301"/>
      <c r="KRO1" s="301"/>
      <c r="KRP1" s="301"/>
      <c r="KRQ1" s="301"/>
      <c r="KRR1" s="301"/>
      <c r="KRS1" s="301"/>
      <c r="KRT1" s="301"/>
      <c r="KRU1" s="301"/>
      <c r="KRV1" s="301"/>
      <c r="KRW1" s="301"/>
      <c r="KRX1" s="301"/>
      <c r="KRY1" s="301"/>
      <c r="KRZ1" s="301"/>
      <c r="KSA1" s="301"/>
      <c r="KSB1" s="301"/>
      <c r="KSC1" s="301"/>
      <c r="KSD1" s="301"/>
      <c r="KSE1" s="301"/>
      <c r="KSF1" s="301"/>
      <c r="KSG1" s="301"/>
      <c r="KSH1" s="301"/>
      <c r="KSI1" s="301"/>
      <c r="KSJ1" s="301"/>
      <c r="KSK1" s="301"/>
      <c r="KSL1" s="301"/>
      <c r="KSM1" s="301"/>
      <c r="KSN1" s="301"/>
      <c r="KSO1" s="301"/>
      <c r="KSP1" s="301"/>
      <c r="KSQ1" s="301"/>
      <c r="KSR1" s="301"/>
      <c r="KSS1" s="301"/>
      <c r="KST1" s="301"/>
      <c r="KSU1" s="301"/>
      <c r="KSV1" s="301"/>
      <c r="KSW1" s="301"/>
      <c r="KSX1" s="301"/>
      <c r="KSY1" s="301"/>
      <c r="KSZ1" s="301"/>
      <c r="KTA1" s="301"/>
      <c r="KTB1" s="301"/>
      <c r="KTC1" s="301"/>
      <c r="KTD1" s="301"/>
      <c r="KTE1" s="301"/>
      <c r="KTF1" s="301"/>
      <c r="KTG1" s="301"/>
      <c r="KTH1" s="301"/>
      <c r="KTI1" s="301"/>
      <c r="KTJ1" s="301"/>
      <c r="KTK1" s="301"/>
      <c r="KTL1" s="301"/>
      <c r="KTM1" s="301"/>
      <c r="KTN1" s="301"/>
      <c r="KTO1" s="301"/>
      <c r="KTP1" s="301"/>
      <c r="KTQ1" s="301"/>
      <c r="KTR1" s="301"/>
      <c r="KTS1" s="301"/>
      <c r="KTT1" s="301"/>
      <c r="KTU1" s="301"/>
      <c r="KTV1" s="301"/>
      <c r="KTW1" s="301"/>
      <c r="KTX1" s="301"/>
      <c r="KTY1" s="301"/>
      <c r="KTZ1" s="301"/>
      <c r="KUA1" s="301"/>
      <c r="KUB1" s="301"/>
      <c r="KUC1" s="301"/>
      <c r="KUD1" s="301"/>
      <c r="KUE1" s="301"/>
      <c r="KUF1" s="301"/>
      <c r="KUG1" s="301"/>
      <c r="KUH1" s="301"/>
      <c r="KUI1" s="301"/>
      <c r="KUJ1" s="301"/>
      <c r="KUK1" s="301"/>
      <c r="KUL1" s="301"/>
      <c r="KUM1" s="301"/>
      <c r="KUN1" s="301"/>
      <c r="KUO1" s="301"/>
      <c r="KUP1" s="301"/>
      <c r="KUQ1" s="301"/>
      <c r="KUR1" s="301"/>
      <c r="KUS1" s="301"/>
      <c r="KUT1" s="301"/>
      <c r="KUU1" s="301"/>
      <c r="KUV1" s="301"/>
      <c r="KUW1" s="301"/>
      <c r="KUX1" s="301"/>
      <c r="KUY1" s="301"/>
      <c r="KUZ1" s="301"/>
      <c r="KVA1" s="301"/>
      <c r="KVB1" s="301"/>
      <c r="KVC1" s="301"/>
      <c r="KVD1" s="301"/>
      <c r="KVE1" s="301"/>
      <c r="KVF1" s="301"/>
      <c r="KVG1" s="301"/>
      <c r="KVH1" s="301"/>
      <c r="KVI1" s="301"/>
      <c r="KVJ1" s="301"/>
      <c r="KVK1" s="301"/>
      <c r="KVL1" s="301"/>
      <c r="KVM1" s="301"/>
      <c r="KVN1" s="301"/>
      <c r="KVO1" s="301"/>
      <c r="KVP1" s="301"/>
      <c r="KVQ1" s="301"/>
      <c r="KVR1" s="301"/>
      <c r="KVS1" s="301"/>
      <c r="KVT1" s="301"/>
      <c r="KVU1" s="301"/>
      <c r="KVV1" s="301"/>
      <c r="KVW1" s="301"/>
      <c r="KVX1" s="301"/>
      <c r="KVY1" s="301"/>
      <c r="KVZ1" s="301"/>
      <c r="KWA1" s="301"/>
      <c r="KWB1" s="301"/>
      <c r="KWC1" s="301"/>
      <c r="KWD1" s="301"/>
      <c r="KWE1" s="301"/>
      <c r="KWF1" s="301"/>
      <c r="KWG1" s="301"/>
      <c r="KWH1" s="301"/>
      <c r="KWI1" s="301"/>
      <c r="KWJ1" s="301"/>
      <c r="KWK1" s="301"/>
      <c r="KWL1" s="301"/>
      <c r="KWM1" s="301"/>
      <c r="KWN1" s="301"/>
      <c r="KWO1" s="301"/>
      <c r="KWP1" s="301"/>
      <c r="KWQ1" s="301"/>
      <c r="KWR1" s="301"/>
      <c r="KWS1" s="301"/>
      <c r="KWT1" s="301"/>
      <c r="KWU1" s="301"/>
      <c r="KWV1" s="301"/>
      <c r="KWW1" s="301"/>
      <c r="KWX1" s="301"/>
      <c r="KWY1" s="301"/>
      <c r="KWZ1" s="301"/>
      <c r="KXA1" s="301"/>
      <c r="KXB1" s="301"/>
      <c r="KXC1" s="301"/>
      <c r="KXD1" s="301"/>
      <c r="KXE1" s="301"/>
      <c r="KXF1" s="301"/>
      <c r="KXG1" s="301"/>
      <c r="KXH1" s="301"/>
      <c r="KXI1" s="301"/>
      <c r="KXJ1" s="301"/>
      <c r="KXK1" s="301"/>
      <c r="KXL1" s="301"/>
      <c r="KXM1" s="301"/>
      <c r="KXN1" s="301"/>
      <c r="KXO1" s="301"/>
      <c r="KXP1" s="301"/>
      <c r="KXQ1" s="301"/>
      <c r="KXR1" s="301"/>
      <c r="KXS1" s="301"/>
      <c r="KXT1" s="301"/>
      <c r="KXU1" s="301"/>
      <c r="KXV1" s="301"/>
      <c r="KXW1" s="301"/>
      <c r="KXX1" s="301"/>
      <c r="KXY1" s="301"/>
      <c r="KXZ1" s="301"/>
      <c r="KYA1" s="301"/>
      <c r="KYB1" s="301"/>
      <c r="KYC1" s="301"/>
      <c r="KYD1" s="301"/>
      <c r="KYE1" s="301"/>
      <c r="KYF1" s="301"/>
      <c r="KYG1" s="301"/>
      <c r="KYH1" s="301"/>
      <c r="KYI1" s="301"/>
      <c r="KYJ1" s="301"/>
      <c r="KYK1" s="301"/>
      <c r="KYL1" s="301"/>
      <c r="KYM1" s="301"/>
      <c r="KYN1" s="301"/>
      <c r="KYO1" s="301"/>
      <c r="KYP1" s="301"/>
      <c r="KYQ1" s="301"/>
      <c r="KYR1" s="301"/>
      <c r="KYS1" s="301"/>
      <c r="KYT1" s="301"/>
      <c r="KYU1" s="301"/>
      <c r="KYV1" s="301"/>
      <c r="KYW1" s="301"/>
      <c r="KYX1" s="301"/>
      <c r="KYY1" s="301"/>
      <c r="KYZ1" s="301"/>
      <c r="KZA1" s="301"/>
      <c r="KZB1" s="301"/>
      <c r="KZC1" s="301"/>
      <c r="KZD1" s="301"/>
      <c r="KZE1" s="301"/>
      <c r="KZF1" s="301"/>
      <c r="KZG1" s="301"/>
      <c r="KZH1" s="301"/>
      <c r="KZI1" s="301"/>
      <c r="KZJ1" s="301"/>
      <c r="KZK1" s="301"/>
      <c r="KZL1" s="301"/>
      <c r="KZM1" s="301"/>
      <c r="KZN1" s="301"/>
      <c r="KZO1" s="301"/>
      <c r="KZP1" s="301"/>
      <c r="KZQ1" s="301"/>
      <c r="KZR1" s="301"/>
      <c r="KZS1" s="301"/>
      <c r="KZT1" s="301"/>
      <c r="KZU1" s="301"/>
      <c r="KZV1" s="301"/>
      <c r="KZW1" s="301"/>
      <c r="KZX1" s="301"/>
      <c r="KZY1" s="301"/>
      <c r="KZZ1" s="301"/>
      <c r="LAA1" s="301"/>
      <c r="LAB1" s="301"/>
      <c r="LAC1" s="301"/>
      <c r="LAD1" s="301"/>
      <c r="LAE1" s="301"/>
      <c r="LAF1" s="301"/>
      <c r="LAG1" s="301"/>
      <c r="LAH1" s="301"/>
      <c r="LAI1" s="301"/>
      <c r="LAJ1" s="301"/>
      <c r="LAK1" s="301"/>
      <c r="LAL1" s="301"/>
      <c r="LAM1" s="301"/>
      <c r="LAN1" s="301"/>
      <c r="LAO1" s="301"/>
      <c r="LAP1" s="301"/>
      <c r="LAQ1" s="301"/>
      <c r="LAR1" s="301"/>
      <c r="LAS1" s="301"/>
      <c r="LAT1" s="301"/>
      <c r="LAU1" s="301"/>
      <c r="LAV1" s="301"/>
      <c r="LAW1" s="301"/>
      <c r="LAX1" s="301"/>
      <c r="LAY1" s="301"/>
      <c r="LAZ1" s="301"/>
      <c r="LBA1" s="301"/>
      <c r="LBB1" s="301"/>
      <c r="LBC1" s="301"/>
      <c r="LBD1" s="301"/>
      <c r="LBE1" s="301"/>
      <c r="LBF1" s="301"/>
      <c r="LBG1" s="301"/>
      <c r="LBH1" s="301"/>
      <c r="LBI1" s="301"/>
      <c r="LBJ1" s="301"/>
      <c r="LBK1" s="301"/>
      <c r="LBL1" s="301"/>
      <c r="LBM1" s="301"/>
      <c r="LBN1" s="301"/>
      <c r="LBO1" s="301"/>
      <c r="LBP1" s="301"/>
      <c r="LBQ1" s="301"/>
      <c r="LBR1" s="301"/>
      <c r="LBS1" s="301"/>
      <c r="LBT1" s="301"/>
      <c r="LBU1" s="301"/>
      <c r="LBV1" s="301"/>
      <c r="LBW1" s="301"/>
      <c r="LBX1" s="301"/>
      <c r="LBY1" s="301"/>
      <c r="LBZ1" s="301"/>
      <c r="LCA1" s="301"/>
      <c r="LCB1" s="301"/>
      <c r="LCC1" s="301"/>
      <c r="LCD1" s="301"/>
      <c r="LCE1" s="301"/>
      <c r="LCF1" s="301"/>
      <c r="LCG1" s="301"/>
      <c r="LCH1" s="301"/>
      <c r="LCI1" s="301"/>
      <c r="LCJ1" s="301"/>
      <c r="LCK1" s="301"/>
      <c r="LCL1" s="301"/>
      <c r="LCM1" s="301"/>
      <c r="LCN1" s="301"/>
      <c r="LCO1" s="301"/>
      <c r="LCP1" s="301"/>
      <c r="LCQ1" s="301"/>
      <c r="LCR1" s="301"/>
      <c r="LCS1" s="301"/>
      <c r="LCT1" s="301"/>
      <c r="LCU1" s="301"/>
      <c r="LCV1" s="301"/>
      <c r="LCW1" s="301"/>
      <c r="LCX1" s="301"/>
      <c r="LCY1" s="301"/>
      <c r="LCZ1" s="301"/>
      <c r="LDA1" s="301"/>
      <c r="LDB1" s="301"/>
      <c r="LDC1" s="301"/>
      <c r="LDD1" s="301"/>
      <c r="LDE1" s="301"/>
      <c r="LDF1" s="301"/>
      <c r="LDG1" s="301"/>
      <c r="LDH1" s="301"/>
      <c r="LDI1" s="301"/>
      <c r="LDJ1" s="301"/>
      <c r="LDK1" s="301"/>
      <c r="LDL1" s="301"/>
      <c r="LDM1" s="301"/>
      <c r="LDN1" s="301"/>
      <c r="LDO1" s="301"/>
      <c r="LDP1" s="301"/>
      <c r="LDQ1" s="301"/>
      <c r="LDR1" s="301"/>
      <c r="LDS1" s="301"/>
      <c r="LDT1" s="301"/>
      <c r="LDU1" s="301"/>
      <c r="LDV1" s="301"/>
      <c r="LDW1" s="301"/>
      <c r="LDX1" s="301"/>
      <c r="LDY1" s="301"/>
      <c r="LDZ1" s="301"/>
      <c r="LEA1" s="301"/>
      <c r="LEB1" s="301"/>
      <c r="LEC1" s="301"/>
      <c r="LED1" s="301"/>
      <c r="LEE1" s="301"/>
      <c r="LEF1" s="301"/>
      <c r="LEG1" s="301"/>
      <c r="LEH1" s="301"/>
      <c r="LEI1" s="301"/>
      <c r="LEJ1" s="301"/>
      <c r="LEK1" s="301"/>
      <c r="LEL1" s="301"/>
      <c r="LEM1" s="301"/>
      <c r="LEN1" s="301"/>
      <c r="LEO1" s="301"/>
      <c r="LEP1" s="301"/>
      <c r="LEQ1" s="301"/>
      <c r="LER1" s="301"/>
      <c r="LES1" s="301"/>
      <c r="LET1" s="301"/>
      <c r="LEU1" s="301"/>
      <c r="LEV1" s="301"/>
      <c r="LEW1" s="301"/>
      <c r="LEX1" s="301"/>
      <c r="LEY1" s="301"/>
      <c r="LEZ1" s="301"/>
      <c r="LFA1" s="301"/>
      <c r="LFB1" s="301"/>
      <c r="LFC1" s="301"/>
      <c r="LFD1" s="301"/>
      <c r="LFE1" s="301"/>
      <c r="LFF1" s="301"/>
      <c r="LFG1" s="301"/>
      <c r="LFH1" s="301"/>
      <c r="LFI1" s="301"/>
      <c r="LFJ1" s="301"/>
      <c r="LFK1" s="301"/>
      <c r="LFL1" s="301"/>
      <c r="LFM1" s="301"/>
      <c r="LFN1" s="301"/>
      <c r="LFO1" s="301"/>
      <c r="LFP1" s="301"/>
      <c r="LFQ1" s="301"/>
      <c r="LFR1" s="301"/>
      <c r="LFS1" s="301"/>
      <c r="LFT1" s="301"/>
      <c r="LFU1" s="301"/>
      <c r="LFV1" s="301"/>
      <c r="LFW1" s="301"/>
      <c r="LFX1" s="301"/>
      <c r="LFY1" s="301"/>
      <c r="LFZ1" s="301"/>
      <c r="LGA1" s="301"/>
      <c r="LGB1" s="301"/>
      <c r="LGC1" s="301"/>
      <c r="LGD1" s="301"/>
      <c r="LGE1" s="301"/>
      <c r="LGF1" s="301"/>
      <c r="LGG1" s="301"/>
      <c r="LGH1" s="301"/>
      <c r="LGI1" s="301"/>
      <c r="LGJ1" s="301"/>
      <c r="LGK1" s="301"/>
      <c r="LGL1" s="301"/>
      <c r="LGM1" s="301"/>
      <c r="LGN1" s="301"/>
      <c r="LGO1" s="301"/>
      <c r="LGP1" s="301"/>
      <c r="LGQ1" s="301"/>
      <c r="LGR1" s="301"/>
      <c r="LGS1" s="301"/>
      <c r="LGT1" s="301"/>
      <c r="LGU1" s="301"/>
      <c r="LGV1" s="301"/>
      <c r="LGW1" s="301"/>
      <c r="LGX1" s="301"/>
      <c r="LGY1" s="301"/>
      <c r="LGZ1" s="301"/>
      <c r="LHA1" s="301"/>
      <c r="LHB1" s="301"/>
      <c r="LHC1" s="301"/>
      <c r="LHD1" s="301"/>
      <c r="LHE1" s="301"/>
      <c r="LHF1" s="301"/>
      <c r="LHG1" s="301"/>
      <c r="LHH1" s="301"/>
      <c r="LHI1" s="301"/>
      <c r="LHJ1" s="301"/>
      <c r="LHK1" s="301"/>
      <c r="LHL1" s="301"/>
      <c r="LHM1" s="301"/>
      <c r="LHN1" s="301"/>
      <c r="LHO1" s="301"/>
      <c r="LHP1" s="301"/>
      <c r="LHQ1" s="301"/>
      <c r="LHR1" s="301"/>
      <c r="LHS1" s="301"/>
      <c r="LHT1" s="301"/>
      <c r="LHU1" s="301"/>
      <c r="LHV1" s="301"/>
      <c r="LHW1" s="301"/>
      <c r="LHX1" s="301"/>
      <c r="LHY1" s="301"/>
      <c r="LHZ1" s="301"/>
      <c r="LIA1" s="301"/>
      <c r="LIB1" s="301"/>
      <c r="LIC1" s="301"/>
      <c r="LID1" s="301"/>
      <c r="LIE1" s="301"/>
      <c r="LIF1" s="301"/>
      <c r="LIG1" s="301"/>
      <c r="LIH1" s="301"/>
      <c r="LII1" s="301"/>
      <c r="LIJ1" s="301"/>
      <c r="LIK1" s="301"/>
      <c r="LIL1" s="301"/>
      <c r="LIM1" s="301"/>
      <c r="LIN1" s="301"/>
      <c r="LIO1" s="301"/>
      <c r="LIP1" s="301"/>
      <c r="LIQ1" s="301"/>
      <c r="LIR1" s="301"/>
      <c r="LIS1" s="301"/>
      <c r="LIT1" s="301"/>
      <c r="LIU1" s="301"/>
      <c r="LIV1" s="301"/>
      <c r="LIW1" s="301"/>
      <c r="LIX1" s="301"/>
      <c r="LIY1" s="301"/>
      <c r="LIZ1" s="301"/>
      <c r="LJA1" s="301"/>
      <c r="LJB1" s="301"/>
      <c r="LJC1" s="301"/>
      <c r="LJD1" s="301"/>
      <c r="LJE1" s="301"/>
      <c r="LJF1" s="301"/>
      <c r="LJG1" s="301"/>
      <c r="LJH1" s="301"/>
      <c r="LJI1" s="301"/>
      <c r="LJJ1" s="301"/>
      <c r="LJK1" s="301"/>
      <c r="LJL1" s="301"/>
      <c r="LJM1" s="301"/>
      <c r="LJN1" s="301"/>
      <c r="LJO1" s="301"/>
      <c r="LJP1" s="301"/>
      <c r="LJQ1" s="301"/>
      <c r="LJR1" s="301"/>
      <c r="LJS1" s="301"/>
      <c r="LJT1" s="301"/>
      <c r="LJU1" s="301"/>
      <c r="LJV1" s="301"/>
      <c r="LJW1" s="301"/>
      <c r="LJX1" s="301"/>
      <c r="LJY1" s="301"/>
      <c r="LJZ1" s="301"/>
      <c r="LKA1" s="301"/>
      <c r="LKB1" s="301"/>
      <c r="LKC1" s="301"/>
      <c r="LKD1" s="301"/>
      <c r="LKE1" s="301"/>
      <c r="LKF1" s="301"/>
      <c r="LKG1" s="301"/>
      <c r="LKH1" s="301"/>
      <c r="LKI1" s="301"/>
      <c r="LKJ1" s="301"/>
      <c r="LKK1" s="301"/>
      <c r="LKL1" s="301"/>
      <c r="LKM1" s="301"/>
      <c r="LKN1" s="301"/>
      <c r="LKO1" s="301"/>
      <c r="LKP1" s="301"/>
      <c r="LKQ1" s="301"/>
      <c r="LKR1" s="301"/>
      <c r="LKS1" s="301"/>
      <c r="LKT1" s="301"/>
      <c r="LKU1" s="301"/>
      <c r="LKV1" s="301"/>
      <c r="LKW1" s="301"/>
      <c r="LKX1" s="301"/>
      <c r="LKY1" s="301"/>
      <c r="LKZ1" s="301"/>
      <c r="LLA1" s="301"/>
      <c r="LLB1" s="301"/>
      <c r="LLC1" s="301"/>
      <c r="LLD1" s="301"/>
      <c r="LLE1" s="301"/>
      <c r="LLF1" s="301"/>
      <c r="LLG1" s="301"/>
      <c r="LLH1" s="301"/>
      <c r="LLI1" s="301"/>
      <c r="LLJ1" s="301"/>
      <c r="LLK1" s="301"/>
      <c r="LLL1" s="301"/>
      <c r="LLM1" s="301"/>
      <c r="LLN1" s="301"/>
      <c r="LLO1" s="301"/>
      <c r="LLP1" s="301"/>
      <c r="LLQ1" s="301"/>
      <c r="LLR1" s="301"/>
      <c r="LLS1" s="301"/>
      <c r="LLT1" s="301"/>
      <c r="LLU1" s="301"/>
      <c r="LLV1" s="301"/>
      <c r="LLW1" s="301"/>
      <c r="LLX1" s="301"/>
      <c r="LLY1" s="301"/>
      <c r="LLZ1" s="301"/>
      <c r="LMA1" s="301"/>
      <c r="LMB1" s="301"/>
      <c r="LMC1" s="301"/>
      <c r="LMD1" s="301"/>
      <c r="LME1" s="301"/>
      <c r="LMF1" s="301"/>
      <c r="LMG1" s="301"/>
      <c r="LMH1" s="301"/>
      <c r="LMI1" s="301"/>
      <c r="LMJ1" s="301"/>
      <c r="LMK1" s="301"/>
      <c r="LML1" s="301"/>
      <c r="LMM1" s="301"/>
      <c r="LMN1" s="301"/>
      <c r="LMO1" s="301"/>
      <c r="LMP1" s="301"/>
      <c r="LMQ1" s="301"/>
      <c r="LMR1" s="301"/>
      <c r="LMS1" s="301"/>
      <c r="LMT1" s="301"/>
      <c r="LMU1" s="301"/>
      <c r="LMV1" s="301"/>
      <c r="LMW1" s="301"/>
      <c r="LMX1" s="301"/>
      <c r="LMY1" s="301"/>
      <c r="LMZ1" s="301"/>
      <c r="LNA1" s="301"/>
      <c r="LNB1" s="301"/>
      <c r="LNC1" s="301"/>
      <c r="LND1" s="301"/>
      <c r="LNE1" s="301"/>
      <c r="LNF1" s="301"/>
      <c r="LNG1" s="301"/>
      <c r="LNH1" s="301"/>
      <c r="LNI1" s="301"/>
      <c r="LNJ1" s="301"/>
      <c r="LNK1" s="301"/>
      <c r="LNL1" s="301"/>
      <c r="LNM1" s="301"/>
      <c r="LNN1" s="301"/>
      <c r="LNO1" s="301"/>
      <c r="LNP1" s="301"/>
      <c r="LNQ1" s="301"/>
      <c r="LNR1" s="301"/>
      <c r="LNS1" s="301"/>
      <c r="LNT1" s="301"/>
      <c r="LNU1" s="301"/>
      <c r="LNV1" s="301"/>
      <c r="LNW1" s="301"/>
      <c r="LNX1" s="301"/>
      <c r="LNY1" s="301"/>
      <c r="LNZ1" s="301"/>
      <c r="LOA1" s="301"/>
      <c r="LOB1" s="301"/>
      <c r="LOC1" s="301"/>
      <c r="LOD1" s="301"/>
      <c r="LOE1" s="301"/>
      <c r="LOF1" s="301"/>
      <c r="LOG1" s="301"/>
      <c r="LOH1" s="301"/>
      <c r="LOI1" s="301"/>
      <c r="LOJ1" s="301"/>
      <c r="LOK1" s="301"/>
      <c r="LOL1" s="301"/>
      <c r="LOM1" s="301"/>
      <c r="LON1" s="301"/>
      <c r="LOO1" s="301"/>
      <c r="LOP1" s="301"/>
      <c r="LOQ1" s="301"/>
      <c r="LOR1" s="301"/>
      <c r="LOS1" s="301"/>
      <c r="LOT1" s="301"/>
      <c r="LOU1" s="301"/>
      <c r="LOV1" s="301"/>
      <c r="LOW1" s="301"/>
      <c r="LOX1" s="301"/>
      <c r="LOY1" s="301"/>
      <c r="LOZ1" s="301"/>
      <c r="LPA1" s="301"/>
      <c r="LPB1" s="301"/>
      <c r="LPC1" s="301"/>
      <c r="LPD1" s="301"/>
      <c r="LPE1" s="301"/>
      <c r="LPF1" s="301"/>
      <c r="LPG1" s="301"/>
      <c r="LPH1" s="301"/>
      <c r="LPI1" s="301"/>
      <c r="LPJ1" s="301"/>
      <c r="LPK1" s="301"/>
      <c r="LPL1" s="301"/>
      <c r="LPM1" s="301"/>
      <c r="LPN1" s="301"/>
      <c r="LPO1" s="301"/>
      <c r="LPP1" s="301"/>
      <c r="LPQ1" s="301"/>
      <c r="LPR1" s="301"/>
      <c r="LPS1" s="301"/>
      <c r="LPT1" s="301"/>
      <c r="LPU1" s="301"/>
      <c r="LPV1" s="301"/>
      <c r="LPW1" s="301"/>
      <c r="LPX1" s="301"/>
      <c r="LPY1" s="301"/>
      <c r="LPZ1" s="301"/>
      <c r="LQA1" s="301"/>
      <c r="LQB1" s="301"/>
      <c r="LQC1" s="301"/>
      <c r="LQD1" s="301"/>
      <c r="LQE1" s="301"/>
      <c r="LQF1" s="301"/>
      <c r="LQG1" s="301"/>
      <c r="LQH1" s="301"/>
      <c r="LQI1" s="301"/>
      <c r="LQJ1" s="301"/>
      <c r="LQK1" s="301"/>
      <c r="LQL1" s="301"/>
      <c r="LQM1" s="301"/>
      <c r="LQN1" s="301"/>
      <c r="LQO1" s="301"/>
      <c r="LQP1" s="301"/>
      <c r="LQQ1" s="301"/>
      <c r="LQR1" s="301"/>
      <c r="LQS1" s="301"/>
      <c r="LQT1" s="301"/>
      <c r="LQU1" s="301"/>
      <c r="LQV1" s="301"/>
      <c r="LQW1" s="301"/>
      <c r="LQX1" s="301"/>
      <c r="LQY1" s="301"/>
      <c r="LQZ1" s="301"/>
      <c r="LRA1" s="301"/>
      <c r="LRB1" s="301"/>
      <c r="LRC1" s="301"/>
      <c r="LRD1" s="301"/>
      <c r="LRE1" s="301"/>
      <c r="LRF1" s="301"/>
      <c r="LRG1" s="301"/>
      <c r="LRH1" s="301"/>
      <c r="LRI1" s="301"/>
      <c r="LRJ1" s="301"/>
      <c r="LRK1" s="301"/>
      <c r="LRL1" s="301"/>
      <c r="LRM1" s="301"/>
      <c r="LRN1" s="301"/>
      <c r="LRO1" s="301"/>
      <c r="LRP1" s="301"/>
      <c r="LRQ1" s="301"/>
      <c r="LRR1" s="301"/>
      <c r="LRS1" s="301"/>
      <c r="LRT1" s="301"/>
      <c r="LRU1" s="301"/>
      <c r="LRV1" s="301"/>
      <c r="LRW1" s="301"/>
      <c r="LRX1" s="301"/>
      <c r="LRY1" s="301"/>
      <c r="LRZ1" s="301"/>
      <c r="LSA1" s="301"/>
      <c r="LSB1" s="301"/>
      <c r="LSC1" s="301"/>
      <c r="LSD1" s="301"/>
      <c r="LSE1" s="301"/>
      <c r="LSF1" s="301"/>
      <c r="LSG1" s="301"/>
      <c r="LSH1" s="301"/>
      <c r="LSI1" s="301"/>
      <c r="LSJ1" s="301"/>
      <c r="LSK1" s="301"/>
      <c r="LSL1" s="301"/>
      <c r="LSM1" s="301"/>
      <c r="LSN1" s="301"/>
      <c r="LSO1" s="301"/>
      <c r="LSP1" s="301"/>
      <c r="LSQ1" s="301"/>
      <c r="LSR1" s="301"/>
      <c r="LSS1" s="301"/>
      <c r="LST1" s="301"/>
      <c r="LSU1" s="301"/>
      <c r="LSV1" s="301"/>
      <c r="LSW1" s="301"/>
      <c r="LSX1" s="301"/>
      <c r="LSY1" s="301"/>
      <c r="LSZ1" s="301"/>
      <c r="LTA1" s="301"/>
      <c r="LTB1" s="301"/>
      <c r="LTC1" s="301"/>
      <c r="LTD1" s="301"/>
      <c r="LTE1" s="301"/>
      <c r="LTF1" s="301"/>
      <c r="LTG1" s="301"/>
      <c r="LTH1" s="301"/>
      <c r="LTI1" s="301"/>
      <c r="LTJ1" s="301"/>
      <c r="LTK1" s="301"/>
      <c r="LTL1" s="301"/>
      <c r="LTM1" s="301"/>
      <c r="LTN1" s="301"/>
      <c r="LTO1" s="301"/>
      <c r="LTP1" s="301"/>
      <c r="LTQ1" s="301"/>
      <c r="LTR1" s="301"/>
      <c r="LTS1" s="301"/>
      <c r="LTT1" s="301"/>
      <c r="LTU1" s="301"/>
      <c r="LTV1" s="301"/>
      <c r="LTW1" s="301"/>
      <c r="LTX1" s="301"/>
      <c r="LTY1" s="301"/>
      <c r="LTZ1" s="301"/>
      <c r="LUA1" s="301"/>
      <c r="LUB1" s="301"/>
      <c r="LUC1" s="301"/>
      <c r="LUD1" s="301"/>
      <c r="LUE1" s="301"/>
      <c r="LUF1" s="301"/>
      <c r="LUG1" s="301"/>
      <c r="LUH1" s="301"/>
      <c r="LUI1" s="301"/>
      <c r="LUJ1" s="301"/>
      <c r="LUK1" s="301"/>
      <c r="LUL1" s="301"/>
      <c r="LUM1" s="301"/>
      <c r="LUN1" s="301"/>
      <c r="LUO1" s="301"/>
      <c r="LUP1" s="301"/>
      <c r="LUQ1" s="301"/>
      <c r="LUR1" s="301"/>
      <c r="LUS1" s="301"/>
      <c r="LUT1" s="301"/>
      <c r="LUU1" s="301"/>
      <c r="LUV1" s="301"/>
      <c r="LUW1" s="301"/>
      <c r="LUX1" s="301"/>
      <c r="LUY1" s="301"/>
      <c r="LUZ1" s="301"/>
      <c r="LVA1" s="301"/>
      <c r="LVB1" s="301"/>
      <c r="LVC1" s="301"/>
      <c r="LVD1" s="301"/>
      <c r="LVE1" s="301"/>
      <c r="LVF1" s="301"/>
      <c r="LVG1" s="301"/>
      <c r="LVH1" s="301"/>
      <c r="LVI1" s="301"/>
      <c r="LVJ1" s="301"/>
      <c r="LVK1" s="301"/>
      <c r="LVL1" s="301"/>
      <c r="LVM1" s="301"/>
      <c r="LVN1" s="301"/>
      <c r="LVO1" s="301"/>
      <c r="LVP1" s="301"/>
      <c r="LVQ1" s="301"/>
      <c r="LVR1" s="301"/>
      <c r="LVS1" s="301"/>
      <c r="LVT1" s="301"/>
      <c r="LVU1" s="301"/>
      <c r="LVV1" s="301"/>
      <c r="LVW1" s="301"/>
      <c r="LVX1" s="301"/>
      <c r="LVY1" s="301"/>
      <c r="LVZ1" s="301"/>
      <c r="LWA1" s="301"/>
      <c r="LWB1" s="301"/>
      <c r="LWC1" s="301"/>
      <c r="LWD1" s="301"/>
      <c r="LWE1" s="301"/>
      <c r="LWF1" s="301"/>
      <c r="LWG1" s="301"/>
      <c r="LWH1" s="301"/>
      <c r="LWI1" s="301"/>
      <c r="LWJ1" s="301"/>
      <c r="LWK1" s="301"/>
      <c r="LWL1" s="301"/>
      <c r="LWM1" s="301"/>
      <c r="LWN1" s="301"/>
      <c r="LWO1" s="301"/>
      <c r="LWP1" s="301"/>
      <c r="LWQ1" s="301"/>
      <c r="LWR1" s="301"/>
      <c r="LWS1" s="301"/>
      <c r="LWT1" s="301"/>
      <c r="LWU1" s="301"/>
      <c r="LWV1" s="301"/>
      <c r="LWW1" s="301"/>
      <c r="LWX1" s="301"/>
      <c r="LWY1" s="301"/>
      <c r="LWZ1" s="301"/>
      <c r="LXA1" s="301"/>
      <c r="LXB1" s="301"/>
      <c r="LXC1" s="301"/>
      <c r="LXD1" s="301"/>
      <c r="LXE1" s="301"/>
      <c r="LXF1" s="301"/>
      <c r="LXG1" s="301"/>
      <c r="LXH1" s="301"/>
      <c r="LXI1" s="301"/>
      <c r="LXJ1" s="301"/>
      <c r="LXK1" s="301"/>
      <c r="LXL1" s="301"/>
      <c r="LXM1" s="301"/>
      <c r="LXN1" s="301"/>
      <c r="LXO1" s="301"/>
      <c r="LXP1" s="301"/>
      <c r="LXQ1" s="301"/>
      <c r="LXR1" s="301"/>
      <c r="LXS1" s="301"/>
      <c r="LXT1" s="301"/>
      <c r="LXU1" s="301"/>
      <c r="LXV1" s="301"/>
      <c r="LXW1" s="301"/>
      <c r="LXX1" s="301"/>
      <c r="LXY1" s="301"/>
      <c r="LXZ1" s="301"/>
      <c r="LYA1" s="301"/>
      <c r="LYB1" s="301"/>
      <c r="LYC1" s="301"/>
      <c r="LYD1" s="301"/>
      <c r="LYE1" s="301"/>
      <c r="LYF1" s="301"/>
      <c r="LYG1" s="301"/>
      <c r="LYH1" s="301"/>
      <c r="LYI1" s="301"/>
      <c r="LYJ1" s="301"/>
      <c r="LYK1" s="301"/>
      <c r="LYL1" s="301"/>
      <c r="LYM1" s="301"/>
      <c r="LYN1" s="301"/>
      <c r="LYO1" s="301"/>
      <c r="LYP1" s="301"/>
      <c r="LYQ1" s="301"/>
      <c r="LYR1" s="301"/>
      <c r="LYS1" s="301"/>
      <c r="LYT1" s="301"/>
      <c r="LYU1" s="301"/>
      <c r="LYV1" s="301"/>
      <c r="LYW1" s="301"/>
      <c r="LYX1" s="301"/>
      <c r="LYY1" s="301"/>
      <c r="LYZ1" s="301"/>
      <c r="LZA1" s="301"/>
      <c r="LZB1" s="301"/>
      <c r="LZC1" s="301"/>
      <c r="LZD1" s="301"/>
      <c r="LZE1" s="301"/>
      <c r="LZF1" s="301"/>
      <c r="LZG1" s="301"/>
      <c r="LZH1" s="301"/>
      <c r="LZI1" s="301"/>
      <c r="LZJ1" s="301"/>
      <c r="LZK1" s="301"/>
      <c r="LZL1" s="301"/>
      <c r="LZM1" s="301"/>
      <c r="LZN1" s="301"/>
      <c r="LZO1" s="301"/>
      <c r="LZP1" s="301"/>
      <c r="LZQ1" s="301"/>
      <c r="LZR1" s="301"/>
      <c r="LZS1" s="301"/>
      <c r="LZT1" s="301"/>
      <c r="LZU1" s="301"/>
      <c r="LZV1" s="301"/>
      <c r="LZW1" s="301"/>
      <c r="LZX1" s="301"/>
      <c r="LZY1" s="301"/>
      <c r="LZZ1" s="301"/>
      <c r="MAA1" s="301"/>
      <c r="MAB1" s="301"/>
      <c r="MAC1" s="301"/>
      <c r="MAD1" s="301"/>
      <c r="MAE1" s="301"/>
      <c r="MAF1" s="301"/>
      <c r="MAG1" s="301"/>
      <c r="MAH1" s="301"/>
      <c r="MAI1" s="301"/>
      <c r="MAJ1" s="301"/>
      <c r="MAK1" s="301"/>
      <c r="MAL1" s="301"/>
      <c r="MAM1" s="301"/>
      <c r="MAN1" s="301"/>
      <c r="MAO1" s="301"/>
      <c r="MAP1" s="301"/>
      <c r="MAQ1" s="301"/>
      <c r="MAR1" s="301"/>
      <c r="MAS1" s="301"/>
      <c r="MAT1" s="301"/>
      <c r="MAU1" s="301"/>
      <c r="MAV1" s="301"/>
      <c r="MAW1" s="301"/>
      <c r="MAX1" s="301"/>
      <c r="MAY1" s="301"/>
      <c r="MAZ1" s="301"/>
      <c r="MBA1" s="301"/>
      <c r="MBB1" s="301"/>
      <c r="MBC1" s="301"/>
      <c r="MBD1" s="301"/>
      <c r="MBE1" s="301"/>
      <c r="MBF1" s="301"/>
      <c r="MBG1" s="301"/>
      <c r="MBH1" s="301"/>
      <c r="MBI1" s="301"/>
      <c r="MBJ1" s="301"/>
      <c r="MBK1" s="301"/>
      <c r="MBL1" s="301"/>
      <c r="MBM1" s="301"/>
      <c r="MBN1" s="301"/>
      <c r="MBO1" s="301"/>
      <c r="MBP1" s="301"/>
      <c r="MBQ1" s="301"/>
      <c r="MBR1" s="301"/>
      <c r="MBS1" s="301"/>
      <c r="MBT1" s="301"/>
      <c r="MBU1" s="301"/>
      <c r="MBV1" s="301"/>
      <c r="MBW1" s="301"/>
      <c r="MBX1" s="301"/>
      <c r="MBY1" s="301"/>
      <c r="MBZ1" s="301"/>
      <c r="MCA1" s="301"/>
      <c r="MCB1" s="301"/>
      <c r="MCC1" s="301"/>
      <c r="MCD1" s="301"/>
      <c r="MCE1" s="301"/>
      <c r="MCF1" s="301"/>
      <c r="MCG1" s="301"/>
      <c r="MCH1" s="301"/>
      <c r="MCI1" s="301"/>
      <c r="MCJ1" s="301"/>
      <c r="MCK1" s="301"/>
      <c r="MCL1" s="301"/>
      <c r="MCM1" s="301"/>
      <c r="MCN1" s="301"/>
      <c r="MCO1" s="301"/>
      <c r="MCP1" s="301"/>
      <c r="MCQ1" s="301"/>
      <c r="MCR1" s="301"/>
      <c r="MCS1" s="301"/>
      <c r="MCT1" s="301"/>
      <c r="MCU1" s="301"/>
      <c r="MCV1" s="301"/>
      <c r="MCW1" s="301"/>
      <c r="MCX1" s="301"/>
      <c r="MCY1" s="301"/>
      <c r="MCZ1" s="301"/>
      <c r="MDA1" s="301"/>
      <c r="MDB1" s="301"/>
      <c r="MDC1" s="301"/>
      <c r="MDD1" s="301"/>
      <c r="MDE1" s="301"/>
      <c r="MDF1" s="301"/>
      <c r="MDG1" s="301"/>
      <c r="MDH1" s="301"/>
      <c r="MDI1" s="301"/>
      <c r="MDJ1" s="301"/>
      <c r="MDK1" s="301"/>
      <c r="MDL1" s="301"/>
      <c r="MDM1" s="301"/>
      <c r="MDN1" s="301"/>
      <c r="MDO1" s="301"/>
      <c r="MDP1" s="301"/>
      <c r="MDQ1" s="301"/>
      <c r="MDR1" s="301"/>
      <c r="MDS1" s="301"/>
      <c r="MDT1" s="301"/>
      <c r="MDU1" s="301"/>
      <c r="MDV1" s="301"/>
      <c r="MDW1" s="301"/>
      <c r="MDX1" s="301"/>
      <c r="MDY1" s="301"/>
      <c r="MDZ1" s="301"/>
      <c r="MEA1" s="301"/>
      <c r="MEB1" s="301"/>
      <c r="MEC1" s="301"/>
      <c r="MED1" s="301"/>
      <c r="MEE1" s="301"/>
      <c r="MEF1" s="301"/>
      <c r="MEG1" s="301"/>
      <c r="MEH1" s="301"/>
      <c r="MEI1" s="301"/>
      <c r="MEJ1" s="301"/>
      <c r="MEK1" s="301"/>
      <c r="MEL1" s="301"/>
      <c r="MEM1" s="301"/>
      <c r="MEN1" s="301"/>
      <c r="MEO1" s="301"/>
      <c r="MEP1" s="301"/>
      <c r="MEQ1" s="301"/>
      <c r="MER1" s="301"/>
      <c r="MES1" s="301"/>
      <c r="MET1" s="301"/>
      <c r="MEU1" s="301"/>
      <c r="MEV1" s="301"/>
      <c r="MEW1" s="301"/>
      <c r="MEX1" s="301"/>
      <c r="MEY1" s="301"/>
      <c r="MEZ1" s="301"/>
      <c r="MFA1" s="301"/>
      <c r="MFB1" s="301"/>
      <c r="MFC1" s="301"/>
      <c r="MFD1" s="301"/>
      <c r="MFE1" s="301"/>
      <c r="MFF1" s="301"/>
      <c r="MFG1" s="301"/>
      <c r="MFH1" s="301"/>
      <c r="MFI1" s="301"/>
      <c r="MFJ1" s="301"/>
      <c r="MFK1" s="301"/>
      <c r="MFL1" s="301"/>
      <c r="MFM1" s="301"/>
      <c r="MFN1" s="301"/>
      <c r="MFO1" s="301"/>
      <c r="MFP1" s="301"/>
      <c r="MFQ1" s="301"/>
      <c r="MFR1" s="301"/>
      <c r="MFS1" s="301"/>
      <c r="MFT1" s="301"/>
      <c r="MFU1" s="301"/>
      <c r="MFV1" s="301"/>
      <c r="MFW1" s="301"/>
      <c r="MFX1" s="301"/>
      <c r="MFY1" s="301"/>
      <c r="MFZ1" s="301"/>
      <c r="MGA1" s="301"/>
      <c r="MGB1" s="301"/>
      <c r="MGC1" s="301"/>
      <c r="MGD1" s="301"/>
      <c r="MGE1" s="301"/>
      <c r="MGF1" s="301"/>
      <c r="MGG1" s="301"/>
      <c r="MGH1" s="301"/>
      <c r="MGI1" s="301"/>
      <c r="MGJ1" s="301"/>
      <c r="MGK1" s="301"/>
      <c r="MGL1" s="301"/>
      <c r="MGM1" s="301"/>
      <c r="MGN1" s="301"/>
      <c r="MGO1" s="301"/>
      <c r="MGP1" s="301"/>
      <c r="MGQ1" s="301"/>
      <c r="MGR1" s="301"/>
      <c r="MGS1" s="301"/>
      <c r="MGT1" s="301"/>
      <c r="MGU1" s="301"/>
      <c r="MGV1" s="301"/>
      <c r="MGW1" s="301"/>
      <c r="MGX1" s="301"/>
      <c r="MGY1" s="301"/>
      <c r="MGZ1" s="301"/>
      <c r="MHA1" s="301"/>
      <c r="MHB1" s="301"/>
      <c r="MHC1" s="301"/>
      <c r="MHD1" s="301"/>
      <c r="MHE1" s="301"/>
      <c r="MHF1" s="301"/>
      <c r="MHG1" s="301"/>
      <c r="MHH1" s="301"/>
      <c r="MHI1" s="301"/>
      <c r="MHJ1" s="301"/>
      <c r="MHK1" s="301"/>
      <c r="MHL1" s="301"/>
      <c r="MHM1" s="301"/>
      <c r="MHN1" s="301"/>
      <c r="MHO1" s="301"/>
      <c r="MHP1" s="301"/>
      <c r="MHQ1" s="301"/>
      <c r="MHR1" s="301"/>
      <c r="MHS1" s="301"/>
      <c r="MHT1" s="301"/>
      <c r="MHU1" s="301"/>
      <c r="MHV1" s="301"/>
      <c r="MHW1" s="301"/>
      <c r="MHX1" s="301"/>
      <c r="MHY1" s="301"/>
      <c r="MHZ1" s="301"/>
      <c r="MIA1" s="301"/>
      <c r="MIB1" s="301"/>
      <c r="MIC1" s="301"/>
      <c r="MID1" s="301"/>
      <c r="MIE1" s="301"/>
      <c r="MIF1" s="301"/>
      <c r="MIG1" s="301"/>
      <c r="MIH1" s="301"/>
      <c r="MII1" s="301"/>
      <c r="MIJ1" s="301"/>
      <c r="MIK1" s="301"/>
      <c r="MIL1" s="301"/>
      <c r="MIM1" s="301"/>
      <c r="MIN1" s="301"/>
      <c r="MIO1" s="301"/>
      <c r="MIP1" s="301"/>
      <c r="MIQ1" s="301"/>
      <c r="MIR1" s="301"/>
      <c r="MIS1" s="301"/>
      <c r="MIT1" s="301"/>
      <c r="MIU1" s="301"/>
      <c r="MIV1" s="301"/>
      <c r="MIW1" s="301"/>
      <c r="MIX1" s="301"/>
      <c r="MIY1" s="301"/>
      <c r="MIZ1" s="301"/>
      <c r="MJA1" s="301"/>
      <c r="MJB1" s="301"/>
      <c r="MJC1" s="301"/>
      <c r="MJD1" s="301"/>
      <c r="MJE1" s="301"/>
      <c r="MJF1" s="301"/>
      <c r="MJG1" s="301"/>
      <c r="MJH1" s="301"/>
      <c r="MJI1" s="301"/>
      <c r="MJJ1" s="301"/>
      <c r="MJK1" s="301"/>
      <c r="MJL1" s="301"/>
      <c r="MJM1" s="301"/>
      <c r="MJN1" s="301"/>
      <c r="MJO1" s="301"/>
      <c r="MJP1" s="301"/>
      <c r="MJQ1" s="301"/>
      <c r="MJR1" s="301"/>
      <c r="MJS1" s="301"/>
      <c r="MJT1" s="301"/>
      <c r="MJU1" s="301"/>
      <c r="MJV1" s="301"/>
      <c r="MJW1" s="301"/>
      <c r="MJX1" s="301"/>
      <c r="MJY1" s="301"/>
      <c r="MJZ1" s="301"/>
      <c r="MKA1" s="301"/>
      <c r="MKB1" s="301"/>
      <c r="MKC1" s="301"/>
      <c r="MKD1" s="301"/>
      <c r="MKE1" s="301"/>
      <c r="MKF1" s="301"/>
      <c r="MKG1" s="301"/>
      <c r="MKH1" s="301"/>
      <c r="MKI1" s="301"/>
      <c r="MKJ1" s="301"/>
      <c r="MKK1" s="301"/>
      <c r="MKL1" s="301"/>
      <c r="MKM1" s="301"/>
      <c r="MKN1" s="301"/>
      <c r="MKO1" s="301"/>
      <c r="MKP1" s="301"/>
      <c r="MKQ1" s="301"/>
      <c r="MKR1" s="301"/>
      <c r="MKS1" s="301"/>
      <c r="MKT1" s="301"/>
      <c r="MKU1" s="301"/>
      <c r="MKV1" s="301"/>
      <c r="MKW1" s="301"/>
      <c r="MKX1" s="301"/>
      <c r="MKY1" s="301"/>
      <c r="MKZ1" s="301"/>
      <c r="MLA1" s="301"/>
      <c r="MLB1" s="301"/>
      <c r="MLC1" s="301"/>
      <c r="MLD1" s="301"/>
      <c r="MLE1" s="301"/>
      <c r="MLF1" s="301"/>
      <c r="MLG1" s="301"/>
      <c r="MLH1" s="301"/>
      <c r="MLI1" s="301"/>
      <c r="MLJ1" s="301"/>
      <c r="MLK1" s="301"/>
      <c r="MLL1" s="301"/>
      <c r="MLM1" s="301"/>
      <c r="MLN1" s="301"/>
      <c r="MLO1" s="301"/>
      <c r="MLP1" s="301"/>
      <c r="MLQ1" s="301"/>
      <c r="MLR1" s="301"/>
      <c r="MLS1" s="301"/>
      <c r="MLT1" s="301"/>
      <c r="MLU1" s="301"/>
      <c r="MLV1" s="301"/>
      <c r="MLW1" s="301"/>
      <c r="MLX1" s="301"/>
      <c r="MLY1" s="301"/>
      <c r="MLZ1" s="301"/>
      <c r="MMA1" s="301"/>
      <c r="MMB1" s="301"/>
      <c r="MMC1" s="301"/>
      <c r="MMD1" s="301"/>
      <c r="MME1" s="301"/>
      <c r="MMF1" s="301"/>
      <c r="MMG1" s="301"/>
      <c r="MMH1" s="301"/>
      <c r="MMI1" s="301"/>
      <c r="MMJ1" s="301"/>
      <c r="MMK1" s="301"/>
      <c r="MML1" s="301"/>
      <c r="MMM1" s="301"/>
      <c r="MMN1" s="301"/>
      <c r="MMO1" s="301"/>
      <c r="MMP1" s="301"/>
      <c r="MMQ1" s="301"/>
      <c r="MMR1" s="301"/>
      <c r="MMS1" s="301"/>
      <c r="MMT1" s="301"/>
      <c r="MMU1" s="301"/>
      <c r="MMV1" s="301"/>
      <c r="MMW1" s="301"/>
      <c r="MMX1" s="301"/>
      <c r="MMY1" s="301"/>
      <c r="MMZ1" s="301"/>
      <c r="MNA1" s="301"/>
      <c r="MNB1" s="301"/>
      <c r="MNC1" s="301"/>
      <c r="MND1" s="301"/>
      <c r="MNE1" s="301"/>
      <c r="MNF1" s="301"/>
      <c r="MNG1" s="301"/>
      <c r="MNH1" s="301"/>
      <c r="MNI1" s="301"/>
      <c r="MNJ1" s="301"/>
      <c r="MNK1" s="301"/>
      <c r="MNL1" s="301"/>
      <c r="MNM1" s="301"/>
      <c r="MNN1" s="301"/>
      <c r="MNO1" s="301"/>
      <c r="MNP1" s="301"/>
      <c r="MNQ1" s="301"/>
      <c r="MNR1" s="301"/>
      <c r="MNS1" s="301"/>
      <c r="MNT1" s="301"/>
      <c r="MNU1" s="301"/>
      <c r="MNV1" s="301"/>
      <c r="MNW1" s="301"/>
      <c r="MNX1" s="301"/>
      <c r="MNY1" s="301"/>
      <c r="MNZ1" s="301"/>
      <c r="MOA1" s="301"/>
      <c r="MOB1" s="301"/>
      <c r="MOC1" s="301"/>
      <c r="MOD1" s="301"/>
      <c r="MOE1" s="301"/>
      <c r="MOF1" s="301"/>
      <c r="MOG1" s="301"/>
      <c r="MOH1" s="301"/>
      <c r="MOI1" s="301"/>
      <c r="MOJ1" s="301"/>
      <c r="MOK1" s="301"/>
      <c r="MOL1" s="301"/>
      <c r="MOM1" s="301"/>
      <c r="MON1" s="301"/>
      <c r="MOO1" s="301"/>
      <c r="MOP1" s="301"/>
      <c r="MOQ1" s="301"/>
      <c r="MOR1" s="301"/>
      <c r="MOS1" s="301"/>
      <c r="MOT1" s="301"/>
      <c r="MOU1" s="301"/>
      <c r="MOV1" s="301"/>
      <c r="MOW1" s="301"/>
      <c r="MOX1" s="301"/>
      <c r="MOY1" s="301"/>
      <c r="MOZ1" s="301"/>
      <c r="MPA1" s="301"/>
      <c r="MPB1" s="301"/>
      <c r="MPC1" s="301"/>
      <c r="MPD1" s="301"/>
      <c r="MPE1" s="301"/>
      <c r="MPF1" s="301"/>
      <c r="MPG1" s="301"/>
      <c r="MPH1" s="301"/>
      <c r="MPI1" s="301"/>
      <c r="MPJ1" s="301"/>
      <c r="MPK1" s="301"/>
      <c r="MPL1" s="301"/>
      <c r="MPM1" s="301"/>
      <c r="MPN1" s="301"/>
      <c r="MPO1" s="301"/>
      <c r="MPP1" s="301"/>
      <c r="MPQ1" s="301"/>
      <c r="MPR1" s="301"/>
      <c r="MPS1" s="301"/>
      <c r="MPT1" s="301"/>
      <c r="MPU1" s="301"/>
      <c r="MPV1" s="301"/>
      <c r="MPW1" s="301"/>
      <c r="MPX1" s="301"/>
      <c r="MPY1" s="301"/>
      <c r="MPZ1" s="301"/>
      <c r="MQA1" s="301"/>
      <c r="MQB1" s="301"/>
      <c r="MQC1" s="301"/>
      <c r="MQD1" s="301"/>
      <c r="MQE1" s="301"/>
      <c r="MQF1" s="301"/>
      <c r="MQG1" s="301"/>
      <c r="MQH1" s="301"/>
      <c r="MQI1" s="301"/>
      <c r="MQJ1" s="301"/>
      <c r="MQK1" s="301"/>
      <c r="MQL1" s="301"/>
      <c r="MQM1" s="301"/>
      <c r="MQN1" s="301"/>
      <c r="MQO1" s="301"/>
      <c r="MQP1" s="301"/>
      <c r="MQQ1" s="301"/>
      <c r="MQR1" s="301"/>
      <c r="MQS1" s="301"/>
      <c r="MQT1" s="301"/>
      <c r="MQU1" s="301"/>
      <c r="MQV1" s="301"/>
      <c r="MQW1" s="301"/>
      <c r="MQX1" s="301"/>
      <c r="MQY1" s="301"/>
      <c r="MQZ1" s="301"/>
      <c r="MRA1" s="301"/>
      <c r="MRB1" s="301"/>
      <c r="MRC1" s="301"/>
      <c r="MRD1" s="301"/>
      <c r="MRE1" s="301"/>
      <c r="MRF1" s="301"/>
      <c r="MRG1" s="301"/>
      <c r="MRH1" s="301"/>
      <c r="MRI1" s="301"/>
      <c r="MRJ1" s="301"/>
      <c r="MRK1" s="301"/>
      <c r="MRL1" s="301"/>
      <c r="MRM1" s="301"/>
      <c r="MRN1" s="301"/>
      <c r="MRO1" s="301"/>
      <c r="MRP1" s="301"/>
      <c r="MRQ1" s="301"/>
      <c r="MRR1" s="301"/>
      <c r="MRS1" s="301"/>
      <c r="MRT1" s="301"/>
      <c r="MRU1" s="301"/>
      <c r="MRV1" s="301"/>
      <c r="MRW1" s="301"/>
      <c r="MRX1" s="301"/>
      <c r="MRY1" s="301"/>
      <c r="MRZ1" s="301"/>
      <c r="MSA1" s="301"/>
      <c r="MSB1" s="301"/>
      <c r="MSC1" s="301"/>
      <c r="MSD1" s="301"/>
      <c r="MSE1" s="301"/>
      <c r="MSF1" s="301"/>
      <c r="MSG1" s="301"/>
      <c r="MSH1" s="301"/>
      <c r="MSI1" s="301"/>
      <c r="MSJ1" s="301"/>
      <c r="MSK1" s="301"/>
      <c r="MSL1" s="301"/>
      <c r="MSM1" s="301"/>
      <c r="MSN1" s="301"/>
      <c r="MSO1" s="301"/>
      <c r="MSP1" s="301"/>
      <c r="MSQ1" s="301"/>
      <c r="MSR1" s="301"/>
      <c r="MSS1" s="301"/>
      <c r="MST1" s="301"/>
      <c r="MSU1" s="301"/>
      <c r="MSV1" s="301"/>
      <c r="MSW1" s="301"/>
      <c r="MSX1" s="301"/>
      <c r="MSY1" s="301"/>
      <c r="MSZ1" s="301"/>
      <c r="MTA1" s="301"/>
      <c r="MTB1" s="301"/>
      <c r="MTC1" s="301"/>
      <c r="MTD1" s="301"/>
      <c r="MTE1" s="301"/>
      <c r="MTF1" s="301"/>
      <c r="MTG1" s="301"/>
      <c r="MTH1" s="301"/>
      <c r="MTI1" s="301"/>
      <c r="MTJ1" s="301"/>
      <c r="MTK1" s="301"/>
      <c r="MTL1" s="301"/>
      <c r="MTM1" s="301"/>
      <c r="MTN1" s="301"/>
      <c r="MTO1" s="301"/>
      <c r="MTP1" s="301"/>
      <c r="MTQ1" s="301"/>
      <c r="MTR1" s="301"/>
      <c r="MTS1" s="301"/>
      <c r="MTT1" s="301"/>
      <c r="MTU1" s="301"/>
      <c r="MTV1" s="301"/>
      <c r="MTW1" s="301"/>
      <c r="MTX1" s="301"/>
      <c r="MTY1" s="301"/>
      <c r="MTZ1" s="301"/>
      <c r="MUA1" s="301"/>
      <c r="MUB1" s="301"/>
      <c r="MUC1" s="301"/>
      <c r="MUD1" s="301"/>
      <c r="MUE1" s="301"/>
      <c r="MUF1" s="301"/>
      <c r="MUG1" s="301"/>
      <c r="MUH1" s="301"/>
      <c r="MUI1" s="301"/>
      <c r="MUJ1" s="301"/>
      <c r="MUK1" s="301"/>
      <c r="MUL1" s="301"/>
      <c r="MUM1" s="301"/>
      <c r="MUN1" s="301"/>
      <c r="MUO1" s="301"/>
      <c r="MUP1" s="301"/>
      <c r="MUQ1" s="301"/>
      <c r="MUR1" s="301"/>
      <c r="MUS1" s="301"/>
      <c r="MUT1" s="301"/>
      <c r="MUU1" s="301"/>
      <c r="MUV1" s="301"/>
      <c r="MUW1" s="301"/>
      <c r="MUX1" s="301"/>
      <c r="MUY1" s="301"/>
      <c r="MUZ1" s="301"/>
      <c r="MVA1" s="301"/>
      <c r="MVB1" s="301"/>
      <c r="MVC1" s="301"/>
      <c r="MVD1" s="301"/>
      <c r="MVE1" s="301"/>
      <c r="MVF1" s="301"/>
      <c r="MVG1" s="301"/>
      <c r="MVH1" s="301"/>
      <c r="MVI1" s="301"/>
      <c r="MVJ1" s="301"/>
      <c r="MVK1" s="301"/>
      <c r="MVL1" s="301"/>
      <c r="MVM1" s="301"/>
      <c r="MVN1" s="301"/>
      <c r="MVO1" s="301"/>
      <c r="MVP1" s="301"/>
      <c r="MVQ1" s="301"/>
      <c r="MVR1" s="301"/>
      <c r="MVS1" s="301"/>
      <c r="MVT1" s="301"/>
      <c r="MVU1" s="301"/>
      <c r="MVV1" s="301"/>
      <c r="MVW1" s="301"/>
      <c r="MVX1" s="301"/>
      <c r="MVY1" s="301"/>
      <c r="MVZ1" s="301"/>
      <c r="MWA1" s="301"/>
      <c r="MWB1" s="301"/>
      <c r="MWC1" s="301"/>
      <c r="MWD1" s="301"/>
      <c r="MWE1" s="301"/>
      <c r="MWF1" s="301"/>
      <c r="MWG1" s="301"/>
      <c r="MWH1" s="301"/>
      <c r="MWI1" s="301"/>
      <c r="MWJ1" s="301"/>
      <c r="MWK1" s="301"/>
      <c r="MWL1" s="301"/>
      <c r="MWM1" s="301"/>
      <c r="MWN1" s="301"/>
      <c r="MWO1" s="301"/>
      <c r="MWP1" s="301"/>
      <c r="MWQ1" s="301"/>
      <c r="MWR1" s="301"/>
      <c r="MWS1" s="301"/>
      <c r="MWT1" s="301"/>
      <c r="MWU1" s="301"/>
      <c r="MWV1" s="301"/>
      <c r="MWW1" s="301"/>
      <c r="MWX1" s="301"/>
      <c r="MWY1" s="301"/>
      <c r="MWZ1" s="301"/>
      <c r="MXA1" s="301"/>
      <c r="MXB1" s="301"/>
      <c r="MXC1" s="301"/>
      <c r="MXD1" s="301"/>
      <c r="MXE1" s="301"/>
      <c r="MXF1" s="301"/>
      <c r="MXG1" s="301"/>
      <c r="MXH1" s="301"/>
      <c r="MXI1" s="301"/>
      <c r="MXJ1" s="301"/>
      <c r="MXK1" s="301"/>
      <c r="MXL1" s="301"/>
      <c r="MXM1" s="301"/>
      <c r="MXN1" s="301"/>
      <c r="MXO1" s="301"/>
      <c r="MXP1" s="301"/>
      <c r="MXQ1" s="301"/>
      <c r="MXR1" s="301"/>
      <c r="MXS1" s="301"/>
      <c r="MXT1" s="301"/>
      <c r="MXU1" s="301"/>
      <c r="MXV1" s="301"/>
      <c r="MXW1" s="301"/>
      <c r="MXX1" s="301"/>
      <c r="MXY1" s="301"/>
      <c r="MXZ1" s="301"/>
      <c r="MYA1" s="301"/>
      <c r="MYB1" s="301"/>
      <c r="MYC1" s="301"/>
      <c r="MYD1" s="301"/>
      <c r="MYE1" s="301"/>
      <c r="MYF1" s="301"/>
      <c r="MYG1" s="301"/>
      <c r="MYH1" s="301"/>
      <c r="MYI1" s="301"/>
      <c r="MYJ1" s="301"/>
      <c r="MYK1" s="301"/>
      <c r="MYL1" s="301"/>
      <c r="MYM1" s="301"/>
      <c r="MYN1" s="301"/>
      <c r="MYO1" s="301"/>
      <c r="MYP1" s="301"/>
      <c r="MYQ1" s="301"/>
      <c r="MYR1" s="301"/>
      <c r="MYS1" s="301"/>
      <c r="MYT1" s="301"/>
      <c r="MYU1" s="301"/>
      <c r="MYV1" s="301"/>
      <c r="MYW1" s="301"/>
      <c r="MYX1" s="301"/>
      <c r="MYY1" s="301"/>
      <c r="MYZ1" s="301"/>
      <c r="MZA1" s="301"/>
      <c r="MZB1" s="301"/>
      <c r="MZC1" s="301"/>
      <c r="MZD1" s="301"/>
      <c r="MZE1" s="301"/>
      <c r="MZF1" s="301"/>
      <c r="MZG1" s="301"/>
      <c r="MZH1" s="301"/>
      <c r="MZI1" s="301"/>
      <c r="MZJ1" s="301"/>
      <c r="MZK1" s="301"/>
      <c r="MZL1" s="301"/>
      <c r="MZM1" s="301"/>
      <c r="MZN1" s="301"/>
      <c r="MZO1" s="301"/>
      <c r="MZP1" s="301"/>
      <c r="MZQ1" s="301"/>
      <c r="MZR1" s="301"/>
      <c r="MZS1" s="301"/>
      <c r="MZT1" s="301"/>
      <c r="MZU1" s="301"/>
      <c r="MZV1" s="301"/>
      <c r="MZW1" s="301"/>
      <c r="MZX1" s="301"/>
      <c r="MZY1" s="301"/>
      <c r="MZZ1" s="301"/>
      <c r="NAA1" s="301"/>
      <c r="NAB1" s="301"/>
      <c r="NAC1" s="301"/>
      <c r="NAD1" s="301"/>
      <c r="NAE1" s="301"/>
      <c r="NAF1" s="301"/>
      <c r="NAG1" s="301"/>
      <c r="NAH1" s="301"/>
      <c r="NAI1" s="301"/>
      <c r="NAJ1" s="301"/>
      <c r="NAK1" s="301"/>
      <c r="NAL1" s="301"/>
      <c r="NAM1" s="301"/>
      <c r="NAN1" s="301"/>
      <c r="NAO1" s="301"/>
      <c r="NAP1" s="301"/>
      <c r="NAQ1" s="301"/>
      <c r="NAR1" s="301"/>
      <c r="NAS1" s="301"/>
      <c r="NAT1" s="301"/>
      <c r="NAU1" s="301"/>
      <c r="NAV1" s="301"/>
      <c r="NAW1" s="301"/>
      <c r="NAX1" s="301"/>
      <c r="NAY1" s="301"/>
      <c r="NAZ1" s="301"/>
      <c r="NBA1" s="301"/>
      <c r="NBB1" s="301"/>
      <c r="NBC1" s="301"/>
      <c r="NBD1" s="301"/>
      <c r="NBE1" s="301"/>
      <c r="NBF1" s="301"/>
      <c r="NBG1" s="301"/>
      <c r="NBH1" s="301"/>
      <c r="NBI1" s="301"/>
      <c r="NBJ1" s="301"/>
      <c r="NBK1" s="301"/>
      <c r="NBL1" s="301"/>
      <c r="NBM1" s="301"/>
      <c r="NBN1" s="301"/>
      <c r="NBO1" s="301"/>
      <c r="NBP1" s="301"/>
      <c r="NBQ1" s="301"/>
      <c r="NBR1" s="301"/>
      <c r="NBS1" s="301"/>
      <c r="NBT1" s="301"/>
      <c r="NBU1" s="301"/>
      <c r="NBV1" s="301"/>
      <c r="NBW1" s="301"/>
      <c r="NBX1" s="301"/>
      <c r="NBY1" s="301"/>
      <c r="NBZ1" s="301"/>
      <c r="NCA1" s="301"/>
      <c r="NCB1" s="301"/>
      <c r="NCC1" s="301"/>
      <c r="NCD1" s="301"/>
      <c r="NCE1" s="301"/>
      <c r="NCF1" s="301"/>
      <c r="NCG1" s="301"/>
      <c r="NCH1" s="301"/>
      <c r="NCI1" s="301"/>
      <c r="NCJ1" s="301"/>
      <c r="NCK1" s="301"/>
      <c r="NCL1" s="301"/>
      <c r="NCM1" s="301"/>
      <c r="NCN1" s="301"/>
      <c r="NCO1" s="301"/>
      <c r="NCP1" s="301"/>
      <c r="NCQ1" s="301"/>
      <c r="NCR1" s="301"/>
      <c r="NCS1" s="301"/>
      <c r="NCT1" s="301"/>
      <c r="NCU1" s="301"/>
      <c r="NCV1" s="301"/>
      <c r="NCW1" s="301"/>
      <c r="NCX1" s="301"/>
      <c r="NCY1" s="301"/>
      <c r="NCZ1" s="301"/>
      <c r="NDA1" s="301"/>
      <c r="NDB1" s="301"/>
      <c r="NDC1" s="301"/>
      <c r="NDD1" s="301"/>
      <c r="NDE1" s="301"/>
      <c r="NDF1" s="301"/>
      <c r="NDG1" s="301"/>
      <c r="NDH1" s="301"/>
      <c r="NDI1" s="301"/>
      <c r="NDJ1" s="301"/>
      <c r="NDK1" s="301"/>
      <c r="NDL1" s="301"/>
      <c r="NDM1" s="301"/>
      <c r="NDN1" s="301"/>
      <c r="NDO1" s="301"/>
      <c r="NDP1" s="301"/>
      <c r="NDQ1" s="301"/>
      <c r="NDR1" s="301"/>
      <c r="NDS1" s="301"/>
      <c r="NDT1" s="301"/>
      <c r="NDU1" s="301"/>
      <c r="NDV1" s="301"/>
      <c r="NDW1" s="301"/>
      <c r="NDX1" s="301"/>
      <c r="NDY1" s="301"/>
      <c r="NDZ1" s="301"/>
      <c r="NEA1" s="301"/>
      <c r="NEB1" s="301"/>
      <c r="NEC1" s="301"/>
      <c r="NED1" s="301"/>
      <c r="NEE1" s="301"/>
      <c r="NEF1" s="301"/>
      <c r="NEG1" s="301"/>
      <c r="NEH1" s="301"/>
      <c r="NEI1" s="301"/>
      <c r="NEJ1" s="301"/>
      <c r="NEK1" s="301"/>
      <c r="NEL1" s="301"/>
      <c r="NEM1" s="301"/>
      <c r="NEN1" s="301"/>
      <c r="NEO1" s="301"/>
      <c r="NEP1" s="301"/>
      <c r="NEQ1" s="301"/>
      <c r="NER1" s="301"/>
      <c r="NES1" s="301"/>
      <c r="NET1" s="301"/>
      <c r="NEU1" s="301"/>
      <c r="NEV1" s="301"/>
      <c r="NEW1" s="301"/>
      <c r="NEX1" s="301"/>
      <c r="NEY1" s="301"/>
      <c r="NEZ1" s="301"/>
      <c r="NFA1" s="301"/>
      <c r="NFB1" s="301"/>
      <c r="NFC1" s="301"/>
      <c r="NFD1" s="301"/>
      <c r="NFE1" s="301"/>
      <c r="NFF1" s="301"/>
      <c r="NFG1" s="301"/>
      <c r="NFH1" s="301"/>
      <c r="NFI1" s="301"/>
      <c r="NFJ1" s="301"/>
      <c r="NFK1" s="301"/>
      <c r="NFL1" s="301"/>
      <c r="NFM1" s="301"/>
      <c r="NFN1" s="301"/>
      <c r="NFO1" s="301"/>
      <c r="NFP1" s="301"/>
      <c r="NFQ1" s="301"/>
      <c r="NFR1" s="301"/>
      <c r="NFS1" s="301"/>
      <c r="NFT1" s="301"/>
      <c r="NFU1" s="301"/>
      <c r="NFV1" s="301"/>
      <c r="NFW1" s="301"/>
      <c r="NFX1" s="301"/>
      <c r="NFY1" s="301"/>
      <c r="NFZ1" s="301"/>
      <c r="NGA1" s="301"/>
      <c r="NGB1" s="301"/>
      <c r="NGC1" s="301"/>
      <c r="NGD1" s="301"/>
      <c r="NGE1" s="301"/>
      <c r="NGF1" s="301"/>
      <c r="NGG1" s="301"/>
      <c r="NGH1" s="301"/>
      <c r="NGI1" s="301"/>
      <c r="NGJ1" s="301"/>
      <c r="NGK1" s="301"/>
      <c r="NGL1" s="301"/>
      <c r="NGM1" s="301"/>
      <c r="NGN1" s="301"/>
      <c r="NGO1" s="301"/>
      <c r="NGP1" s="301"/>
      <c r="NGQ1" s="301"/>
      <c r="NGR1" s="301"/>
      <c r="NGS1" s="301"/>
      <c r="NGT1" s="301"/>
      <c r="NGU1" s="301"/>
      <c r="NGV1" s="301"/>
      <c r="NGW1" s="301"/>
      <c r="NGX1" s="301"/>
      <c r="NGY1" s="301"/>
      <c r="NGZ1" s="301"/>
      <c r="NHA1" s="301"/>
      <c r="NHB1" s="301"/>
      <c r="NHC1" s="301"/>
      <c r="NHD1" s="301"/>
      <c r="NHE1" s="301"/>
      <c r="NHF1" s="301"/>
      <c r="NHG1" s="301"/>
      <c r="NHH1" s="301"/>
      <c r="NHI1" s="301"/>
      <c r="NHJ1" s="301"/>
      <c r="NHK1" s="301"/>
      <c r="NHL1" s="301"/>
      <c r="NHM1" s="301"/>
      <c r="NHN1" s="301"/>
      <c r="NHO1" s="301"/>
      <c r="NHP1" s="301"/>
      <c r="NHQ1" s="301"/>
      <c r="NHR1" s="301"/>
      <c r="NHS1" s="301"/>
      <c r="NHT1" s="301"/>
      <c r="NHU1" s="301"/>
      <c r="NHV1" s="301"/>
      <c r="NHW1" s="301"/>
      <c r="NHX1" s="301"/>
      <c r="NHY1" s="301"/>
      <c r="NHZ1" s="301"/>
      <c r="NIA1" s="301"/>
      <c r="NIB1" s="301"/>
      <c r="NIC1" s="301"/>
      <c r="NID1" s="301"/>
      <c r="NIE1" s="301"/>
      <c r="NIF1" s="301"/>
      <c r="NIG1" s="301"/>
      <c r="NIH1" s="301"/>
      <c r="NII1" s="301"/>
      <c r="NIJ1" s="301"/>
      <c r="NIK1" s="301"/>
      <c r="NIL1" s="301"/>
      <c r="NIM1" s="301"/>
      <c r="NIN1" s="301"/>
      <c r="NIO1" s="301"/>
      <c r="NIP1" s="301"/>
      <c r="NIQ1" s="301"/>
      <c r="NIR1" s="301"/>
      <c r="NIS1" s="301"/>
      <c r="NIT1" s="301"/>
      <c r="NIU1" s="301"/>
      <c r="NIV1" s="301"/>
      <c r="NIW1" s="301"/>
      <c r="NIX1" s="301"/>
      <c r="NIY1" s="301"/>
      <c r="NIZ1" s="301"/>
      <c r="NJA1" s="301"/>
      <c r="NJB1" s="301"/>
      <c r="NJC1" s="301"/>
      <c r="NJD1" s="301"/>
      <c r="NJE1" s="301"/>
      <c r="NJF1" s="301"/>
      <c r="NJG1" s="301"/>
      <c r="NJH1" s="301"/>
      <c r="NJI1" s="301"/>
      <c r="NJJ1" s="301"/>
      <c r="NJK1" s="301"/>
      <c r="NJL1" s="301"/>
      <c r="NJM1" s="301"/>
      <c r="NJN1" s="301"/>
      <c r="NJO1" s="301"/>
      <c r="NJP1" s="301"/>
      <c r="NJQ1" s="301"/>
      <c r="NJR1" s="301"/>
      <c r="NJS1" s="301"/>
      <c r="NJT1" s="301"/>
      <c r="NJU1" s="301"/>
      <c r="NJV1" s="301"/>
      <c r="NJW1" s="301"/>
      <c r="NJX1" s="301"/>
      <c r="NJY1" s="301"/>
      <c r="NJZ1" s="301"/>
      <c r="NKA1" s="301"/>
      <c r="NKB1" s="301"/>
      <c r="NKC1" s="301"/>
      <c r="NKD1" s="301"/>
      <c r="NKE1" s="301"/>
      <c r="NKF1" s="301"/>
      <c r="NKG1" s="301"/>
      <c r="NKH1" s="301"/>
      <c r="NKI1" s="301"/>
      <c r="NKJ1" s="301"/>
      <c r="NKK1" s="301"/>
      <c r="NKL1" s="301"/>
      <c r="NKM1" s="301"/>
      <c r="NKN1" s="301"/>
      <c r="NKO1" s="301"/>
      <c r="NKP1" s="301"/>
      <c r="NKQ1" s="301"/>
      <c r="NKR1" s="301"/>
      <c r="NKS1" s="301"/>
      <c r="NKT1" s="301"/>
      <c r="NKU1" s="301"/>
      <c r="NKV1" s="301"/>
      <c r="NKW1" s="301"/>
      <c r="NKX1" s="301"/>
      <c r="NKY1" s="301"/>
      <c r="NKZ1" s="301"/>
      <c r="NLA1" s="301"/>
      <c r="NLB1" s="301"/>
      <c r="NLC1" s="301"/>
      <c r="NLD1" s="301"/>
      <c r="NLE1" s="301"/>
      <c r="NLF1" s="301"/>
      <c r="NLG1" s="301"/>
      <c r="NLH1" s="301"/>
      <c r="NLI1" s="301"/>
      <c r="NLJ1" s="301"/>
      <c r="NLK1" s="301"/>
      <c r="NLL1" s="301"/>
      <c r="NLM1" s="301"/>
      <c r="NLN1" s="301"/>
      <c r="NLO1" s="301"/>
      <c r="NLP1" s="301"/>
      <c r="NLQ1" s="301"/>
      <c r="NLR1" s="301"/>
      <c r="NLS1" s="301"/>
      <c r="NLT1" s="301"/>
      <c r="NLU1" s="301"/>
      <c r="NLV1" s="301"/>
      <c r="NLW1" s="301"/>
      <c r="NLX1" s="301"/>
      <c r="NLY1" s="301"/>
      <c r="NLZ1" s="301"/>
      <c r="NMA1" s="301"/>
      <c r="NMB1" s="301"/>
      <c r="NMC1" s="301"/>
      <c r="NMD1" s="301"/>
      <c r="NME1" s="301"/>
      <c r="NMF1" s="301"/>
      <c r="NMG1" s="301"/>
      <c r="NMH1" s="301"/>
      <c r="NMI1" s="301"/>
      <c r="NMJ1" s="301"/>
      <c r="NMK1" s="301"/>
      <c r="NML1" s="301"/>
      <c r="NMM1" s="301"/>
      <c r="NMN1" s="301"/>
      <c r="NMO1" s="301"/>
      <c r="NMP1" s="301"/>
      <c r="NMQ1" s="301"/>
      <c r="NMR1" s="301"/>
      <c r="NMS1" s="301"/>
      <c r="NMT1" s="301"/>
      <c r="NMU1" s="301"/>
      <c r="NMV1" s="301"/>
      <c r="NMW1" s="301"/>
      <c r="NMX1" s="301"/>
      <c r="NMY1" s="301"/>
      <c r="NMZ1" s="301"/>
      <c r="NNA1" s="301"/>
      <c r="NNB1" s="301"/>
      <c r="NNC1" s="301"/>
      <c r="NND1" s="301"/>
      <c r="NNE1" s="301"/>
      <c r="NNF1" s="301"/>
      <c r="NNG1" s="301"/>
      <c r="NNH1" s="301"/>
      <c r="NNI1" s="301"/>
      <c r="NNJ1" s="301"/>
      <c r="NNK1" s="301"/>
      <c r="NNL1" s="301"/>
      <c r="NNM1" s="301"/>
      <c r="NNN1" s="301"/>
      <c r="NNO1" s="301"/>
      <c r="NNP1" s="301"/>
      <c r="NNQ1" s="301"/>
      <c r="NNR1" s="301"/>
      <c r="NNS1" s="301"/>
      <c r="NNT1" s="301"/>
      <c r="NNU1" s="301"/>
      <c r="NNV1" s="301"/>
      <c r="NNW1" s="301"/>
      <c r="NNX1" s="301"/>
      <c r="NNY1" s="301"/>
      <c r="NNZ1" s="301"/>
      <c r="NOA1" s="301"/>
      <c r="NOB1" s="301"/>
      <c r="NOC1" s="301"/>
      <c r="NOD1" s="301"/>
      <c r="NOE1" s="301"/>
      <c r="NOF1" s="301"/>
      <c r="NOG1" s="301"/>
      <c r="NOH1" s="301"/>
      <c r="NOI1" s="301"/>
      <c r="NOJ1" s="301"/>
      <c r="NOK1" s="301"/>
      <c r="NOL1" s="301"/>
      <c r="NOM1" s="301"/>
      <c r="NON1" s="301"/>
      <c r="NOO1" s="301"/>
      <c r="NOP1" s="301"/>
      <c r="NOQ1" s="301"/>
      <c r="NOR1" s="301"/>
      <c r="NOS1" s="301"/>
      <c r="NOT1" s="301"/>
      <c r="NOU1" s="301"/>
      <c r="NOV1" s="301"/>
      <c r="NOW1" s="301"/>
      <c r="NOX1" s="301"/>
      <c r="NOY1" s="301"/>
      <c r="NOZ1" s="301"/>
      <c r="NPA1" s="301"/>
      <c r="NPB1" s="301"/>
      <c r="NPC1" s="301"/>
      <c r="NPD1" s="301"/>
      <c r="NPE1" s="301"/>
      <c r="NPF1" s="301"/>
      <c r="NPG1" s="301"/>
      <c r="NPH1" s="301"/>
      <c r="NPI1" s="301"/>
      <c r="NPJ1" s="301"/>
      <c r="NPK1" s="301"/>
      <c r="NPL1" s="301"/>
      <c r="NPM1" s="301"/>
      <c r="NPN1" s="301"/>
      <c r="NPO1" s="301"/>
      <c r="NPP1" s="301"/>
      <c r="NPQ1" s="301"/>
      <c r="NPR1" s="301"/>
      <c r="NPS1" s="301"/>
      <c r="NPT1" s="301"/>
      <c r="NPU1" s="301"/>
      <c r="NPV1" s="301"/>
      <c r="NPW1" s="301"/>
      <c r="NPX1" s="301"/>
      <c r="NPY1" s="301"/>
      <c r="NPZ1" s="301"/>
      <c r="NQA1" s="301"/>
      <c r="NQB1" s="301"/>
      <c r="NQC1" s="301"/>
      <c r="NQD1" s="301"/>
      <c r="NQE1" s="301"/>
      <c r="NQF1" s="301"/>
      <c r="NQG1" s="301"/>
      <c r="NQH1" s="301"/>
      <c r="NQI1" s="301"/>
      <c r="NQJ1" s="301"/>
      <c r="NQK1" s="301"/>
      <c r="NQL1" s="301"/>
      <c r="NQM1" s="301"/>
      <c r="NQN1" s="301"/>
      <c r="NQO1" s="301"/>
      <c r="NQP1" s="301"/>
      <c r="NQQ1" s="301"/>
      <c r="NQR1" s="301"/>
      <c r="NQS1" s="301"/>
      <c r="NQT1" s="301"/>
      <c r="NQU1" s="301"/>
      <c r="NQV1" s="301"/>
      <c r="NQW1" s="301"/>
      <c r="NQX1" s="301"/>
      <c r="NQY1" s="301"/>
      <c r="NQZ1" s="301"/>
      <c r="NRA1" s="301"/>
      <c r="NRB1" s="301"/>
      <c r="NRC1" s="301"/>
      <c r="NRD1" s="301"/>
      <c r="NRE1" s="301"/>
      <c r="NRF1" s="301"/>
      <c r="NRG1" s="301"/>
      <c r="NRH1" s="301"/>
      <c r="NRI1" s="301"/>
      <c r="NRJ1" s="301"/>
      <c r="NRK1" s="301"/>
      <c r="NRL1" s="301"/>
      <c r="NRM1" s="301"/>
      <c r="NRN1" s="301"/>
      <c r="NRO1" s="301"/>
      <c r="NRP1" s="301"/>
      <c r="NRQ1" s="301"/>
      <c r="NRR1" s="301"/>
      <c r="NRS1" s="301"/>
      <c r="NRT1" s="301"/>
      <c r="NRU1" s="301"/>
      <c r="NRV1" s="301"/>
      <c r="NRW1" s="301"/>
      <c r="NRX1" s="301"/>
      <c r="NRY1" s="301"/>
      <c r="NRZ1" s="301"/>
      <c r="NSA1" s="301"/>
      <c r="NSB1" s="301"/>
      <c r="NSC1" s="301"/>
      <c r="NSD1" s="301"/>
      <c r="NSE1" s="301"/>
      <c r="NSF1" s="301"/>
      <c r="NSG1" s="301"/>
      <c r="NSH1" s="301"/>
      <c r="NSI1" s="301"/>
      <c r="NSJ1" s="301"/>
      <c r="NSK1" s="301"/>
      <c r="NSL1" s="301"/>
      <c r="NSM1" s="301"/>
      <c r="NSN1" s="301"/>
      <c r="NSO1" s="301"/>
      <c r="NSP1" s="301"/>
      <c r="NSQ1" s="301"/>
      <c r="NSR1" s="301"/>
      <c r="NSS1" s="301"/>
      <c r="NST1" s="301"/>
      <c r="NSU1" s="301"/>
      <c r="NSV1" s="301"/>
      <c r="NSW1" s="301"/>
      <c r="NSX1" s="301"/>
      <c r="NSY1" s="301"/>
      <c r="NSZ1" s="301"/>
      <c r="NTA1" s="301"/>
      <c r="NTB1" s="301"/>
      <c r="NTC1" s="301"/>
      <c r="NTD1" s="301"/>
      <c r="NTE1" s="301"/>
      <c r="NTF1" s="301"/>
      <c r="NTG1" s="301"/>
      <c r="NTH1" s="301"/>
      <c r="NTI1" s="301"/>
      <c r="NTJ1" s="301"/>
      <c r="NTK1" s="301"/>
      <c r="NTL1" s="301"/>
      <c r="NTM1" s="301"/>
      <c r="NTN1" s="301"/>
      <c r="NTO1" s="301"/>
      <c r="NTP1" s="301"/>
      <c r="NTQ1" s="301"/>
      <c r="NTR1" s="301"/>
      <c r="NTS1" s="301"/>
      <c r="NTT1" s="301"/>
      <c r="NTU1" s="301"/>
      <c r="NTV1" s="301"/>
      <c r="NTW1" s="301"/>
      <c r="NTX1" s="301"/>
      <c r="NTY1" s="301"/>
      <c r="NTZ1" s="301"/>
      <c r="NUA1" s="301"/>
      <c r="NUB1" s="301"/>
      <c r="NUC1" s="301"/>
      <c r="NUD1" s="301"/>
      <c r="NUE1" s="301"/>
      <c r="NUF1" s="301"/>
      <c r="NUG1" s="301"/>
      <c r="NUH1" s="301"/>
      <c r="NUI1" s="301"/>
      <c r="NUJ1" s="301"/>
      <c r="NUK1" s="301"/>
      <c r="NUL1" s="301"/>
      <c r="NUM1" s="301"/>
      <c r="NUN1" s="301"/>
      <c r="NUO1" s="301"/>
      <c r="NUP1" s="301"/>
      <c r="NUQ1" s="301"/>
      <c r="NUR1" s="301"/>
      <c r="NUS1" s="301"/>
      <c r="NUT1" s="301"/>
      <c r="NUU1" s="301"/>
      <c r="NUV1" s="301"/>
      <c r="NUW1" s="301"/>
      <c r="NUX1" s="301"/>
      <c r="NUY1" s="301"/>
      <c r="NUZ1" s="301"/>
      <c r="NVA1" s="301"/>
      <c r="NVB1" s="301"/>
      <c r="NVC1" s="301"/>
      <c r="NVD1" s="301"/>
      <c r="NVE1" s="301"/>
      <c r="NVF1" s="301"/>
      <c r="NVG1" s="301"/>
      <c r="NVH1" s="301"/>
      <c r="NVI1" s="301"/>
      <c r="NVJ1" s="301"/>
      <c r="NVK1" s="301"/>
      <c r="NVL1" s="301"/>
      <c r="NVM1" s="301"/>
      <c r="NVN1" s="301"/>
      <c r="NVO1" s="301"/>
      <c r="NVP1" s="301"/>
      <c r="NVQ1" s="301"/>
      <c r="NVR1" s="301"/>
      <c r="NVS1" s="301"/>
      <c r="NVT1" s="301"/>
      <c r="NVU1" s="301"/>
      <c r="NVV1" s="301"/>
      <c r="NVW1" s="301"/>
      <c r="NVX1" s="301"/>
      <c r="NVY1" s="301"/>
      <c r="NVZ1" s="301"/>
      <c r="NWA1" s="301"/>
      <c r="NWB1" s="301"/>
      <c r="NWC1" s="301"/>
      <c r="NWD1" s="301"/>
      <c r="NWE1" s="301"/>
      <c r="NWF1" s="301"/>
      <c r="NWG1" s="301"/>
      <c r="NWH1" s="301"/>
      <c r="NWI1" s="301"/>
      <c r="NWJ1" s="301"/>
      <c r="NWK1" s="301"/>
      <c r="NWL1" s="301"/>
      <c r="NWM1" s="301"/>
      <c r="NWN1" s="301"/>
      <c r="NWO1" s="301"/>
      <c r="NWP1" s="301"/>
      <c r="NWQ1" s="301"/>
      <c r="NWR1" s="301"/>
      <c r="NWS1" s="301"/>
      <c r="NWT1" s="301"/>
      <c r="NWU1" s="301"/>
      <c r="NWV1" s="301"/>
      <c r="NWW1" s="301"/>
      <c r="NWX1" s="301"/>
      <c r="NWY1" s="301"/>
      <c r="NWZ1" s="301"/>
      <c r="NXA1" s="301"/>
      <c r="NXB1" s="301"/>
      <c r="NXC1" s="301"/>
      <c r="NXD1" s="301"/>
      <c r="NXE1" s="301"/>
      <c r="NXF1" s="301"/>
      <c r="NXG1" s="301"/>
      <c r="NXH1" s="301"/>
      <c r="NXI1" s="301"/>
      <c r="NXJ1" s="301"/>
      <c r="NXK1" s="301"/>
      <c r="NXL1" s="301"/>
      <c r="NXM1" s="301"/>
      <c r="NXN1" s="301"/>
      <c r="NXO1" s="301"/>
      <c r="NXP1" s="301"/>
      <c r="NXQ1" s="301"/>
      <c r="NXR1" s="301"/>
      <c r="NXS1" s="301"/>
      <c r="NXT1" s="301"/>
      <c r="NXU1" s="301"/>
      <c r="NXV1" s="301"/>
      <c r="NXW1" s="301"/>
      <c r="NXX1" s="301"/>
      <c r="NXY1" s="301"/>
      <c r="NXZ1" s="301"/>
      <c r="NYA1" s="301"/>
      <c r="NYB1" s="301"/>
      <c r="NYC1" s="301"/>
      <c r="NYD1" s="301"/>
      <c r="NYE1" s="301"/>
      <c r="NYF1" s="301"/>
      <c r="NYG1" s="301"/>
      <c r="NYH1" s="301"/>
      <c r="NYI1" s="301"/>
      <c r="NYJ1" s="301"/>
      <c r="NYK1" s="301"/>
      <c r="NYL1" s="301"/>
      <c r="NYM1" s="301"/>
      <c r="NYN1" s="301"/>
      <c r="NYO1" s="301"/>
      <c r="NYP1" s="301"/>
      <c r="NYQ1" s="301"/>
      <c r="NYR1" s="301"/>
      <c r="NYS1" s="301"/>
      <c r="NYT1" s="301"/>
      <c r="NYU1" s="301"/>
      <c r="NYV1" s="301"/>
      <c r="NYW1" s="301"/>
      <c r="NYX1" s="301"/>
      <c r="NYY1" s="301"/>
      <c r="NYZ1" s="301"/>
      <c r="NZA1" s="301"/>
      <c r="NZB1" s="301"/>
      <c r="NZC1" s="301"/>
      <c r="NZD1" s="301"/>
      <c r="NZE1" s="301"/>
      <c r="NZF1" s="301"/>
      <c r="NZG1" s="301"/>
      <c r="NZH1" s="301"/>
      <c r="NZI1" s="301"/>
      <c r="NZJ1" s="301"/>
      <c r="NZK1" s="301"/>
      <c r="NZL1" s="301"/>
      <c r="NZM1" s="301"/>
      <c r="NZN1" s="301"/>
      <c r="NZO1" s="301"/>
      <c r="NZP1" s="301"/>
      <c r="NZQ1" s="301"/>
      <c r="NZR1" s="301"/>
      <c r="NZS1" s="301"/>
      <c r="NZT1" s="301"/>
      <c r="NZU1" s="301"/>
      <c r="NZV1" s="301"/>
      <c r="NZW1" s="301"/>
      <c r="NZX1" s="301"/>
      <c r="NZY1" s="301"/>
      <c r="NZZ1" s="301"/>
      <c r="OAA1" s="301"/>
      <c r="OAB1" s="301"/>
      <c r="OAC1" s="301"/>
      <c r="OAD1" s="301"/>
      <c r="OAE1" s="301"/>
      <c r="OAF1" s="301"/>
      <c r="OAG1" s="301"/>
      <c r="OAH1" s="301"/>
      <c r="OAI1" s="301"/>
      <c r="OAJ1" s="301"/>
      <c r="OAK1" s="301"/>
      <c r="OAL1" s="301"/>
      <c r="OAM1" s="301"/>
      <c r="OAN1" s="301"/>
      <c r="OAO1" s="301"/>
      <c r="OAP1" s="301"/>
      <c r="OAQ1" s="301"/>
      <c r="OAR1" s="301"/>
      <c r="OAS1" s="301"/>
      <c r="OAT1" s="301"/>
      <c r="OAU1" s="301"/>
      <c r="OAV1" s="301"/>
      <c r="OAW1" s="301"/>
      <c r="OAX1" s="301"/>
      <c r="OAY1" s="301"/>
      <c r="OAZ1" s="301"/>
      <c r="OBA1" s="301"/>
      <c r="OBB1" s="301"/>
      <c r="OBC1" s="301"/>
      <c r="OBD1" s="301"/>
      <c r="OBE1" s="301"/>
      <c r="OBF1" s="301"/>
      <c r="OBG1" s="301"/>
      <c r="OBH1" s="301"/>
      <c r="OBI1" s="301"/>
      <c r="OBJ1" s="301"/>
      <c r="OBK1" s="301"/>
      <c r="OBL1" s="301"/>
      <c r="OBM1" s="301"/>
      <c r="OBN1" s="301"/>
      <c r="OBO1" s="301"/>
      <c r="OBP1" s="301"/>
      <c r="OBQ1" s="301"/>
      <c r="OBR1" s="301"/>
      <c r="OBS1" s="301"/>
      <c r="OBT1" s="301"/>
      <c r="OBU1" s="301"/>
      <c r="OBV1" s="301"/>
      <c r="OBW1" s="301"/>
      <c r="OBX1" s="301"/>
      <c r="OBY1" s="301"/>
      <c r="OBZ1" s="301"/>
      <c r="OCA1" s="301"/>
      <c r="OCB1" s="301"/>
      <c r="OCC1" s="301"/>
      <c r="OCD1" s="301"/>
      <c r="OCE1" s="301"/>
      <c r="OCF1" s="301"/>
      <c r="OCG1" s="301"/>
      <c r="OCH1" s="301"/>
      <c r="OCI1" s="301"/>
      <c r="OCJ1" s="301"/>
      <c r="OCK1" s="301"/>
      <c r="OCL1" s="301"/>
      <c r="OCM1" s="301"/>
      <c r="OCN1" s="301"/>
      <c r="OCO1" s="301"/>
      <c r="OCP1" s="301"/>
      <c r="OCQ1" s="301"/>
      <c r="OCR1" s="301"/>
      <c r="OCS1" s="301"/>
      <c r="OCT1" s="301"/>
      <c r="OCU1" s="301"/>
      <c r="OCV1" s="301"/>
      <c r="OCW1" s="301"/>
      <c r="OCX1" s="301"/>
      <c r="OCY1" s="301"/>
      <c r="OCZ1" s="301"/>
      <c r="ODA1" s="301"/>
      <c r="ODB1" s="301"/>
      <c r="ODC1" s="301"/>
      <c r="ODD1" s="301"/>
      <c r="ODE1" s="301"/>
      <c r="ODF1" s="301"/>
      <c r="ODG1" s="301"/>
      <c r="ODH1" s="301"/>
      <c r="ODI1" s="301"/>
      <c r="ODJ1" s="301"/>
      <c r="ODK1" s="301"/>
      <c r="ODL1" s="301"/>
      <c r="ODM1" s="301"/>
      <c r="ODN1" s="301"/>
      <c r="ODO1" s="301"/>
      <c r="ODP1" s="301"/>
      <c r="ODQ1" s="301"/>
      <c r="ODR1" s="301"/>
      <c r="ODS1" s="301"/>
      <c r="ODT1" s="301"/>
      <c r="ODU1" s="301"/>
      <c r="ODV1" s="301"/>
      <c r="ODW1" s="301"/>
      <c r="ODX1" s="301"/>
      <c r="ODY1" s="301"/>
      <c r="ODZ1" s="301"/>
      <c r="OEA1" s="301"/>
      <c r="OEB1" s="301"/>
      <c r="OEC1" s="301"/>
      <c r="OED1" s="301"/>
      <c r="OEE1" s="301"/>
      <c r="OEF1" s="301"/>
      <c r="OEG1" s="301"/>
      <c r="OEH1" s="301"/>
      <c r="OEI1" s="301"/>
      <c r="OEJ1" s="301"/>
      <c r="OEK1" s="301"/>
      <c r="OEL1" s="301"/>
      <c r="OEM1" s="301"/>
      <c r="OEN1" s="301"/>
      <c r="OEO1" s="301"/>
      <c r="OEP1" s="301"/>
      <c r="OEQ1" s="301"/>
      <c r="OER1" s="301"/>
      <c r="OES1" s="301"/>
      <c r="OET1" s="301"/>
      <c r="OEU1" s="301"/>
      <c r="OEV1" s="301"/>
      <c r="OEW1" s="301"/>
      <c r="OEX1" s="301"/>
      <c r="OEY1" s="301"/>
      <c r="OEZ1" s="301"/>
      <c r="OFA1" s="301"/>
      <c r="OFB1" s="301"/>
      <c r="OFC1" s="301"/>
      <c r="OFD1" s="301"/>
      <c r="OFE1" s="301"/>
      <c r="OFF1" s="301"/>
      <c r="OFG1" s="301"/>
      <c r="OFH1" s="301"/>
      <c r="OFI1" s="301"/>
      <c r="OFJ1" s="301"/>
      <c r="OFK1" s="301"/>
      <c r="OFL1" s="301"/>
      <c r="OFM1" s="301"/>
      <c r="OFN1" s="301"/>
      <c r="OFO1" s="301"/>
      <c r="OFP1" s="301"/>
      <c r="OFQ1" s="301"/>
      <c r="OFR1" s="301"/>
      <c r="OFS1" s="301"/>
      <c r="OFT1" s="301"/>
      <c r="OFU1" s="301"/>
      <c r="OFV1" s="301"/>
      <c r="OFW1" s="301"/>
      <c r="OFX1" s="301"/>
      <c r="OFY1" s="301"/>
      <c r="OFZ1" s="301"/>
      <c r="OGA1" s="301"/>
      <c r="OGB1" s="301"/>
      <c r="OGC1" s="301"/>
      <c r="OGD1" s="301"/>
      <c r="OGE1" s="301"/>
      <c r="OGF1" s="301"/>
      <c r="OGG1" s="301"/>
      <c r="OGH1" s="301"/>
      <c r="OGI1" s="301"/>
      <c r="OGJ1" s="301"/>
      <c r="OGK1" s="301"/>
      <c r="OGL1" s="301"/>
      <c r="OGM1" s="301"/>
      <c r="OGN1" s="301"/>
      <c r="OGO1" s="301"/>
      <c r="OGP1" s="301"/>
      <c r="OGQ1" s="301"/>
      <c r="OGR1" s="301"/>
      <c r="OGS1" s="301"/>
      <c r="OGT1" s="301"/>
      <c r="OGU1" s="301"/>
      <c r="OGV1" s="301"/>
      <c r="OGW1" s="301"/>
      <c r="OGX1" s="301"/>
      <c r="OGY1" s="301"/>
      <c r="OGZ1" s="301"/>
      <c r="OHA1" s="301"/>
      <c r="OHB1" s="301"/>
      <c r="OHC1" s="301"/>
      <c r="OHD1" s="301"/>
      <c r="OHE1" s="301"/>
      <c r="OHF1" s="301"/>
      <c r="OHG1" s="301"/>
      <c r="OHH1" s="301"/>
      <c r="OHI1" s="301"/>
      <c r="OHJ1" s="301"/>
      <c r="OHK1" s="301"/>
      <c r="OHL1" s="301"/>
      <c r="OHM1" s="301"/>
      <c r="OHN1" s="301"/>
      <c r="OHO1" s="301"/>
      <c r="OHP1" s="301"/>
      <c r="OHQ1" s="301"/>
      <c r="OHR1" s="301"/>
      <c r="OHS1" s="301"/>
      <c r="OHT1" s="301"/>
      <c r="OHU1" s="301"/>
      <c r="OHV1" s="301"/>
      <c r="OHW1" s="301"/>
      <c r="OHX1" s="301"/>
      <c r="OHY1" s="301"/>
      <c r="OHZ1" s="301"/>
      <c r="OIA1" s="301"/>
      <c r="OIB1" s="301"/>
      <c r="OIC1" s="301"/>
      <c r="OID1" s="301"/>
      <c r="OIE1" s="301"/>
      <c r="OIF1" s="301"/>
      <c r="OIG1" s="301"/>
      <c r="OIH1" s="301"/>
      <c r="OII1" s="301"/>
      <c r="OIJ1" s="301"/>
      <c r="OIK1" s="301"/>
      <c r="OIL1" s="301"/>
      <c r="OIM1" s="301"/>
      <c r="OIN1" s="301"/>
      <c r="OIO1" s="301"/>
      <c r="OIP1" s="301"/>
      <c r="OIQ1" s="301"/>
      <c r="OIR1" s="301"/>
      <c r="OIS1" s="301"/>
      <c r="OIT1" s="301"/>
      <c r="OIU1" s="301"/>
      <c r="OIV1" s="301"/>
      <c r="OIW1" s="301"/>
      <c r="OIX1" s="301"/>
      <c r="OIY1" s="301"/>
      <c r="OIZ1" s="301"/>
      <c r="OJA1" s="301"/>
      <c r="OJB1" s="301"/>
      <c r="OJC1" s="301"/>
      <c r="OJD1" s="301"/>
      <c r="OJE1" s="301"/>
      <c r="OJF1" s="301"/>
      <c r="OJG1" s="301"/>
      <c r="OJH1" s="301"/>
      <c r="OJI1" s="301"/>
      <c r="OJJ1" s="301"/>
      <c r="OJK1" s="301"/>
      <c r="OJL1" s="301"/>
      <c r="OJM1" s="301"/>
      <c r="OJN1" s="301"/>
      <c r="OJO1" s="301"/>
      <c r="OJP1" s="301"/>
      <c r="OJQ1" s="301"/>
      <c r="OJR1" s="301"/>
      <c r="OJS1" s="301"/>
      <c r="OJT1" s="301"/>
      <c r="OJU1" s="301"/>
      <c r="OJV1" s="301"/>
      <c r="OJW1" s="301"/>
      <c r="OJX1" s="301"/>
      <c r="OJY1" s="301"/>
      <c r="OJZ1" s="301"/>
      <c r="OKA1" s="301"/>
      <c r="OKB1" s="301"/>
      <c r="OKC1" s="301"/>
      <c r="OKD1" s="301"/>
      <c r="OKE1" s="301"/>
      <c r="OKF1" s="301"/>
      <c r="OKG1" s="301"/>
      <c r="OKH1" s="301"/>
      <c r="OKI1" s="301"/>
      <c r="OKJ1" s="301"/>
      <c r="OKK1" s="301"/>
      <c r="OKL1" s="301"/>
      <c r="OKM1" s="301"/>
      <c r="OKN1" s="301"/>
      <c r="OKO1" s="301"/>
      <c r="OKP1" s="301"/>
      <c r="OKQ1" s="301"/>
      <c r="OKR1" s="301"/>
      <c r="OKS1" s="301"/>
      <c r="OKT1" s="301"/>
      <c r="OKU1" s="301"/>
      <c r="OKV1" s="301"/>
      <c r="OKW1" s="301"/>
      <c r="OKX1" s="301"/>
      <c r="OKY1" s="301"/>
      <c r="OKZ1" s="301"/>
      <c r="OLA1" s="301"/>
      <c r="OLB1" s="301"/>
      <c r="OLC1" s="301"/>
      <c r="OLD1" s="301"/>
      <c r="OLE1" s="301"/>
      <c r="OLF1" s="301"/>
      <c r="OLG1" s="301"/>
      <c r="OLH1" s="301"/>
      <c r="OLI1" s="301"/>
      <c r="OLJ1" s="301"/>
      <c r="OLK1" s="301"/>
      <c r="OLL1" s="301"/>
      <c r="OLM1" s="301"/>
      <c r="OLN1" s="301"/>
      <c r="OLO1" s="301"/>
      <c r="OLP1" s="301"/>
      <c r="OLQ1" s="301"/>
      <c r="OLR1" s="301"/>
      <c r="OLS1" s="301"/>
      <c r="OLT1" s="301"/>
      <c r="OLU1" s="301"/>
      <c r="OLV1" s="301"/>
      <c r="OLW1" s="301"/>
      <c r="OLX1" s="301"/>
      <c r="OLY1" s="301"/>
      <c r="OLZ1" s="301"/>
      <c r="OMA1" s="301"/>
      <c r="OMB1" s="301"/>
      <c r="OMC1" s="301"/>
      <c r="OMD1" s="301"/>
      <c r="OME1" s="301"/>
      <c r="OMF1" s="301"/>
      <c r="OMG1" s="301"/>
      <c r="OMH1" s="301"/>
      <c r="OMI1" s="301"/>
      <c r="OMJ1" s="301"/>
      <c r="OMK1" s="301"/>
      <c r="OML1" s="301"/>
      <c r="OMM1" s="301"/>
      <c r="OMN1" s="301"/>
      <c r="OMO1" s="301"/>
      <c r="OMP1" s="301"/>
      <c r="OMQ1" s="301"/>
      <c r="OMR1" s="301"/>
      <c r="OMS1" s="301"/>
      <c r="OMT1" s="301"/>
      <c r="OMU1" s="301"/>
      <c r="OMV1" s="301"/>
      <c r="OMW1" s="301"/>
      <c r="OMX1" s="301"/>
      <c r="OMY1" s="301"/>
      <c r="OMZ1" s="301"/>
      <c r="ONA1" s="301"/>
      <c r="ONB1" s="301"/>
      <c r="ONC1" s="301"/>
      <c r="OND1" s="301"/>
      <c r="ONE1" s="301"/>
      <c r="ONF1" s="301"/>
      <c r="ONG1" s="301"/>
      <c r="ONH1" s="301"/>
      <c r="ONI1" s="301"/>
      <c r="ONJ1" s="301"/>
      <c r="ONK1" s="301"/>
      <c r="ONL1" s="301"/>
      <c r="ONM1" s="301"/>
      <c r="ONN1" s="301"/>
      <c r="ONO1" s="301"/>
      <c r="ONP1" s="301"/>
      <c r="ONQ1" s="301"/>
      <c r="ONR1" s="301"/>
      <c r="ONS1" s="301"/>
      <c r="ONT1" s="301"/>
      <c r="ONU1" s="301"/>
      <c r="ONV1" s="301"/>
      <c r="ONW1" s="301"/>
      <c r="ONX1" s="301"/>
      <c r="ONY1" s="301"/>
      <c r="ONZ1" s="301"/>
      <c r="OOA1" s="301"/>
      <c r="OOB1" s="301"/>
      <c r="OOC1" s="301"/>
      <c r="OOD1" s="301"/>
      <c r="OOE1" s="301"/>
      <c r="OOF1" s="301"/>
      <c r="OOG1" s="301"/>
      <c r="OOH1" s="301"/>
      <c r="OOI1" s="301"/>
      <c r="OOJ1" s="301"/>
      <c r="OOK1" s="301"/>
      <c r="OOL1" s="301"/>
      <c r="OOM1" s="301"/>
      <c r="OON1" s="301"/>
      <c r="OOO1" s="301"/>
      <c r="OOP1" s="301"/>
      <c r="OOQ1" s="301"/>
      <c r="OOR1" s="301"/>
      <c r="OOS1" s="301"/>
      <c r="OOT1" s="301"/>
      <c r="OOU1" s="301"/>
      <c r="OOV1" s="301"/>
      <c r="OOW1" s="301"/>
      <c r="OOX1" s="301"/>
      <c r="OOY1" s="301"/>
      <c r="OOZ1" s="301"/>
      <c r="OPA1" s="301"/>
      <c r="OPB1" s="301"/>
      <c r="OPC1" s="301"/>
      <c r="OPD1" s="301"/>
      <c r="OPE1" s="301"/>
      <c r="OPF1" s="301"/>
      <c r="OPG1" s="301"/>
      <c r="OPH1" s="301"/>
      <c r="OPI1" s="301"/>
      <c r="OPJ1" s="301"/>
      <c r="OPK1" s="301"/>
      <c r="OPL1" s="301"/>
      <c r="OPM1" s="301"/>
      <c r="OPN1" s="301"/>
      <c r="OPO1" s="301"/>
      <c r="OPP1" s="301"/>
      <c r="OPQ1" s="301"/>
      <c r="OPR1" s="301"/>
      <c r="OPS1" s="301"/>
      <c r="OPT1" s="301"/>
      <c r="OPU1" s="301"/>
      <c r="OPV1" s="301"/>
      <c r="OPW1" s="301"/>
      <c r="OPX1" s="301"/>
      <c r="OPY1" s="301"/>
      <c r="OPZ1" s="301"/>
      <c r="OQA1" s="301"/>
      <c r="OQB1" s="301"/>
      <c r="OQC1" s="301"/>
      <c r="OQD1" s="301"/>
      <c r="OQE1" s="301"/>
      <c r="OQF1" s="301"/>
      <c r="OQG1" s="301"/>
      <c r="OQH1" s="301"/>
      <c r="OQI1" s="301"/>
      <c r="OQJ1" s="301"/>
      <c r="OQK1" s="301"/>
      <c r="OQL1" s="301"/>
      <c r="OQM1" s="301"/>
      <c r="OQN1" s="301"/>
      <c r="OQO1" s="301"/>
      <c r="OQP1" s="301"/>
      <c r="OQQ1" s="301"/>
      <c r="OQR1" s="301"/>
      <c r="OQS1" s="301"/>
      <c r="OQT1" s="301"/>
      <c r="OQU1" s="301"/>
      <c r="OQV1" s="301"/>
      <c r="OQW1" s="301"/>
      <c r="OQX1" s="301"/>
      <c r="OQY1" s="301"/>
      <c r="OQZ1" s="301"/>
      <c r="ORA1" s="301"/>
      <c r="ORB1" s="301"/>
      <c r="ORC1" s="301"/>
      <c r="ORD1" s="301"/>
      <c r="ORE1" s="301"/>
      <c r="ORF1" s="301"/>
      <c r="ORG1" s="301"/>
      <c r="ORH1" s="301"/>
      <c r="ORI1" s="301"/>
      <c r="ORJ1" s="301"/>
      <c r="ORK1" s="301"/>
      <c r="ORL1" s="301"/>
      <c r="ORM1" s="301"/>
      <c r="ORN1" s="301"/>
      <c r="ORO1" s="301"/>
      <c r="ORP1" s="301"/>
      <c r="ORQ1" s="301"/>
      <c r="ORR1" s="301"/>
      <c r="ORS1" s="301"/>
      <c r="ORT1" s="301"/>
      <c r="ORU1" s="301"/>
      <c r="ORV1" s="301"/>
      <c r="ORW1" s="301"/>
      <c r="ORX1" s="301"/>
      <c r="ORY1" s="301"/>
      <c r="ORZ1" s="301"/>
      <c r="OSA1" s="301"/>
      <c r="OSB1" s="301"/>
      <c r="OSC1" s="301"/>
      <c r="OSD1" s="301"/>
      <c r="OSE1" s="301"/>
      <c r="OSF1" s="301"/>
      <c r="OSG1" s="301"/>
      <c r="OSH1" s="301"/>
      <c r="OSI1" s="301"/>
      <c r="OSJ1" s="301"/>
      <c r="OSK1" s="301"/>
      <c r="OSL1" s="301"/>
      <c r="OSM1" s="301"/>
      <c r="OSN1" s="301"/>
      <c r="OSO1" s="301"/>
      <c r="OSP1" s="301"/>
      <c r="OSQ1" s="301"/>
      <c r="OSR1" s="301"/>
      <c r="OSS1" s="301"/>
      <c r="OST1" s="301"/>
      <c r="OSU1" s="301"/>
      <c r="OSV1" s="301"/>
      <c r="OSW1" s="301"/>
      <c r="OSX1" s="301"/>
      <c r="OSY1" s="301"/>
      <c r="OSZ1" s="301"/>
      <c r="OTA1" s="301"/>
      <c r="OTB1" s="301"/>
      <c r="OTC1" s="301"/>
      <c r="OTD1" s="301"/>
      <c r="OTE1" s="301"/>
      <c r="OTF1" s="301"/>
      <c r="OTG1" s="301"/>
      <c r="OTH1" s="301"/>
      <c r="OTI1" s="301"/>
      <c r="OTJ1" s="301"/>
      <c r="OTK1" s="301"/>
      <c r="OTL1" s="301"/>
      <c r="OTM1" s="301"/>
      <c r="OTN1" s="301"/>
      <c r="OTO1" s="301"/>
      <c r="OTP1" s="301"/>
      <c r="OTQ1" s="301"/>
      <c r="OTR1" s="301"/>
      <c r="OTS1" s="301"/>
      <c r="OTT1" s="301"/>
      <c r="OTU1" s="301"/>
      <c r="OTV1" s="301"/>
      <c r="OTW1" s="301"/>
      <c r="OTX1" s="301"/>
      <c r="OTY1" s="301"/>
      <c r="OTZ1" s="301"/>
      <c r="OUA1" s="301"/>
      <c r="OUB1" s="301"/>
      <c r="OUC1" s="301"/>
      <c r="OUD1" s="301"/>
      <c r="OUE1" s="301"/>
      <c r="OUF1" s="301"/>
      <c r="OUG1" s="301"/>
      <c r="OUH1" s="301"/>
      <c r="OUI1" s="301"/>
      <c r="OUJ1" s="301"/>
      <c r="OUK1" s="301"/>
      <c r="OUL1" s="301"/>
      <c r="OUM1" s="301"/>
      <c r="OUN1" s="301"/>
      <c r="OUO1" s="301"/>
      <c r="OUP1" s="301"/>
      <c r="OUQ1" s="301"/>
      <c r="OUR1" s="301"/>
      <c r="OUS1" s="301"/>
      <c r="OUT1" s="301"/>
      <c r="OUU1" s="301"/>
      <c r="OUV1" s="301"/>
      <c r="OUW1" s="301"/>
      <c r="OUX1" s="301"/>
      <c r="OUY1" s="301"/>
      <c r="OUZ1" s="301"/>
      <c r="OVA1" s="301"/>
      <c r="OVB1" s="301"/>
      <c r="OVC1" s="301"/>
      <c r="OVD1" s="301"/>
      <c r="OVE1" s="301"/>
      <c r="OVF1" s="301"/>
      <c r="OVG1" s="301"/>
      <c r="OVH1" s="301"/>
      <c r="OVI1" s="301"/>
      <c r="OVJ1" s="301"/>
      <c r="OVK1" s="301"/>
      <c r="OVL1" s="301"/>
      <c r="OVM1" s="301"/>
      <c r="OVN1" s="301"/>
      <c r="OVO1" s="301"/>
      <c r="OVP1" s="301"/>
      <c r="OVQ1" s="301"/>
      <c r="OVR1" s="301"/>
      <c r="OVS1" s="301"/>
      <c r="OVT1" s="301"/>
      <c r="OVU1" s="301"/>
      <c r="OVV1" s="301"/>
      <c r="OVW1" s="301"/>
      <c r="OVX1" s="301"/>
      <c r="OVY1" s="301"/>
      <c r="OVZ1" s="301"/>
      <c r="OWA1" s="301"/>
      <c r="OWB1" s="301"/>
      <c r="OWC1" s="301"/>
      <c r="OWD1" s="301"/>
      <c r="OWE1" s="301"/>
      <c r="OWF1" s="301"/>
      <c r="OWG1" s="301"/>
      <c r="OWH1" s="301"/>
      <c r="OWI1" s="301"/>
      <c r="OWJ1" s="301"/>
      <c r="OWK1" s="301"/>
      <c r="OWL1" s="301"/>
      <c r="OWM1" s="301"/>
      <c r="OWN1" s="301"/>
      <c r="OWO1" s="301"/>
      <c r="OWP1" s="301"/>
      <c r="OWQ1" s="301"/>
      <c r="OWR1" s="301"/>
      <c r="OWS1" s="301"/>
      <c r="OWT1" s="301"/>
      <c r="OWU1" s="301"/>
      <c r="OWV1" s="301"/>
      <c r="OWW1" s="301"/>
      <c r="OWX1" s="301"/>
      <c r="OWY1" s="301"/>
      <c r="OWZ1" s="301"/>
      <c r="OXA1" s="301"/>
      <c r="OXB1" s="301"/>
      <c r="OXC1" s="301"/>
      <c r="OXD1" s="301"/>
      <c r="OXE1" s="301"/>
      <c r="OXF1" s="301"/>
      <c r="OXG1" s="301"/>
      <c r="OXH1" s="301"/>
      <c r="OXI1" s="301"/>
      <c r="OXJ1" s="301"/>
      <c r="OXK1" s="301"/>
      <c r="OXL1" s="301"/>
      <c r="OXM1" s="301"/>
      <c r="OXN1" s="301"/>
      <c r="OXO1" s="301"/>
      <c r="OXP1" s="301"/>
      <c r="OXQ1" s="301"/>
      <c r="OXR1" s="301"/>
      <c r="OXS1" s="301"/>
      <c r="OXT1" s="301"/>
      <c r="OXU1" s="301"/>
      <c r="OXV1" s="301"/>
      <c r="OXW1" s="301"/>
      <c r="OXX1" s="301"/>
      <c r="OXY1" s="301"/>
      <c r="OXZ1" s="301"/>
      <c r="OYA1" s="301"/>
      <c r="OYB1" s="301"/>
      <c r="OYC1" s="301"/>
      <c r="OYD1" s="301"/>
      <c r="OYE1" s="301"/>
      <c r="OYF1" s="301"/>
      <c r="OYG1" s="301"/>
      <c r="OYH1" s="301"/>
      <c r="OYI1" s="301"/>
      <c r="OYJ1" s="301"/>
      <c r="OYK1" s="301"/>
      <c r="OYL1" s="301"/>
      <c r="OYM1" s="301"/>
      <c r="OYN1" s="301"/>
      <c r="OYO1" s="301"/>
      <c r="OYP1" s="301"/>
      <c r="OYQ1" s="301"/>
      <c r="OYR1" s="301"/>
      <c r="OYS1" s="301"/>
      <c r="OYT1" s="301"/>
      <c r="OYU1" s="301"/>
      <c r="OYV1" s="301"/>
      <c r="OYW1" s="301"/>
      <c r="OYX1" s="301"/>
      <c r="OYY1" s="301"/>
      <c r="OYZ1" s="301"/>
      <c r="OZA1" s="301"/>
      <c r="OZB1" s="301"/>
      <c r="OZC1" s="301"/>
      <c r="OZD1" s="301"/>
      <c r="OZE1" s="301"/>
      <c r="OZF1" s="301"/>
      <c r="OZG1" s="301"/>
      <c r="OZH1" s="301"/>
      <c r="OZI1" s="301"/>
      <c r="OZJ1" s="301"/>
      <c r="OZK1" s="301"/>
      <c r="OZL1" s="301"/>
      <c r="OZM1" s="301"/>
      <c r="OZN1" s="301"/>
      <c r="OZO1" s="301"/>
      <c r="OZP1" s="301"/>
      <c r="OZQ1" s="301"/>
      <c r="OZR1" s="301"/>
      <c r="OZS1" s="301"/>
      <c r="OZT1" s="301"/>
      <c r="OZU1" s="301"/>
      <c r="OZV1" s="301"/>
      <c r="OZW1" s="301"/>
      <c r="OZX1" s="301"/>
      <c r="OZY1" s="301"/>
      <c r="OZZ1" s="301"/>
      <c r="PAA1" s="301"/>
      <c r="PAB1" s="301"/>
      <c r="PAC1" s="301"/>
      <c r="PAD1" s="301"/>
      <c r="PAE1" s="301"/>
      <c r="PAF1" s="301"/>
      <c r="PAG1" s="301"/>
      <c r="PAH1" s="301"/>
      <c r="PAI1" s="301"/>
      <c r="PAJ1" s="301"/>
      <c r="PAK1" s="301"/>
      <c r="PAL1" s="301"/>
      <c r="PAM1" s="301"/>
      <c r="PAN1" s="301"/>
      <c r="PAO1" s="301"/>
      <c r="PAP1" s="301"/>
      <c r="PAQ1" s="301"/>
      <c r="PAR1" s="301"/>
      <c r="PAS1" s="301"/>
      <c r="PAT1" s="301"/>
      <c r="PAU1" s="301"/>
      <c r="PAV1" s="301"/>
      <c r="PAW1" s="301"/>
      <c r="PAX1" s="301"/>
      <c r="PAY1" s="301"/>
      <c r="PAZ1" s="301"/>
      <c r="PBA1" s="301"/>
      <c r="PBB1" s="301"/>
      <c r="PBC1" s="301"/>
      <c r="PBD1" s="301"/>
      <c r="PBE1" s="301"/>
      <c r="PBF1" s="301"/>
      <c r="PBG1" s="301"/>
      <c r="PBH1" s="301"/>
      <c r="PBI1" s="301"/>
      <c r="PBJ1" s="301"/>
      <c r="PBK1" s="301"/>
      <c r="PBL1" s="301"/>
      <c r="PBM1" s="301"/>
      <c r="PBN1" s="301"/>
      <c r="PBO1" s="301"/>
      <c r="PBP1" s="301"/>
      <c r="PBQ1" s="301"/>
      <c r="PBR1" s="301"/>
      <c r="PBS1" s="301"/>
      <c r="PBT1" s="301"/>
      <c r="PBU1" s="301"/>
      <c r="PBV1" s="301"/>
      <c r="PBW1" s="301"/>
      <c r="PBX1" s="301"/>
      <c r="PBY1" s="301"/>
      <c r="PBZ1" s="301"/>
      <c r="PCA1" s="301"/>
      <c r="PCB1" s="301"/>
      <c r="PCC1" s="301"/>
      <c r="PCD1" s="301"/>
      <c r="PCE1" s="301"/>
      <c r="PCF1" s="301"/>
      <c r="PCG1" s="301"/>
      <c r="PCH1" s="301"/>
      <c r="PCI1" s="301"/>
      <c r="PCJ1" s="301"/>
      <c r="PCK1" s="301"/>
      <c r="PCL1" s="301"/>
      <c r="PCM1" s="301"/>
      <c r="PCN1" s="301"/>
      <c r="PCO1" s="301"/>
      <c r="PCP1" s="301"/>
      <c r="PCQ1" s="301"/>
      <c r="PCR1" s="301"/>
      <c r="PCS1" s="301"/>
      <c r="PCT1" s="301"/>
      <c r="PCU1" s="301"/>
      <c r="PCV1" s="301"/>
      <c r="PCW1" s="301"/>
      <c r="PCX1" s="301"/>
      <c r="PCY1" s="301"/>
      <c r="PCZ1" s="301"/>
      <c r="PDA1" s="301"/>
      <c r="PDB1" s="301"/>
      <c r="PDC1" s="301"/>
      <c r="PDD1" s="301"/>
      <c r="PDE1" s="301"/>
      <c r="PDF1" s="301"/>
      <c r="PDG1" s="301"/>
      <c r="PDH1" s="301"/>
      <c r="PDI1" s="301"/>
      <c r="PDJ1" s="301"/>
      <c r="PDK1" s="301"/>
      <c r="PDL1" s="301"/>
      <c r="PDM1" s="301"/>
      <c r="PDN1" s="301"/>
      <c r="PDO1" s="301"/>
      <c r="PDP1" s="301"/>
      <c r="PDQ1" s="301"/>
      <c r="PDR1" s="301"/>
      <c r="PDS1" s="301"/>
      <c r="PDT1" s="301"/>
      <c r="PDU1" s="301"/>
      <c r="PDV1" s="301"/>
      <c r="PDW1" s="301"/>
      <c r="PDX1" s="301"/>
      <c r="PDY1" s="301"/>
      <c r="PDZ1" s="301"/>
      <c r="PEA1" s="301"/>
      <c r="PEB1" s="301"/>
      <c r="PEC1" s="301"/>
      <c r="PED1" s="301"/>
      <c r="PEE1" s="301"/>
      <c r="PEF1" s="301"/>
      <c r="PEG1" s="301"/>
      <c r="PEH1" s="301"/>
      <c r="PEI1" s="301"/>
      <c r="PEJ1" s="301"/>
      <c r="PEK1" s="301"/>
      <c r="PEL1" s="301"/>
      <c r="PEM1" s="301"/>
      <c r="PEN1" s="301"/>
      <c r="PEO1" s="301"/>
      <c r="PEP1" s="301"/>
      <c r="PEQ1" s="301"/>
      <c r="PER1" s="301"/>
      <c r="PES1" s="301"/>
      <c r="PET1" s="301"/>
      <c r="PEU1" s="301"/>
      <c r="PEV1" s="301"/>
      <c r="PEW1" s="301"/>
      <c r="PEX1" s="301"/>
      <c r="PEY1" s="301"/>
      <c r="PEZ1" s="301"/>
      <c r="PFA1" s="301"/>
      <c r="PFB1" s="301"/>
      <c r="PFC1" s="301"/>
      <c r="PFD1" s="301"/>
      <c r="PFE1" s="301"/>
      <c r="PFF1" s="301"/>
      <c r="PFG1" s="301"/>
      <c r="PFH1" s="301"/>
      <c r="PFI1" s="301"/>
      <c r="PFJ1" s="301"/>
      <c r="PFK1" s="301"/>
      <c r="PFL1" s="301"/>
      <c r="PFM1" s="301"/>
      <c r="PFN1" s="301"/>
      <c r="PFO1" s="301"/>
      <c r="PFP1" s="301"/>
      <c r="PFQ1" s="301"/>
      <c r="PFR1" s="301"/>
      <c r="PFS1" s="301"/>
      <c r="PFT1" s="301"/>
      <c r="PFU1" s="301"/>
      <c r="PFV1" s="301"/>
      <c r="PFW1" s="301"/>
      <c r="PFX1" s="301"/>
      <c r="PFY1" s="301"/>
      <c r="PFZ1" s="301"/>
      <c r="PGA1" s="301"/>
      <c r="PGB1" s="301"/>
      <c r="PGC1" s="301"/>
      <c r="PGD1" s="301"/>
      <c r="PGE1" s="301"/>
      <c r="PGF1" s="301"/>
      <c r="PGG1" s="301"/>
      <c r="PGH1" s="301"/>
      <c r="PGI1" s="301"/>
      <c r="PGJ1" s="301"/>
      <c r="PGK1" s="301"/>
      <c r="PGL1" s="301"/>
      <c r="PGM1" s="301"/>
      <c r="PGN1" s="301"/>
      <c r="PGO1" s="301"/>
      <c r="PGP1" s="301"/>
      <c r="PGQ1" s="301"/>
      <c r="PGR1" s="301"/>
      <c r="PGS1" s="301"/>
      <c r="PGT1" s="301"/>
      <c r="PGU1" s="301"/>
      <c r="PGV1" s="301"/>
      <c r="PGW1" s="301"/>
      <c r="PGX1" s="301"/>
      <c r="PGY1" s="301"/>
      <c r="PGZ1" s="301"/>
      <c r="PHA1" s="301"/>
      <c r="PHB1" s="301"/>
      <c r="PHC1" s="301"/>
      <c r="PHD1" s="301"/>
      <c r="PHE1" s="301"/>
      <c r="PHF1" s="301"/>
      <c r="PHG1" s="301"/>
      <c r="PHH1" s="301"/>
      <c r="PHI1" s="301"/>
      <c r="PHJ1" s="301"/>
      <c r="PHK1" s="301"/>
      <c r="PHL1" s="301"/>
      <c r="PHM1" s="301"/>
      <c r="PHN1" s="301"/>
      <c r="PHO1" s="301"/>
      <c r="PHP1" s="301"/>
      <c r="PHQ1" s="301"/>
      <c r="PHR1" s="301"/>
      <c r="PHS1" s="301"/>
      <c r="PHT1" s="301"/>
      <c r="PHU1" s="301"/>
      <c r="PHV1" s="301"/>
      <c r="PHW1" s="301"/>
      <c r="PHX1" s="301"/>
      <c r="PHY1" s="301"/>
      <c r="PHZ1" s="301"/>
      <c r="PIA1" s="301"/>
      <c r="PIB1" s="301"/>
      <c r="PIC1" s="301"/>
      <c r="PID1" s="301"/>
      <c r="PIE1" s="301"/>
      <c r="PIF1" s="301"/>
      <c r="PIG1" s="301"/>
      <c r="PIH1" s="301"/>
      <c r="PII1" s="301"/>
      <c r="PIJ1" s="301"/>
      <c r="PIK1" s="301"/>
      <c r="PIL1" s="301"/>
      <c r="PIM1" s="301"/>
      <c r="PIN1" s="301"/>
      <c r="PIO1" s="301"/>
      <c r="PIP1" s="301"/>
      <c r="PIQ1" s="301"/>
      <c r="PIR1" s="301"/>
      <c r="PIS1" s="301"/>
      <c r="PIT1" s="301"/>
      <c r="PIU1" s="301"/>
      <c r="PIV1" s="301"/>
      <c r="PIW1" s="301"/>
      <c r="PIX1" s="301"/>
      <c r="PIY1" s="301"/>
      <c r="PIZ1" s="301"/>
      <c r="PJA1" s="301"/>
      <c r="PJB1" s="301"/>
      <c r="PJC1" s="301"/>
      <c r="PJD1" s="301"/>
      <c r="PJE1" s="301"/>
      <c r="PJF1" s="301"/>
      <c r="PJG1" s="301"/>
      <c r="PJH1" s="301"/>
      <c r="PJI1" s="301"/>
      <c r="PJJ1" s="301"/>
      <c r="PJK1" s="301"/>
      <c r="PJL1" s="301"/>
      <c r="PJM1" s="301"/>
      <c r="PJN1" s="301"/>
      <c r="PJO1" s="301"/>
      <c r="PJP1" s="301"/>
      <c r="PJQ1" s="301"/>
      <c r="PJR1" s="301"/>
      <c r="PJS1" s="301"/>
      <c r="PJT1" s="301"/>
      <c r="PJU1" s="301"/>
      <c r="PJV1" s="301"/>
      <c r="PJW1" s="301"/>
      <c r="PJX1" s="301"/>
      <c r="PJY1" s="301"/>
      <c r="PJZ1" s="301"/>
      <c r="PKA1" s="301"/>
      <c r="PKB1" s="301"/>
      <c r="PKC1" s="301"/>
      <c r="PKD1" s="301"/>
      <c r="PKE1" s="301"/>
      <c r="PKF1" s="301"/>
      <c r="PKG1" s="301"/>
      <c r="PKH1" s="301"/>
      <c r="PKI1" s="301"/>
      <c r="PKJ1" s="301"/>
      <c r="PKK1" s="301"/>
      <c r="PKL1" s="301"/>
      <c r="PKM1" s="301"/>
      <c r="PKN1" s="301"/>
      <c r="PKO1" s="301"/>
      <c r="PKP1" s="301"/>
      <c r="PKQ1" s="301"/>
      <c r="PKR1" s="301"/>
      <c r="PKS1" s="301"/>
      <c r="PKT1" s="301"/>
      <c r="PKU1" s="301"/>
      <c r="PKV1" s="301"/>
      <c r="PKW1" s="301"/>
      <c r="PKX1" s="301"/>
      <c r="PKY1" s="301"/>
      <c r="PKZ1" s="301"/>
      <c r="PLA1" s="301"/>
      <c r="PLB1" s="301"/>
      <c r="PLC1" s="301"/>
      <c r="PLD1" s="301"/>
      <c r="PLE1" s="301"/>
      <c r="PLF1" s="301"/>
      <c r="PLG1" s="301"/>
      <c r="PLH1" s="301"/>
      <c r="PLI1" s="301"/>
      <c r="PLJ1" s="301"/>
      <c r="PLK1" s="301"/>
      <c r="PLL1" s="301"/>
      <c r="PLM1" s="301"/>
      <c r="PLN1" s="301"/>
      <c r="PLO1" s="301"/>
      <c r="PLP1" s="301"/>
      <c r="PLQ1" s="301"/>
      <c r="PLR1" s="301"/>
      <c r="PLS1" s="301"/>
      <c r="PLT1" s="301"/>
      <c r="PLU1" s="301"/>
      <c r="PLV1" s="301"/>
      <c r="PLW1" s="301"/>
      <c r="PLX1" s="301"/>
      <c r="PLY1" s="301"/>
      <c r="PLZ1" s="301"/>
      <c r="PMA1" s="301"/>
      <c r="PMB1" s="301"/>
      <c r="PMC1" s="301"/>
      <c r="PMD1" s="301"/>
      <c r="PME1" s="301"/>
      <c r="PMF1" s="301"/>
      <c r="PMG1" s="301"/>
      <c r="PMH1" s="301"/>
      <c r="PMI1" s="301"/>
      <c r="PMJ1" s="301"/>
      <c r="PMK1" s="301"/>
      <c r="PML1" s="301"/>
      <c r="PMM1" s="301"/>
      <c r="PMN1" s="301"/>
      <c r="PMO1" s="301"/>
      <c r="PMP1" s="301"/>
      <c r="PMQ1" s="301"/>
      <c r="PMR1" s="301"/>
      <c r="PMS1" s="301"/>
      <c r="PMT1" s="301"/>
      <c r="PMU1" s="301"/>
      <c r="PMV1" s="301"/>
      <c r="PMW1" s="301"/>
      <c r="PMX1" s="301"/>
      <c r="PMY1" s="301"/>
      <c r="PMZ1" s="301"/>
      <c r="PNA1" s="301"/>
      <c r="PNB1" s="301"/>
      <c r="PNC1" s="301"/>
      <c r="PND1" s="301"/>
      <c r="PNE1" s="301"/>
      <c r="PNF1" s="301"/>
      <c r="PNG1" s="301"/>
      <c r="PNH1" s="301"/>
      <c r="PNI1" s="301"/>
      <c r="PNJ1" s="301"/>
      <c r="PNK1" s="301"/>
      <c r="PNL1" s="301"/>
      <c r="PNM1" s="301"/>
      <c r="PNN1" s="301"/>
      <c r="PNO1" s="301"/>
      <c r="PNP1" s="301"/>
      <c r="PNQ1" s="301"/>
      <c r="PNR1" s="301"/>
      <c r="PNS1" s="301"/>
      <c r="PNT1" s="301"/>
      <c r="PNU1" s="301"/>
      <c r="PNV1" s="301"/>
      <c r="PNW1" s="301"/>
      <c r="PNX1" s="301"/>
      <c r="PNY1" s="301"/>
      <c r="PNZ1" s="301"/>
      <c r="POA1" s="301"/>
      <c r="POB1" s="301"/>
      <c r="POC1" s="301"/>
      <c r="POD1" s="301"/>
      <c r="POE1" s="301"/>
      <c r="POF1" s="301"/>
      <c r="POG1" s="301"/>
      <c r="POH1" s="301"/>
      <c r="POI1" s="301"/>
      <c r="POJ1" s="301"/>
      <c r="POK1" s="301"/>
      <c r="POL1" s="301"/>
      <c r="POM1" s="301"/>
      <c r="PON1" s="301"/>
      <c r="POO1" s="301"/>
      <c r="POP1" s="301"/>
      <c r="POQ1" s="301"/>
      <c r="POR1" s="301"/>
      <c r="POS1" s="301"/>
      <c r="POT1" s="301"/>
      <c r="POU1" s="301"/>
      <c r="POV1" s="301"/>
      <c r="POW1" s="301"/>
      <c r="POX1" s="301"/>
      <c r="POY1" s="301"/>
      <c r="POZ1" s="301"/>
      <c r="PPA1" s="301"/>
      <c r="PPB1" s="301"/>
      <c r="PPC1" s="301"/>
      <c r="PPD1" s="301"/>
      <c r="PPE1" s="301"/>
      <c r="PPF1" s="301"/>
      <c r="PPG1" s="301"/>
      <c r="PPH1" s="301"/>
      <c r="PPI1" s="301"/>
      <c r="PPJ1" s="301"/>
      <c r="PPK1" s="301"/>
      <c r="PPL1" s="301"/>
      <c r="PPM1" s="301"/>
      <c r="PPN1" s="301"/>
      <c r="PPO1" s="301"/>
      <c r="PPP1" s="301"/>
      <c r="PPQ1" s="301"/>
      <c r="PPR1" s="301"/>
      <c r="PPS1" s="301"/>
      <c r="PPT1" s="301"/>
      <c r="PPU1" s="301"/>
      <c r="PPV1" s="301"/>
      <c r="PPW1" s="301"/>
      <c r="PPX1" s="301"/>
      <c r="PPY1" s="301"/>
      <c r="PPZ1" s="301"/>
      <c r="PQA1" s="301"/>
      <c r="PQB1" s="301"/>
      <c r="PQC1" s="301"/>
      <c r="PQD1" s="301"/>
      <c r="PQE1" s="301"/>
      <c r="PQF1" s="301"/>
      <c r="PQG1" s="301"/>
      <c r="PQH1" s="301"/>
      <c r="PQI1" s="301"/>
      <c r="PQJ1" s="301"/>
      <c r="PQK1" s="301"/>
      <c r="PQL1" s="301"/>
      <c r="PQM1" s="301"/>
      <c r="PQN1" s="301"/>
      <c r="PQO1" s="301"/>
      <c r="PQP1" s="301"/>
      <c r="PQQ1" s="301"/>
      <c r="PQR1" s="301"/>
      <c r="PQS1" s="301"/>
      <c r="PQT1" s="301"/>
      <c r="PQU1" s="301"/>
      <c r="PQV1" s="301"/>
      <c r="PQW1" s="301"/>
      <c r="PQX1" s="301"/>
      <c r="PQY1" s="301"/>
      <c r="PQZ1" s="301"/>
      <c r="PRA1" s="301"/>
      <c r="PRB1" s="301"/>
      <c r="PRC1" s="301"/>
      <c r="PRD1" s="301"/>
      <c r="PRE1" s="301"/>
      <c r="PRF1" s="301"/>
      <c r="PRG1" s="301"/>
      <c r="PRH1" s="301"/>
      <c r="PRI1" s="301"/>
      <c r="PRJ1" s="301"/>
      <c r="PRK1" s="301"/>
      <c r="PRL1" s="301"/>
      <c r="PRM1" s="301"/>
      <c r="PRN1" s="301"/>
      <c r="PRO1" s="301"/>
      <c r="PRP1" s="301"/>
      <c r="PRQ1" s="301"/>
      <c r="PRR1" s="301"/>
      <c r="PRS1" s="301"/>
      <c r="PRT1" s="301"/>
      <c r="PRU1" s="301"/>
      <c r="PRV1" s="301"/>
      <c r="PRW1" s="301"/>
      <c r="PRX1" s="301"/>
      <c r="PRY1" s="301"/>
      <c r="PRZ1" s="301"/>
      <c r="PSA1" s="301"/>
      <c r="PSB1" s="301"/>
      <c r="PSC1" s="301"/>
      <c r="PSD1" s="301"/>
      <c r="PSE1" s="301"/>
      <c r="PSF1" s="301"/>
      <c r="PSG1" s="301"/>
      <c r="PSH1" s="301"/>
      <c r="PSI1" s="301"/>
      <c r="PSJ1" s="301"/>
      <c r="PSK1" s="301"/>
      <c r="PSL1" s="301"/>
      <c r="PSM1" s="301"/>
      <c r="PSN1" s="301"/>
      <c r="PSO1" s="301"/>
      <c r="PSP1" s="301"/>
      <c r="PSQ1" s="301"/>
      <c r="PSR1" s="301"/>
      <c r="PSS1" s="301"/>
      <c r="PST1" s="301"/>
      <c r="PSU1" s="301"/>
      <c r="PSV1" s="301"/>
      <c r="PSW1" s="301"/>
      <c r="PSX1" s="301"/>
      <c r="PSY1" s="301"/>
      <c r="PSZ1" s="301"/>
      <c r="PTA1" s="301"/>
      <c r="PTB1" s="301"/>
      <c r="PTC1" s="301"/>
      <c r="PTD1" s="301"/>
      <c r="PTE1" s="301"/>
      <c r="PTF1" s="301"/>
      <c r="PTG1" s="301"/>
      <c r="PTH1" s="301"/>
      <c r="PTI1" s="301"/>
      <c r="PTJ1" s="301"/>
      <c r="PTK1" s="301"/>
      <c r="PTL1" s="301"/>
      <c r="PTM1" s="301"/>
      <c r="PTN1" s="301"/>
      <c r="PTO1" s="301"/>
      <c r="PTP1" s="301"/>
      <c r="PTQ1" s="301"/>
      <c r="PTR1" s="301"/>
      <c r="PTS1" s="301"/>
      <c r="PTT1" s="301"/>
      <c r="PTU1" s="301"/>
      <c r="PTV1" s="301"/>
      <c r="PTW1" s="301"/>
      <c r="PTX1" s="301"/>
      <c r="PTY1" s="301"/>
      <c r="PTZ1" s="301"/>
      <c r="PUA1" s="301"/>
      <c r="PUB1" s="301"/>
      <c r="PUC1" s="301"/>
      <c r="PUD1" s="301"/>
      <c r="PUE1" s="301"/>
      <c r="PUF1" s="301"/>
      <c r="PUG1" s="301"/>
      <c r="PUH1" s="301"/>
      <c r="PUI1" s="301"/>
      <c r="PUJ1" s="301"/>
      <c r="PUK1" s="301"/>
      <c r="PUL1" s="301"/>
      <c r="PUM1" s="301"/>
      <c r="PUN1" s="301"/>
      <c r="PUO1" s="301"/>
      <c r="PUP1" s="301"/>
      <c r="PUQ1" s="301"/>
      <c r="PUR1" s="301"/>
      <c r="PUS1" s="301"/>
      <c r="PUT1" s="301"/>
      <c r="PUU1" s="301"/>
      <c r="PUV1" s="301"/>
      <c r="PUW1" s="301"/>
      <c r="PUX1" s="301"/>
      <c r="PUY1" s="301"/>
      <c r="PUZ1" s="301"/>
      <c r="PVA1" s="301"/>
      <c r="PVB1" s="301"/>
      <c r="PVC1" s="301"/>
      <c r="PVD1" s="301"/>
      <c r="PVE1" s="301"/>
      <c r="PVF1" s="301"/>
      <c r="PVG1" s="301"/>
      <c r="PVH1" s="301"/>
      <c r="PVI1" s="301"/>
      <c r="PVJ1" s="301"/>
      <c r="PVK1" s="301"/>
      <c r="PVL1" s="301"/>
      <c r="PVM1" s="301"/>
      <c r="PVN1" s="301"/>
      <c r="PVO1" s="301"/>
      <c r="PVP1" s="301"/>
      <c r="PVQ1" s="301"/>
      <c r="PVR1" s="301"/>
      <c r="PVS1" s="301"/>
      <c r="PVT1" s="301"/>
      <c r="PVU1" s="301"/>
      <c r="PVV1" s="301"/>
      <c r="PVW1" s="301"/>
      <c r="PVX1" s="301"/>
      <c r="PVY1" s="301"/>
      <c r="PVZ1" s="301"/>
      <c r="PWA1" s="301"/>
      <c r="PWB1" s="301"/>
      <c r="PWC1" s="301"/>
      <c r="PWD1" s="301"/>
      <c r="PWE1" s="301"/>
      <c r="PWF1" s="301"/>
      <c r="PWG1" s="301"/>
      <c r="PWH1" s="301"/>
      <c r="PWI1" s="301"/>
      <c r="PWJ1" s="301"/>
      <c r="PWK1" s="301"/>
      <c r="PWL1" s="301"/>
      <c r="PWM1" s="301"/>
      <c r="PWN1" s="301"/>
      <c r="PWO1" s="301"/>
      <c r="PWP1" s="301"/>
      <c r="PWQ1" s="301"/>
      <c r="PWR1" s="301"/>
      <c r="PWS1" s="301"/>
      <c r="PWT1" s="301"/>
      <c r="PWU1" s="301"/>
      <c r="PWV1" s="301"/>
      <c r="PWW1" s="301"/>
      <c r="PWX1" s="301"/>
      <c r="PWY1" s="301"/>
      <c r="PWZ1" s="301"/>
      <c r="PXA1" s="301"/>
      <c r="PXB1" s="301"/>
      <c r="PXC1" s="301"/>
      <c r="PXD1" s="301"/>
      <c r="PXE1" s="301"/>
      <c r="PXF1" s="301"/>
      <c r="PXG1" s="301"/>
      <c r="PXH1" s="301"/>
      <c r="PXI1" s="301"/>
      <c r="PXJ1" s="301"/>
      <c r="PXK1" s="301"/>
      <c r="PXL1" s="301"/>
      <c r="PXM1" s="301"/>
      <c r="PXN1" s="301"/>
      <c r="PXO1" s="301"/>
      <c r="PXP1" s="301"/>
      <c r="PXQ1" s="301"/>
      <c r="PXR1" s="301"/>
      <c r="PXS1" s="301"/>
      <c r="PXT1" s="301"/>
      <c r="PXU1" s="301"/>
      <c r="PXV1" s="301"/>
      <c r="PXW1" s="301"/>
      <c r="PXX1" s="301"/>
      <c r="PXY1" s="301"/>
      <c r="PXZ1" s="301"/>
      <c r="PYA1" s="301"/>
      <c r="PYB1" s="301"/>
      <c r="PYC1" s="301"/>
      <c r="PYD1" s="301"/>
      <c r="PYE1" s="301"/>
      <c r="PYF1" s="301"/>
      <c r="PYG1" s="301"/>
      <c r="PYH1" s="301"/>
      <c r="PYI1" s="301"/>
      <c r="PYJ1" s="301"/>
      <c r="PYK1" s="301"/>
      <c r="PYL1" s="301"/>
      <c r="PYM1" s="301"/>
      <c r="PYN1" s="301"/>
      <c r="PYO1" s="301"/>
      <c r="PYP1" s="301"/>
      <c r="PYQ1" s="301"/>
      <c r="PYR1" s="301"/>
      <c r="PYS1" s="301"/>
      <c r="PYT1" s="301"/>
      <c r="PYU1" s="301"/>
      <c r="PYV1" s="301"/>
      <c r="PYW1" s="301"/>
      <c r="PYX1" s="301"/>
      <c r="PYY1" s="301"/>
      <c r="PYZ1" s="301"/>
      <c r="PZA1" s="301"/>
      <c r="PZB1" s="301"/>
      <c r="PZC1" s="301"/>
      <c r="PZD1" s="301"/>
      <c r="PZE1" s="301"/>
      <c r="PZF1" s="301"/>
      <c r="PZG1" s="301"/>
      <c r="PZH1" s="301"/>
      <c r="PZI1" s="301"/>
      <c r="PZJ1" s="301"/>
      <c r="PZK1" s="301"/>
      <c r="PZL1" s="301"/>
      <c r="PZM1" s="301"/>
      <c r="PZN1" s="301"/>
      <c r="PZO1" s="301"/>
      <c r="PZP1" s="301"/>
      <c r="PZQ1" s="301"/>
      <c r="PZR1" s="301"/>
      <c r="PZS1" s="301"/>
      <c r="PZT1" s="301"/>
      <c r="PZU1" s="301"/>
      <c r="PZV1" s="301"/>
      <c r="PZW1" s="301"/>
      <c r="PZX1" s="301"/>
      <c r="PZY1" s="301"/>
      <c r="PZZ1" s="301"/>
      <c r="QAA1" s="301"/>
      <c r="QAB1" s="301"/>
      <c r="QAC1" s="301"/>
      <c r="QAD1" s="301"/>
      <c r="QAE1" s="301"/>
      <c r="QAF1" s="301"/>
      <c r="QAG1" s="301"/>
      <c r="QAH1" s="301"/>
      <c r="QAI1" s="301"/>
      <c r="QAJ1" s="301"/>
      <c r="QAK1" s="301"/>
      <c r="QAL1" s="301"/>
      <c r="QAM1" s="301"/>
      <c r="QAN1" s="301"/>
      <c r="QAO1" s="301"/>
      <c r="QAP1" s="301"/>
      <c r="QAQ1" s="301"/>
      <c r="QAR1" s="301"/>
      <c r="QAS1" s="301"/>
      <c r="QAT1" s="301"/>
      <c r="QAU1" s="301"/>
      <c r="QAV1" s="301"/>
      <c r="QAW1" s="301"/>
      <c r="QAX1" s="301"/>
      <c r="QAY1" s="301"/>
      <c r="QAZ1" s="301"/>
      <c r="QBA1" s="301"/>
      <c r="QBB1" s="301"/>
      <c r="QBC1" s="301"/>
      <c r="QBD1" s="301"/>
      <c r="QBE1" s="301"/>
      <c r="QBF1" s="301"/>
      <c r="QBG1" s="301"/>
      <c r="QBH1" s="301"/>
      <c r="QBI1" s="301"/>
      <c r="QBJ1" s="301"/>
      <c r="QBK1" s="301"/>
      <c r="QBL1" s="301"/>
      <c r="QBM1" s="301"/>
      <c r="QBN1" s="301"/>
      <c r="QBO1" s="301"/>
      <c r="QBP1" s="301"/>
      <c r="QBQ1" s="301"/>
      <c r="QBR1" s="301"/>
      <c r="QBS1" s="301"/>
      <c r="QBT1" s="301"/>
      <c r="QBU1" s="301"/>
      <c r="QBV1" s="301"/>
      <c r="QBW1" s="301"/>
      <c r="QBX1" s="301"/>
      <c r="QBY1" s="301"/>
      <c r="QBZ1" s="301"/>
      <c r="QCA1" s="301"/>
      <c r="QCB1" s="301"/>
      <c r="QCC1" s="301"/>
      <c r="QCD1" s="301"/>
      <c r="QCE1" s="301"/>
      <c r="QCF1" s="301"/>
      <c r="QCG1" s="301"/>
      <c r="QCH1" s="301"/>
      <c r="QCI1" s="301"/>
      <c r="QCJ1" s="301"/>
      <c r="QCK1" s="301"/>
      <c r="QCL1" s="301"/>
      <c r="QCM1" s="301"/>
      <c r="QCN1" s="301"/>
      <c r="QCO1" s="301"/>
      <c r="QCP1" s="301"/>
      <c r="QCQ1" s="301"/>
      <c r="QCR1" s="301"/>
      <c r="QCS1" s="301"/>
      <c r="QCT1" s="301"/>
      <c r="QCU1" s="301"/>
      <c r="QCV1" s="301"/>
      <c r="QCW1" s="301"/>
      <c r="QCX1" s="301"/>
      <c r="QCY1" s="301"/>
      <c r="QCZ1" s="301"/>
      <c r="QDA1" s="301"/>
      <c r="QDB1" s="301"/>
      <c r="QDC1" s="301"/>
      <c r="QDD1" s="301"/>
      <c r="QDE1" s="301"/>
      <c r="QDF1" s="301"/>
      <c r="QDG1" s="301"/>
      <c r="QDH1" s="301"/>
      <c r="QDI1" s="301"/>
      <c r="QDJ1" s="301"/>
      <c r="QDK1" s="301"/>
      <c r="QDL1" s="301"/>
      <c r="QDM1" s="301"/>
      <c r="QDN1" s="301"/>
      <c r="QDO1" s="301"/>
      <c r="QDP1" s="301"/>
      <c r="QDQ1" s="301"/>
      <c r="QDR1" s="301"/>
      <c r="QDS1" s="301"/>
      <c r="QDT1" s="301"/>
      <c r="QDU1" s="301"/>
      <c r="QDV1" s="301"/>
      <c r="QDW1" s="301"/>
      <c r="QDX1" s="301"/>
      <c r="QDY1" s="301"/>
      <c r="QDZ1" s="301"/>
      <c r="QEA1" s="301"/>
      <c r="QEB1" s="301"/>
      <c r="QEC1" s="301"/>
      <c r="QED1" s="301"/>
      <c r="QEE1" s="301"/>
      <c r="QEF1" s="301"/>
      <c r="QEG1" s="301"/>
      <c r="QEH1" s="301"/>
      <c r="QEI1" s="301"/>
      <c r="QEJ1" s="301"/>
      <c r="QEK1" s="301"/>
      <c r="QEL1" s="301"/>
      <c r="QEM1" s="301"/>
      <c r="QEN1" s="301"/>
      <c r="QEO1" s="301"/>
      <c r="QEP1" s="301"/>
      <c r="QEQ1" s="301"/>
      <c r="QER1" s="301"/>
      <c r="QES1" s="301"/>
      <c r="QET1" s="301"/>
      <c r="QEU1" s="301"/>
      <c r="QEV1" s="301"/>
      <c r="QEW1" s="301"/>
      <c r="QEX1" s="301"/>
      <c r="QEY1" s="301"/>
      <c r="QEZ1" s="301"/>
      <c r="QFA1" s="301"/>
      <c r="QFB1" s="301"/>
      <c r="QFC1" s="301"/>
      <c r="QFD1" s="301"/>
      <c r="QFE1" s="301"/>
      <c r="QFF1" s="301"/>
      <c r="QFG1" s="301"/>
      <c r="QFH1" s="301"/>
      <c r="QFI1" s="301"/>
      <c r="QFJ1" s="301"/>
      <c r="QFK1" s="301"/>
      <c r="QFL1" s="301"/>
      <c r="QFM1" s="301"/>
      <c r="QFN1" s="301"/>
      <c r="QFO1" s="301"/>
      <c r="QFP1" s="301"/>
      <c r="QFQ1" s="301"/>
      <c r="QFR1" s="301"/>
      <c r="QFS1" s="301"/>
      <c r="QFT1" s="301"/>
      <c r="QFU1" s="301"/>
      <c r="QFV1" s="301"/>
      <c r="QFW1" s="301"/>
      <c r="QFX1" s="301"/>
      <c r="QFY1" s="301"/>
      <c r="QFZ1" s="301"/>
      <c r="QGA1" s="301"/>
      <c r="QGB1" s="301"/>
      <c r="QGC1" s="301"/>
      <c r="QGD1" s="301"/>
      <c r="QGE1" s="301"/>
      <c r="QGF1" s="301"/>
      <c r="QGG1" s="301"/>
      <c r="QGH1" s="301"/>
      <c r="QGI1" s="301"/>
      <c r="QGJ1" s="301"/>
      <c r="QGK1" s="301"/>
      <c r="QGL1" s="301"/>
      <c r="QGM1" s="301"/>
      <c r="QGN1" s="301"/>
      <c r="QGO1" s="301"/>
      <c r="QGP1" s="301"/>
      <c r="QGQ1" s="301"/>
      <c r="QGR1" s="301"/>
      <c r="QGS1" s="301"/>
      <c r="QGT1" s="301"/>
      <c r="QGU1" s="301"/>
      <c r="QGV1" s="301"/>
      <c r="QGW1" s="301"/>
      <c r="QGX1" s="301"/>
      <c r="QGY1" s="301"/>
      <c r="QGZ1" s="301"/>
      <c r="QHA1" s="301"/>
      <c r="QHB1" s="301"/>
      <c r="QHC1" s="301"/>
      <c r="QHD1" s="301"/>
      <c r="QHE1" s="301"/>
      <c r="QHF1" s="301"/>
      <c r="QHG1" s="301"/>
      <c r="QHH1" s="301"/>
      <c r="QHI1" s="301"/>
      <c r="QHJ1" s="301"/>
      <c r="QHK1" s="301"/>
      <c r="QHL1" s="301"/>
      <c r="QHM1" s="301"/>
      <c r="QHN1" s="301"/>
      <c r="QHO1" s="301"/>
      <c r="QHP1" s="301"/>
      <c r="QHQ1" s="301"/>
      <c r="QHR1" s="301"/>
      <c r="QHS1" s="301"/>
      <c r="QHT1" s="301"/>
      <c r="QHU1" s="301"/>
      <c r="QHV1" s="301"/>
      <c r="QHW1" s="301"/>
      <c r="QHX1" s="301"/>
      <c r="QHY1" s="301"/>
      <c r="QHZ1" s="301"/>
      <c r="QIA1" s="301"/>
      <c r="QIB1" s="301"/>
      <c r="QIC1" s="301"/>
      <c r="QID1" s="301"/>
      <c r="QIE1" s="301"/>
      <c r="QIF1" s="301"/>
      <c r="QIG1" s="301"/>
      <c r="QIH1" s="301"/>
      <c r="QII1" s="301"/>
      <c r="QIJ1" s="301"/>
      <c r="QIK1" s="301"/>
      <c r="QIL1" s="301"/>
      <c r="QIM1" s="301"/>
      <c r="QIN1" s="301"/>
      <c r="QIO1" s="301"/>
      <c r="QIP1" s="301"/>
      <c r="QIQ1" s="301"/>
      <c r="QIR1" s="301"/>
      <c r="QIS1" s="301"/>
      <c r="QIT1" s="301"/>
      <c r="QIU1" s="301"/>
      <c r="QIV1" s="301"/>
      <c r="QIW1" s="301"/>
      <c r="QIX1" s="301"/>
      <c r="QIY1" s="301"/>
      <c r="QIZ1" s="301"/>
      <c r="QJA1" s="301"/>
      <c r="QJB1" s="301"/>
      <c r="QJC1" s="301"/>
      <c r="QJD1" s="301"/>
      <c r="QJE1" s="301"/>
      <c r="QJF1" s="301"/>
      <c r="QJG1" s="301"/>
      <c r="QJH1" s="301"/>
      <c r="QJI1" s="301"/>
      <c r="QJJ1" s="301"/>
      <c r="QJK1" s="301"/>
      <c r="QJL1" s="301"/>
      <c r="QJM1" s="301"/>
      <c r="QJN1" s="301"/>
      <c r="QJO1" s="301"/>
      <c r="QJP1" s="301"/>
      <c r="QJQ1" s="301"/>
      <c r="QJR1" s="301"/>
      <c r="QJS1" s="301"/>
      <c r="QJT1" s="301"/>
      <c r="QJU1" s="301"/>
      <c r="QJV1" s="301"/>
      <c r="QJW1" s="301"/>
      <c r="QJX1" s="301"/>
      <c r="QJY1" s="301"/>
      <c r="QJZ1" s="301"/>
      <c r="QKA1" s="301"/>
      <c r="QKB1" s="301"/>
      <c r="QKC1" s="301"/>
      <c r="QKD1" s="301"/>
      <c r="QKE1" s="301"/>
      <c r="QKF1" s="301"/>
      <c r="QKG1" s="301"/>
      <c r="QKH1" s="301"/>
      <c r="QKI1" s="301"/>
      <c r="QKJ1" s="301"/>
      <c r="QKK1" s="301"/>
      <c r="QKL1" s="301"/>
      <c r="QKM1" s="301"/>
      <c r="QKN1" s="301"/>
      <c r="QKO1" s="301"/>
      <c r="QKP1" s="301"/>
      <c r="QKQ1" s="301"/>
      <c r="QKR1" s="301"/>
      <c r="QKS1" s="301"/>
      <c r="QKT1" s="301"/>
      <c r="QKU1" s="301"/>
      <c r="QKV1" s="301"/>
      <c r="QKW1" s="301"/>
      <c r="QKX1" s="301"/>
      <c r="QKY1" s="301"/>
      <c r="QKZ1" s="301"/>
      <c r="QLA1" s="301"/>
      <c r="QLB1" s="301"/>
      <c r="QLC1" s="301"/>
      <c r="QLD1" s="301"/>
      <c r="QLE1" s="301"/>
      <c r="QLF1" s="301"/>
      <c r="QLG1" s="301"/>
      <c r="QLH1" s="301"/>
      <c r="QLI1" s="301"/>
      <c r="QLJ1" s="301"/>
      <c r="QLK1" s="301"/>
      <c r="QLL1" s="301"/>
      <c r="QLM1" s="301"/>
      <c r="QLN1" s="301"/>
      <c r="QLO1" s="301"/>
      <c r="QLP1" s="301"/>
      <c r="QLQ1" s="301"/>
      <c r="QLR1" s="301"/>
      <c r="QLS1" s="301"/>
      <c r="QLT1" s="301"/>
      <c r="QLU1" s="301"/>
      <c r="QLV1" s="301"/>
      <c r="QLW1" s="301"/>
      <c r="QLX1" s="301"/>
      <c r="QLY1" s="301"/>
      <c r="QLZ1" s="301"/>
      <c r="QMA1" s="301"/>
      <c r="QMB1" s="301"/>
      <c r="QMC1" s="301"/>
      <c r="QMD1" s="301"/>
      <c r="QME1" s="301"/>
      <c r="QMF1" s="301"/>
      <c r="QMG1" s="301"/>
      <c r="QMH1" s="301"/>
      <c r="QMI1" s="301"/>
      <c r="QMJ1" s="301"/>
      <c r="QMK1" s="301"/>
      <c r="QML1" s="301"/>
      <c r="QMM1" s="301"/>
      <c r="QMN1" s="301"/>
      <c r="QMO1" s="301"/>
      <c r="QMP1" s="301"/>
      <c r="QMQ1" s="301"/>
      <c r="QMR1" s="301"/>
      <c r="QMS1" s="301"/>
      <c r="QMT1" s="301"/>
      <c r="QMU1" s="301"/>
      <c r="QMV1" s="301"/>
      <c r="QMW1" s="301"/>
      <c r="QMX1" s="301"/>
      <c r="QMY1" s="301"/>
      <c r="QMZ1" s="301"/>
      <c r="QNA1" s="301"/>
      <c r="QNB1" s="301"/>
      <c r="QNC1" s="301"/>
      <c r="QND1" s="301"/>
      <c r="QNE1" s="301"/>
      <c r="QNF1" s="301"/>
      <c r="QNG1" s="301"/>
      <c r="QNH1" s="301"/>
      <c r="QNI1" s="301"/>
      <c r="QNJ1" s="301"/>
      <c r="QNK1" s="301"/>
      <c r="QNL1" s="301"/>
      <c r="QNM1" s="301"/>
      <c r="QNN1" s="301"/>
      <c r="QNO1" s="301"/>
      <c r="QNP1" s="301"/>
      <c r="QNQ1" s="301"/>
      <c r="QNR1" s="301"/>
      <c r="QNS1" s="301"/>
      <c r="QNT1" s="301"/>
      <c r="QNU1" s="301"/>
      <c r="QNV1" s="301"/>
      <c r="QNW1" s="301"/>
      <c r="QNX1" s="301"/>
      <c r="QNY1" s="301"/>
      <c r="QNZ1" s="301"/>
      <c r="QOA1" s="301"/>
      <c r="QOB1" s="301"/>
      <c r="QOC1" s="301"/>
      <c r="QOD1" s="301"/>
      <c r="QOE1" s="301"/>
      <c r="QOF1" s="301"/>
      <c r="QOG1" s="301"/>
      <c r="QOH1" s="301"/>
      <c r="QOI1" s="301"/>
      <c r="QOJ1" s="301"/>
      <c r="QOK1" s="301"/>
      <c r="QOL1" s="301"/>
      <c r="QOM1" s="301"/>
      <c r="QON1" s="301"/>
      <c r="QOO1" s="301"/>
      <c r="QOP1" s="301"/>
      <c r="QOQ1" s="301"/>
      <c r="QOR1" s="301"/>
      <c r="QOS1" s="301"/>
      <c r="QOT1" s="301"/>
      <c r="QOU1" s="301"/>
      <c r="QOV1" s="301"/>
      <c r="QOW1" s="301"/>
      <c r="QOX1" s="301"/>
      <c r="QOY1" s="301"/>
      <c r="QOZ1" s="301"/>
      <c r="QPA1" s="301"/>
      <c r="QPB1" s="301"/>
      <c r="QPC1" s="301"/>
      <c r="QPD1" s="301"/>
      <c r="QPE1" s="301"/>
      <c r="QPF1" s="301"/>
      <c r="QPG1" s="301"/>
      <c r="QPH1" s="301"/>
      <c r="QPI1" s="301"/>
      <c r="QPJ1" s="301"/>
      <c r="QPK1" s="301"/>
      <c r="QPL1" s="301"/>
      <c r="QPM1" s="301"/>
      <c r="QPN1" s="301"/>
      <c r="QPO1" s="301"/>
      <c r="QPP1" s="301"/>
      <c r="QPQ1" s="301"/>
      <c r="QPR1" s="301"/>
      <c r="QPS1" s="301"/>
      <c r="QPT1" s="301"/>
      <c r="QPU1" s="301"/>
      <c r="QPV1" s="301"/>
      <c r="QPW1" s="301"/>
      <c r="QPX1" s="301"/>
      <c r="QPY1" s="301"/>
      <c r="QPZ1" s="301"/>
      <c r="QQA1" s="301"/>
      <c r="QQB1" s="301"/>
      <c r="QQC1" s="301"/>
      <c r="QQD1" s="301"/>
      <c r="QQE1" s="301"/>
      <c r="QQF1" s="301"/>
      <c r="QQG1" s="301"/>
      <c r="QQH1" s="301"/>
      <c r="QQI1" s="301"/>
      <c r="QQJ1" s="301"/>
      <c r="QQK1" s="301"/>
      <c r="QQL1" s="301"/>
      <c r="QQM1" s="301"/>
      <c r="QQN1" s="301"/>
      <c r="QQO1" s="301"/>
      <c r="QQP1" s="301"/>
      <c r="QQQ1" s="301"/>
      <c r="QQR1" s="301"/>
      <c r="QQS1" s="301"/>
      <c r="QQT1" s="301"/>
      <c r="QQU1" s="301"/>
      <c r="QQV1" s="301"/>
      <c r="QQW1" s="301"/>
      <c r="QQX1" s="301"/>
      <c r="QQY1" s="301"/>
      <c r="QQZ1" s="301"/>
      <c r="QRA1" s="301"/>
      <c r="QRB1" s="301"/>
      <c r="QRC1" s="301"/>
      <c r="QRD1" s="301"/>
      <c r="QRE1" s="301"/>
      <c r="QRF1" s="301"/>
      <c r="QRG1" s="301"/>
      <c r="QRH1" s="301"/>
      <c r="QRI1" s="301"/>
      <c r="QRJ1" s="301"/>
      <c r="QRK1" s="301"/>
      <c r="QRL1" s="301"/>
      <c r="QRM1" s="301"/>
      <c r="QRN1" s="301"/>
      <c r="QRO1" s="301"/>
      <c r="QRP1" s="301"/>
      <c r="QRQ1" s="301"/>
      <c r="QRR1" s="301"/>
      <c r="QRS1" s="301"/>
      <c r="QRT1" s="301"/>
      <c r="QRU1" s="301"/>
      <c r="QRV1" s="301"/>
      <c r="QRW1" s="301"/>
      <c r="QRX1" s="301"/>
      <c r="QRY1" s="301"/>
      <c r="QRZ1" s="301"/>
      <c r="QSA1" s="301"/>
      <c r="QSB1" s="301"/>
      <c r="QSC1" s="301"/>
      <c r="QSD1" s="301"/>
      <c r="QSE1" s="301"/>
      <c r="QSF1" s="301"/>
      <c r="QSG1" s="301"/>
      <c r="QSH1" s="301"/>
      <c r="QSI1" s="301"/>
      <c r="QSJ1" s="301"/>
      <c r="QSK1" s="301"/>
      <c r="QSL1" s="301"/>
      <c r="QSM1" s="301"/>
      <c r="QSN1" s="301"/>
      <c r="QSO1" s="301"/>
      <c r="QSP1" s="301"/>
      <c r="QSQ1" s="301"/>
      <c r="QSR1" s="301"/>
      <c r="QSS1" s="301"/>
      <c r="QST1" s="301"/>
      <c r="QSU1" s="301"/>
      <c r="QSV1" s="301"/>
      <c r="QSW1" s="301"/>
      <c r="QSX1" s="301"/>
      <c r="QSY1" s="301"/>
      <c r="QSZ1" s="301"/>
      <c r="QTA1" s="301"/>
      <c r="QTB1" s="301"/>
      <c r="QTC1" s="301"/>
      <c r="QTD1" s="301"/>
      <c r="QTE1" s="301"/>
      <c r="QTF1" s="301"/>
      <c r="QTG1" s="301"/>
      <c r="QTH1" s="301"/>
      <c r="QTI1" s="301"/>
      <c r="QTJ1" s="301"/>
      <c r="QTK1" s="301"/>
      <c r="QTL1" s="301"/>
      <c r="QTM1" s="301"/>
      <c r="QTN1" s="301"/>
      <c r="QTO1" s="301"/>
      <c r="QTP1" s="301"/>
      <c r="QTQ1" s="301"/>
      <c r="QTR1" s="301"/>
      <c r="QTS1" s="301"/>
      <c r="QTT1" s="301"/>
      <c r="QTU1" s="301"/>
      <c r="QTV1" s="301"/>
      <c r="QTW1" s="301"/>
      <c r="QTX1" s="301"/>
      <c r="QTY1" s="301"/>
      <c r="QTZ1" s="301"/>
      <c r="QUA1" s="301"/>
      <c r="QUB1" s="301"/>
      <c r="QUC1" s="301"/>
      <c r="QUD1" s="301"/>
      <c r="QUE1" s="301"/>
      <c r="QUF1" s="301"/>
      <c r="QUG1" s="301"/>
      <c r="QUH1" s="301"/>
      <c r="QUI1" s="301"/>
      <c r="QUJ1" s="301"/>
      <c r="QUK1" s="301"/>
      <c r="QUL1" s="301"/>
      <c r="QUM1" s="301"/>
      <c r="QUN1" s="301"/>
      <c r="QUO1" s="301"/>
      <c r="QUP1" s="301"/>
      <c r="QUQ1" s="301"/>
      <c r="QUR1" s="301"/>
      <c r="QUS1" s="301"/>
      <c r="QUT1" s="301"/>
      <c r="QUU1" s="301"/>
      <c r="QUV1" s="301"/>
      <c r="QUW1" s="301"/>
      <c r="QUX1" s="301"/>
      <c r="QUY1" s="301"/>
      <c r="QUZ1" s="301"/>
      <c r="QVA1" s="301"/>
      <c r="QVB1" s="301"/>
      <c r="QVC1" s="301"/>
      <c r="QVD1" s="301"/>
      <c r="QVE1" s="301"/>
      <c r="QVF1" s="301"/>
      <c r="QVG1" s="301"/>
      <c r="QVH1" s="301"/>
      <c r="QVI1" s="301"/>
      <c r="QVJ1" s="301"/>
      <c r="QVK1" s="301"/>
      <c r="QVL1" s="301"/>
      <c r="QVM1" s="301"/>
      <c r="QVN1" s="301"/>
      <c r="QVO1" s="301"/>
      <c r="QVP1" s="301"/>
      <c r="QVQ1" s="301"/>
      <c r="QVR1" s="301"/>
      <c r="QVS1" s="301"/>
      <c r="QVT1" s="301"/>
      <c r="QVU1" s="301"/>
      <c r="QVV1" s="301"/>
      <c r="QVW1" s="301"/>
      <c r="QVX1" s="301"/>
      <c r="QVY1" s="301"/>
      <c r="QVZ1" s="301"/>
      <c r="QWA1" s="301"/>
      <c r="QWB1" s="301"/>
      <c r="QWC1" s="301"/>
      <c r="QWD1" s="301"/>
      <c r="QWE1" s="301"/>
      <c r="QWF1" s="301"/>
      <c r="QWG1" s="301"/>
      <c r="QWH1" s="301"/>
      <c r="QWI1" s="301"/>
      <c r="QWJ1" s="301"/>
      <c r="QWK1" s="301"/>
      <c r="QWL1" s="301"/>
      <c r="QWM1" s="301"/>
      <c r="QWN1" s="301"/>
      <c r="QWO1" s="301"/>
      <c r="QWP1" s="301"/>
      <c r="QWQ1" s="301"/>
      <c r="QWR1" s="301"/>
      <c r="QWS1" s="301"/>
      <c r="QWT1" s="301"/>
      <c r="QWU1" s="301"/>
      <c r="QWV1" s="301"/>
      <c r="QWW1" s="301"/>
      <c r="QWX1" s="301"/>
      <c r="QWY1" s="301"/>
      <c r="QWZ1" s="301"/>
      <c r="QXA1" s="301"/>
      <c r="QXB1" s="301"/>
      <c r="QXC1" s="301"/>
      <c r="QXD1" s="301"/>
      <c r="QXE1" s="301"/>
      <c r="QXF1" s="301"/>
      <c r="QXG1" s="301"/>
      <c r="QXH1" s="301"/>
      <c r="QXI1" s="301"/>
      <c r="QXJ1" s="301"/>
      <c r="QXK1" s="301"/>
      <c r="QXL1" s="301"/>
      <c r="QXM1" s="301"/>
      <c r="QXN1" s="301"/>
      <c r="QXO1" s="301"/>
      <c r="QXP1" s="301"/>
      <c r="QXQ1" s="301"/>
      <c r="QXR1" s="301"/>
      <c r="QXS1" s="301"/>
      <c r="QXT1" s="301"/>
      <c r="QXU1" s="301"/>
      <c r="QXV1" s="301"/>
      <c r="QXW1" s="301"/>
      <c r="QXX1" s="301"/>
      <c r="QXY1" s="301"/>
      <c r="QXZ1" s="301"/>
      <c r="QYA1" s="301"/>
      <c r="QYB1" s="301"/>
      <c r="QYC1" s="301"/>
      <c r="QYD1" s="301"/>
      <c r="QYE1" s="301"/>
      <c r="QYF1" s="301"/>
      <c r="QYG1" s="301"/>
      <c r="QYH1" s="301"/>
      <c r="QYI1" s="301"/>
      <c r="QYJ1" s="301"/>
      <c r="QYK1" s="301"/>
      <c r="QYL1" s="301"/>
      <c r="QYM1" s="301"/>
      <c r="QYN1" s="301"/>
      <c r="QYO1" s="301"/>
      <c r="QYP1" s="301"/>
      <c r="QYQ1" s="301"/>
      <c r="QYR1" s="301"/>
      <c r="QYS1" s="301"/>
      <c r="QYT1" s="301"/>
      <c r="QYU1" s="301"/>
      <c r="QYV1" s="301"/>
      <c r="QYW1" s="301"/>
      <c r="QYX1" s="301"/>
      <c r="QYY1" s="301"/>
      <c r="QYZ1" s="301"/>
      <c r="QZA1" s="301"/>
      <c r="QZB1" s="301"/>
      <c r="QZC1" s="301"/>
      <c r="QZD1" s="301"/>
      <c r="QZE1" s="301"/>
      <c r="QZF1" s="301"/>
      <c r="QZG1" s="301"/>
      <c r="QZH1" s="301"/>
      <c r="QZI1" s="301"/>
      <c r="QZJ1" s="301"/>
      <c r="QZK1" s="301"/>
      <c r="QZL1" s="301"/>
      <c r="QZM1" s="301"/>
      <c r="QZN1" s="301"/>
      <c r="QZO1" s="301"/>
      <c r="QZP1" s="301"/>
      <c r="QZQ1" s="301"/>
      <c r="QZR1" s="301"/>
      <c r="QZS1" s="301"/>
      <c r="QZT1" s="301"/>
      <c r="QZU1" s="301"/>
      <c r="QZV1" s="301"/>
      <c r="QZW1" s="301"/>
      <c r="QZX1" s="301"/>
      <c r="QZY1" s="301"/>
      <c r="QZZ1" s="301"/>
      <c r="RAA1" s="301"/>
      <c r="RAB1" s="301"/>
      <c r="RAC1" s="301"/>
      <c r="RAD1" s="301"/>
      <c r="RAE1" s="301"/>
      <c r="RAF1" s="301"/>
      <c r="RAG1" s="301"/>
      <c r="RAH1" s="301"/>
      <c r="RAI1" s="301"/>
      <c r="RAJ1" s="301"/>
      <c r="RAK1" s="301"/>
      <c r="RAL1" s="301"/>
      <c r="RAM1" s="301"/>
      <c r="RAN1" s="301"/>
      <c r="RAO1" s="301"/>
      <c r="RAP1" s="301"/>
      <c r="RAQ1" s="301"/>
      <c r="RAR1" s="301"/>
      <c r="RAS1" s="301"/>
      <c r="RAT1" s="301"/>
      <c r="RAU1" s="301"/>
      <c r="RAV1" s="301"/>
      <c r="RAW1" s="301"/>
      <c r="RAX1" s="301"/>
      <c r="RAY1" s="301"/>
      <c r="RAZ1" s="301"/>
      <c r="RBA1" s="301"/>
      <c r="RBB1" s="301"/>
      <c r="RBC1" s="301"/>
      <c r="RBD1" s="301"/>
      <c r="RBE1" s="301"/>
      <c r="RBF1" s="301"/>
      <c r="RBG1" s="301"/>
      <c r="RBH1" s="301"/>
      <c r="RBI1" s="301"/>
      <c r="RBJ1" s="301"/>
      <c r="RBK1" s="301"/>
      <c r="RBL1" s="301"/>
      <c r="RBM1" s="301"/>
      <c r="RBN1" s="301"/>
      <c r="RBO1" s="301"/>
      <c r="RBP1" s="301"/>
      <c r="RBQ1" s="301"/>
      <c r="RBR1" s="301"/>
      <c r="RBS1" s="301"/>
      <c r="RBT1" s="301"/>
      <c r="RBU1" s="301"/>
      <c r="RBV1" s="301"/>
      <c r="RBW1" s="301"/>
      <c r="RBX1" s="301"/>
      <c r="RBY1" s="301"/>
      <c r="RBZ1" s="301"/>
      <c r="RCA1" s="301"/>
      <c r="RCB1" s="301"/>
      <c r="RCC1" s="301"/>
      <c r="RCD1" s="301"/>
      <c r="RCE1" s="301"/>
      <c r="RCF1" s="301"/>
      <c r="RCG1" s="301"/>
      <c r="RCH1" s="301"/>
      <c r="RCI1" s="301"/>
      <c r="RCJ1" s="301"/>
      <c r="RCK1" s="301"/>
      <c r="RCL1" s="301"/>
      <c r="RCM1" s="301"/>
      <c r="RCN1" s="301"/>
      <c r="RCO1" s="301"/>
      <c r="RCP1" s="301"/>
      <c r="RCQ1" s="301"/>
      <c r="RCR1" s="301"/>
      <c r="RCS1" s="301"/>
      <c r="RCT1" s="301"/>
      <c r="RCU1" s="301"/>
      <c r="RCV1" s="301"/>
      <c r="RCW1" s="301"/>
      <c r="RCX1" s="301"/>
      <c r="RCY1" s="301"/>
      <c r="RCZ1" s="301"/>
      <c r="RDA1" s="301"/>
      <c r="RDB1" s="301"/>
      <c r="RDC1" s="301"/>
      <c r="RDD1" s="301"/>
      <c r="RDE1" s="301"/>
      <c r="RDF1" s="301"/>
      <c r="RDG1" s="301"/>
      <c r="RDH1" s="301"/>
      <c r="RDI1" s="301"/>
      <c r="RDJ1" s="301"/>
      <c r="RDK1" s="301"/>
      <c r="RDL1" s="301"/>
      <c r="RDM1" s="301"/>
      <c r="RDN1" s="301"/>
      <c r="RDO1" s="301"/>
      <c r="RDP1" s="301"/>
      <c r="RDQ1" s="301"/>
      <c r="RDR1" s="301"/>
      <c r="RDS1" s="301"/>
      <c r="RDT1" s="301"/>
      <c r="RDU1" s="301"/>
      <c r="RDV1" s="301"/>
      <c r="RDW1" s="301"/>
      <c r="RDX1" s="301"/>
      <c r="RDY1" s="301"/>
      <c r="RDZ1" s="301"/>
      <c r="REA1" s="301"/>
      <c r="REB1" s="301"/>
      <c r="REC1" s="301"/>
      <c r="RED1" s="301"/>
      <c r="REE1" s="301"/>
      <c r="REF1" s="301"/>
      <c r="REG1" s="301"/>
      <c r="REH1" s="301"/>
      <c r="REI1" s="301"/>
      <c r="REJ1" s="301"/>
      <c r="REK1" s="301"/>
      <c r="REL1" s="301"/>
      <c r="REM1" s="301"/>
      <c r="REN1" s="301"/>
      <c r="REO1" s="301"/>
      <c r="REP1" s="301"/>
      <c r="REQ1" s="301"/>
      <c r="RER1" s="301"/>
      <c r="RES1" s="301"/>
      <c r="RET1" s="301"/>
      <c r="REU1" s="301"/>
      <c r="REV1" s="301"/>
      <c r="REW1" s="301"/>
      <c r="REX1" s="301"/>
      <c r="REY1" s="301"/>
      <c r="REZ1" s="301"/>
      <c r="RFA1" s="301"/>
      <c r="RFB1" s="301"/>
      <c r="RFC1" s="301"/>
      <c r="RFD1" s="301"/>
      <c r="RFE1" s="301"/>
      <c r="RFF1" s="301"/>
      <c r="RFG1" s="301"/>
      <c r="RFH1" s="301"/>
      <c r="RFI1" s="301"/>
      <c r="RFJ1" s="301"/>
      <c r="RFK1" s="301"/>
      <c r="RFL1" s="301"/>
      <c r="RFM1" s="301"/>
      <c r="RFN1" s="301"/>
      <c r="RFO1" s="301"/>
      <c r="RFP1" s="301"/>
      <c r="RFQ1" s="301"/>
      <c r="RFR1" s="301"/>
      <c r="RFS1" s="301"/>
      <c r="RFT1" s="301"/>
      <c r="RFU1" s="301"/>
      <c r="RFV1" s="301"/>
      <c r="RFW1" s="301"/>
      <c r="RFX1" s="301"/>
      <c r="RFY1" s="301"/>
      <c r="RFZ1" s="301"/>
      <c r="RGA1" s="301"/>
      <c r="RGB1" s="301"/>
      <c r="RGC1" s="301"/>
      <c r="RGD1" s="301"/>
      <c r="RGE1" s="301"/>
      <c r="RGF1" s="301"/>
      <c r="RGG1" s="301"/>
      <c r="RGH1" s="301"/>
      <c r="RGI1" s="301"/>
      <c r="RGJ1" s="301"/>
      <c r="RGK1" s="301"/>
      <c r="RGL1" s="301"/>
      <c r="RGM1" s="301"/>
      <c r="RGN1" s="301"/>
      <c r="RGO1" s="301"/>
      <c r="RGP1" s="301"/>
      <c r="RGQ1" s="301"/>
      <c r="RGR1" s="301"/>
      <c r="RGS1" s="301"/>
      <c r="RGT1" s="301"/>
      <c r="RGU1" s="301"/>
      <c r="RGV1" s="301"/>
      <c r="RGW1" s="301"/>
      <c r="RGX1" s="301"/>
      <c r="RGY1" s="301"/>
      <c r="RGZ1" s="301"/>
      <c r="RHA1" s="301"/>
      <c r="RHB1" s="301"/>
      <c r="RHC1" s="301"/>
      <c r="RHD1" s="301"/>
      <c r="RHE1" s="301"/>
      <c r="RHF1" s="301"/>
      <c r="RHG1" s="301"/>
      <c r="RHH1" s="301"/>
      <c r="RHI1" s="301"/>
      <c r="RHJ1" s="301"/>
      <c r="RHK1" s="301"/>
      <c r="RHL1" s="301"/>
      <c r="RHM1" s="301"/>
      <c r="RHN1" s="301"/>
      <c r="RHO1" s="301"/>
      <c r="RHP1" s="301"/>
      <c r="RHQ1" s="301"/>
      <c r="RHR1" s="301"/>
      <c r="RHS1" s="301"/>
      <c r="RHT1" s="301"/>
      <c r="RHU1" s="301"/>
      <c r="RHV1" s="301"/>
      <c r="RHW1" s="301"/>
      <c r="RHX1" s="301"/>
      <c r="RHY1" s="301"/>
      <c r="RHZ1" s="301"/>
      <c r="RIA1" s="301"/>
      <c r="RIB1" s="301"/>
      <c r="RIC1" s="301"/>
      <c r="RID1" s="301"/>
      <c r="RIE1" s="301"/>
      <c r="RIF1" s="301"/>
      <c r="RIG1" s="301"/>
      <c r="RIH1" s="301"/>
      <c r="RII1" s="301"/>
      <c r="RIJ1" s="301"/>
      <c r="RIK1" s="301"/>
      <c r="RIL1" s="301"/>
      <c r="RIM1" s="301"/>
      <c r="RIN1" s="301"/>
      <c r="RIO1" s="301"/>
      <c r="RIP1" s="301"/>
      <c r="RIQ1" s="301"/>
      <c r="RIR1" s="301"/>
      <c r="RIS1" s="301"/>
      <c r="RIT1" s="301"/>
      <c r="RIU1" s="301"/>
      <c r="RIV1" s="301"/>
      <c r="RIW1" s="301"/>
      <c r="RIX1" s="301"/>
      <c r="RIY1" s="301"/>
      <c r="RIZ1" s="301"/>
      <c r="RJA1" s="301"/>
      <c r="RJB1" s="301"/>
      <c r="RJC1" s="301"/>
      <c r="RJD1" s="301"/>
      <c r="RJE1" s="301"/>
      <c r="RJF1" s="301"/>
      <c r="RJG1" s="301"/>
      <c r="RJH1" s="301"/>
      <c r="RJI1" s="301"/>
      <c r="RJJ1" s="301"/>
      <c r="RJK1" s="301"/>
      <c r="RJL1" s="301"/>
      <c r="RJM1" s="301"/>
      <c r="RJN1" s="301"/>
      <c r="RJO1" s="301"/>
      <c r="RJP1" s="301"/>
      <c r="RJQ1" s="301"/>
      <c r="RJR1" s="301"/>
      <c r="RJS1" s="301"/>
      <c r="RJT1" s="301"/>
      <c r="RJU1" s="301"/>
      <c r="RJV1" s="301"/>
      <c r="RJW1" s="301"/>
      <c r="RJX1" s="301"/>
      <c r="RJY1" s="301"/>
      <c r="RJZ1" s="301"/>
      <c r="RKA1" s="301"/>
      <c r="RKB1" s="301"/>
      <c r="RKC1" s="301"/>
      <c r="RKD1" s="301"/>
      <c r="RKE1" s="301"/>
      <c r="RKF1" s="301"/>
      <c r="RKG1" s="301"/>
      <c r="RKH1" s="301"/>
      <c r="RKI1" s="301"/>
      <c r="RKJ1" s="301"/>
      <c r="RKK1" s="301"/>
      <c r="RKL1" s="301"/>
      <c r="RKM1" s="301"/>
      <c r="RKN1" s="301"/>
      <c r="RKO1" s="301"/>
      <c r="RKP1" s="301"/>
      <c r="RKQ1" s="301"/>
      <c r="RKR1" s="301"/>
      <c r="RKS1" s="301"/>
      <c r="RKT1" s="301"/>
      <c r="RKU1" s="301"/>
      <c r="RKV1" s="301"/>
      <c r="RKW1" s="301"/>
      <c r="RKX1" s="301"/>
      <c r="RKY1" s="301"/>
      <c r="RKZ1" s="301"/>
      <c r="RLA1" s="301"/>
      <c r="RLB1" s="301"/>
      <c r="RLC1" s="301"/>
      <c r="RLD1" s="301"/>
      <c r="RLE1" s="301"/>
      <c r="RLF1" s="301"/>
      <c r="RLG1" s="301"/>
      <c r="RLH1" s="301"/>
      <c r="RLI1" s="301"/>
      <c r="RLJ1" s="301"/>
      <c r="RLK1" s="301"/>
      <c r="RLL1" s="301"/>
      <c r="RLM1" s="301"/>
      <c r="RLN1" s="301"/>
      <c r="RLO1" s="301"/>
      <c r="RLP1" s="301"/>
      <c r="RLQ1" s="301"/>
      <c r="RLR1" s="301"/>
      <c r="RLS1" s="301"/>
      <c r="RLT1" s="301"/>
      <c r="RLU1" s="301"/>
      <c r="RLV1" s="301"/>
      <c r="RLW1" s="301"/>
      <c r="RLX1" s="301"/>
      <c r="RLY1" s="301"/>
      <c r="RLZ1" s="301"/>
      <c r="RMA1" s="301"/>
      <c r="RMB1" s="301"/>
      <c r="RMC1" s="301"/>
      <c r="RMD1" s="301"/>
      <c r="RME1" s="301"/>
      <c r="RMF1" s="301"/>
      <c r="RMG1" s="301"/>
      <c r="RMH1" s="301"/>
      <c r="RMI1" s="301"/>
      <c r="RMJ1" s="301"/>
      <c r="RMK1" s="301"/>
      <c r="RML1" s="301"/>
      <c r="RMM1" s="301"/>
      <c r="RMN1" s="301"/>
      <c r="RMO1" s="301"/>
      <c r="RMP1" s="301"/>
      <c r="RMQ1" s="301"/>
      <c r="RMR1" s="301"/>
      <c r="RMS1" s="301"/>
      <c r="RMT1" s="301"/>
      <c r="RMU1" s="301"/>
      <c r="RMV1" s="301"/>
      <c r="RMW1" s="301"/>
      <c r="RMX1" s="301"/>
      <c r="RMY1" s="301"/>
      <c r="RMZ1" s="301"/>
      <c r="RNA1" s="301"/>
      <c r="RNB1" s="301"/>
      <c r="RNC1" s="301"/>
      <c r="RND1" s="301"/>
      <c r="RNE1" s="301"/>
      <c r="RNF1" s="301"/>
      <c r="RNG1" s="301"/>
      <c r="RNH1" s="301"/>
      <c r="RNI1" s="301"/>
      <c r="RNJ1" s="301"/>
      <c r="RNK1" s="301"/>
      <c r="RNL1" s="301"/>
      <c r="RNM1" s="301"/>
      <c r="RNN1" s="301"/>
      <c r="RNO1" s="301"/>
      <c r="RNP1" s="301"/>
      <c r="RNQ1" s="301"/>
      <c r="RNR1" s="301"/>
      <c r="RNS1" s="301"/>
      <c r="RNT1" s="301"/>
      <c r="RNU1" s="301"/>
      <c r="RNV1" s="301"/>
      <c r="RNW1" s="301"/>
      <c r="RNX1" s="301"/>
      <c r="RNY1" s="301"/>
      <c r="RNZ1" s="301"/>
      <c r="ROA1" s="301"/>
      <c r="ROB1" s="301"/>
      <c r="ROC1" s="301"/>
      <c r="ROD1" s="301"/>
      <c r="ROE1" s="301"/>
      <c r="ROF1" s="301"/>
      <c r="ROG1" s="301"/>
      <c r="ROH1" s="301"/>
      <c r="ROI1" s="301"/>
      <c r="ROJ1" s="301"/>
      <c r="ROK1" s="301"/>
      <c r="ROL1" s="301"/>
      <c r="ROM1" s="301"/>
      <c r="RON1" s="301"/>
      <c r="ROO1" s="301"/>
      <c r="ROP1" s="301"/>
      <c r="ROQ1" s="301"/>
      <c r="ROR1" s="301"/>
      <c r="ROS1" s="301"/>
      <c r="ROT1" s="301"/>
      <c r="ROU1" s="301"/>
      <c r="ROV1" s="301"/>
      <c r="ROW1" s="301"/>
      <c r="ROX1" s="301"/>
      <c r="ROY1" s="301"/>
      <c r="ROZ1" s="301"/>
      <c r="RPA1" s="301"/>
      <c r="RPB1" s="301"/>
      <c r="RPC1" s="301"/>
      <c r="RPD1" s="301"/>
      <c r="RPE1" s="301"/>
      <c r="RPF1" s="301"/>
      <c r="RPG1" s="301"/>
      <c r="RPH1" s="301"/>
      <c r="RPI1" s="301"/>
      <c r="RPJ1" s="301"/>
      <c r="RPK1" s="301"/>
      <c r="RPL1" s="301"/>
      <c r="RPM1" s="301"/>
      <c r="RPN1" s="301"/>
      <c r="RPO1" s="301"/>
      <c r="RPP1" s="301"/>
      <c r="RPQ1" s="301"/>
      <c r="RPR1" s="301"/>
      <c r="RPS1" s="301"/>
      <c r="RPT1" s="301"/>
      <c r="RPU1" s="301"/>
      <c r="RPV1" s="301"/>
      <c r="RPW1" s="301"/>
      <c r="RPX1" s="301"/>
      <c r="RPY1" s="301"/>
      <c r="RPZ1" s="301"/>
      <c r="RQA1" s="301"/>
      <c r="RQB1" s="301"/>
      <c r="RQC1" s="301"/>
      <c r="RQD1" s="301"/>
      <c r="RQE1" s="301"/>
      <c r="RQF1" s="301"/>
      <c r="RQG1" s="301"/>
      <c r="RQH1" s="301"/>
      <c r="RQI1" s="301"/>
      <c r="RQJ1" s="301"/>
      <c r="RQK1" s="301"/>
      <c r="RQL1" s="301"/>
      <c r="RQM1" s="301"/>
      <c r="RQN1" s="301"/>
      <c r="RQO1" s="301"/>
      <c r="RQP1" s="301"/>
      <c r="RQQ1" s="301"/>
      <c r="RQR1" s="301"/>
      <c r="RQS1" s="301"/>
      <c r="RQT1" s="301"/>
      <c r="RQU1" s="301"/>
      <c r="RQV1" s="301"/>
      <c r="RQW1" s="301"/>
      <c r="RQX1" s="301"/>
      <c r="RQY1" s="301"/>
      <c r="RQZ1" s="301"/>
      <c r="RRA1" s="301"/>
      <c r="RRB1" s="301"/>
      <c r="RRC1" s="301"/>
      <c r="RRD1" s="301"/>
      <c r="RRE1" s="301"/>
      <c r="RRF1" s="301"/>
      <c r="RRG1" s="301"/>
      <c r="RRH1" s="301"/>
      <c r="RRI1" s="301"/>
      <c r="RRJ1" s="301"/>
      <c r="RRK1" s="301"/>
      <c r="RRL1" s="301"/>
      <c r="RRM1" s="301"/>
      <c r="RRN1" s="301"/>
      <c r="RRO1" s="301"/>
      <c r="RRP1" s="301"/>
      <c r="RRQ1" s="301"/>
      <c r="RRR1" s="301"/>
      <c r="RRS1" s="301"/>
      <c r="RRT1" s="301"/>
      <c r="RRU1" s="301"/>
      <c r="RRV1" s="301"/>
      <c r="RRW1" s="301"/>
      <c r="RRX1" s="301"/>
      <c r="RRY1" s="301"/>
      <c r="RRZ1" s="301"/>
      <c r="RSA1" s="301"/>
      <c r="RSB1" s="301"/>
      <c r="RSC1" s="301"/>
      <c r="RSD1" s="301"/>
      <c r="RSE1" s="301"/>
      <c r="RSF1" s="301"/>
      <c r="RSG1" s="301"/>
      <c r="RSH1" s="301"/>
      <c r="RSI1" s="301"/>
      <c r="RSJ1" s="301"/>
      <c r="RSK1" s="301"/>
      <c r="RSL1" s="301"/>
      <c r="RSM1" s="301"/>
      <c r="RSN1" s="301"/>
      <c r="RSO1" s="301"/>
      <c r="RSP1" s="301"/>
      <c r="RSQ1" s="301"/>
      <c r="RSR1" s="301"/>
      <c r="RSS1" s="301"/>
      <c r="RST1" s="301"/>
      <c r="RSU1" s="301"/>
      <c r="RSV1" s="301"/>
      <c r="RSW1" s="301"/>
      <c r="RSX1" s="301"/>
      <c r="RSY1" s="301"/>
      <c r="RSZ1" s="301"/>
      <c r="RTA1" s="301"/>
      <c r="RTB1" s="301"/>
      <c r="RTC1" s="301"/>
      <c r="RTD1" s="301"/>
      <c r="RTE1" s="301"/>
      <c r="RTF1" s="301"/>
      <c r="RTG1" s="301"/>
      <c r="RTH1" s="301"/>
      <c r="RTI1" s="301"/>
      <c r="RTJ1" s="301"/>
      <c r="RTK1" s="301"/>
      <c r="RTL1" s="301"/>
      <c r="RTM1" s="301"/>
      <c r="RTN1" s="301"/>
      <c r="RTO1" s="301"/>
      <c r="RTP1" s="301"/>
      <c r="RTQ1" s="301"/>
      <c r="RTR1" s="301"/>
      <c r="RTS1" s="301"/>
      <c r="RTT1" s="301"/>
      <c r="RTU1" s="301"/>
      <c r="RTV1" s="301"/>
      <c r="RTW1" s="301"/>
      <c r="RTX1" s="301"/>
      <c r="RTY1" s="301"/>
      <c r="RTZ1" s="301"/>
      <c r="RUA1" s="301"/>
      <c r="RUB1" s="301"/>
      <c r="RUC1" s="301"/>
      <c r="RUD1" s="301"/>
      <c r="RUE1" s="301"/>
      <c r="RUF1" s="301"/>
      <c r="RUG1" s="301"/>
      <c r="RUH1" s="301"/>
      <c r="RUI1" s="301"/>
      <c r="RUJ1" s="301"/>
      <c r="RUK1" s="301"/>
      <c r="RUL1" s="301"/>
      <c r="RUM1" s="301"/>
      <c r="RUN1" s="301"/>
      <c r="RUO1" s="301"/>
      <c r="RUP1" s="301"/>
      <c r="RUQ1" s="301"/>
      <c r="RUR1" s="301"/>
      <c r="RUS1" s="301"/>
      <c r="RUT1" s="301"/>
      <c r="RUU1" s="301"/>
      <c r="RUV1" s="301"/>
      <c r="RUW1" s="301"/>
      <c r="RUX1" s="301"/>
      <c r="RUY1" s="301"/>
      <c r="RUZ1" s="301"/>
      <c r="RVA1" s="301"/>
      <c r="RVB1" s="301"/>
      <c r="RVC1" s="301"/>
      <c r="RVD1" s="301"/>
      <c r="RVE1" s="301"/>
      <c r="RVF1" s="301"/>
      <c r="RVG1" s="301"/>
      <c r="RVH1" s="301"/>
      <c r="RVI1" s="301"/>
      <c r="RVJ1" s="301"/>
      <c r="RVK1" s="301"/>
      <c r="RVL1" s="301"/>
      <c r="RVM1" s="301"/>
      <c r="RVN1" s="301"/>
      <c r="RVO1" s="301"/>
      <c r="RVP1" s="301"/>
      <c r="RVQ1" s="301"/>
      <c r="RVR1" s="301"/>
      <c r="RVS1" s="301"/>
      <c r="RVT1" s="301"/>
      <c r="RVU1" s="301"/>
      <c r="RVV1" s="301"/>
      <c r="RVW1" s="301"/>
      <c r="RVX1" s="301"/>
      <c r="RVY1" s="301"/>
      <c r="RVZ1" s="301"/>
      <c r="RWA1" s="301"/>
      <c r="RWB1" s="301"/>
      <c r="RWC1" s="301"/>
      <c r="RWD1" s="301"/>
      <c r="RWE1" s="301"/>
      <c r="RWF1" s="301"/>
      <c r="RWG1" s="301"/>
      <c r="RWH1" s="301"/>
      <c r="RWI1" s="301"/>
      <c r="RWJ1" s="301"/>
      <c r="RWK1" s="301"/>
      <c r="RWL1" s="301"/>
      <c r="RWM1" s="301"/>
      <c r="RWN1" s="301"/>
      <c r="RWO1" s="301"/>
      <c r="RWP1" s="301"/>
      <c r="RWQ1" s="301"/>
      <c r="RWR1" s="301"/>
      <c r="RWS1" s="301"/>
      <c r="RWT1" s="301"/>
      <c r="RWU1" s="301"/>
      <c r="RWV1" s="301"/>
      <c r="RWW1" s="301"/>
      <c r="RWX1" s="301"/>
      <c r="RWY1" s="301"/>
      <c r="RWZ1" s="301"/>
      <c r="RXA1" s="301"/>
      <c r="RXB1" s="301"/>
      <c r="RXC1" s="301"/>
      <c r="RXD1" s="301"/>
      <c r="RXE1" s="301"/>
      <c r="RXF1" s="301"/>
      <c r="RXG1" s="301"/>
      <c r="RXH1" s="301"/>
      <c r="RXI1" s="301"/>
      <c r="RXJ1" s="301"/>
      <c r="RXK1" s="301"/>
      <c r="RXL1" s="301"/>
      <c r="RXM1" s="301"/>
      <c r="RXN1" s="301"/>
      <c r="RXO1" s="301"/>
      <c r="RXP1" s="301"/>
      <c r="RXQ1" s="301"/>
      <c r="RXR1" s="301"/>
      <c r="RXS1" s="301"/>
      <c r="RXT1" s="301"/>
      <c r="RXU1" s="301"/>
      <c r="RXV1" s="301"/>
      <c r="RXW1" s="301"/>
      <c r="RXX1" s="301"/>
      <c r="RXY1" s="301"/>
      <c r="RXZ1" s="301"/>
      <c r="RYA1" s="301"/>
      <c r="RYB1" s="301"/>
      <c r="RYC1" s="301"/>
      <c r="RYD1" s="301"/>
      <c r="RYE1" s="301"/>
      <c r="RYF1" s="301"/>
      <c r="RYG1" s="301"/>
      <c r="RYH1" s="301"/>
      <c r="RYI1" s="301"/>
      <c r="RYJ1" s="301"/>
      <c r="RYK1" s="301"/>
      <c r="RYL1" s="301"/>
      <c r="RYM1" s="301"/>
      <c r="RYN1" s="301"/>
      <c r="RYO1" s="301"/>
      <c r="RYP1" s="301"/>
      <c r="RYQ1" s="301"/>
      <c r="RYR1" s="301"/>
      <c r="RYS1" s="301"/>
      <c r="RYT1" s="301"/>
      <c r="RYU1" s="301"/>
      <c r="RYV1" s="301"/>
      <c r="RYW1" s="301"/>
      <c r="RYX1" s="301"/>
      <c r="RYY1" s="301"/>
      <c r="RYZ1" s="301"/>
      <c r="RZA1" s="301"/>
      <c r="RZB1" s="301"/>
      <c r="RZC1" s="301"/>
      <c r="RZD1" s="301"/>
      <c r="RZE1" s="301"/>
      <c r="RZF1" s="301"/>
      <c r="RZG1" s="301"/>
      <c r="RZH1" s="301"/>
      <c r="RZI1" s="301"/>
      <c r="RZJ1" s="301"/>
      <c r="RZK1" s="301"/>
      <c r="RZL1" s="301"/>
      <c r="RZM1" s="301"/>
      <c r="RZN1" s="301"/>
      <c r="RZO1" s="301"/>
      <c r="RZP1" s="301"/>
      <c r="RZQ1" s="301"/>
      <c r="RZR1" s="301"/>
      <c r="RZS1" s="301"/>
      <c r="RZT1" s="301"/>
      <c r="RZU1" s="301"/>
      <c r="RZV1" s="301"/>
      <c r="RZW1" s="301"/>
      <c r="RZX1" s="301"/>
      <c r="RZY1" s="301"/>
      <c r="RZZ1" s="301"/>
      <c r="SAA1" s="301"/>
      <c r="SAB1" s="301"/>
      <c r="SAC1" s="301"/>
      <c r="SAD1" s="301"/>
      <c r="SAE1" s="301"/>
      <c r="SAF1" s="301"/>
      <c r="SAG1" s="301"/>
      <c r="SAH1" s="301"/>
      <c r="SAI1" s="301"/>
      <c r="SAJ1" s="301"/>
      <c r="SAK1" s="301"/>
      <c r="SAL1" s="301"/>
      <c r="SAM1" s="301"/>
      <c r="SAN1" s="301"/>
      <c r="SAO1" s="301"/>
      <c r="SAP1" s="301"/>
      <c r="SAQ1" s="301"/>
      <c r="SAR1" s="301"/>
      <c r="SAS1" s="301"/>
      <c r="SAT1" s="301"/>
      <c r="SAU1" s="301"/>
      <c r="SAV1" s="301"/>
      <c r="SAW1" s="301"/>
      <c r="SAX1" s="301"/>
      <c r="SAY1" s="301"/>
      <c r="SAZ1" s="301"/>
      <c r="SBA1" s="301"/>
      <c r="SBB1" s="301"/>
      <c r="SBC1" s="301"/>
      <c r="SBD1" s="301"/>
      <c r="SBE1" s="301"/>
      <c r="SBF1" s="301"/>
      <c r="SBG1" s="301"/>
      <c r="SBH1" s="301"/>
      <c r="SBI1" s="301"/>
      <c r="SBJ1" s="301"/>
      <c r="SBK1" s="301"/>
      <c r="SBL1" s="301"/>
      <c r="SBM1" s="301"/>
      <c r="SBN1" s="301"/>
      <c r="SBO1" s="301"/>
      <c r="SBP1" s="301"/>
      <c r="SBQ1" s="301"/>
      <c r="SBR1" s="301"/>
      <c r="SBS1" s="301"/>
      <c r="SBT1" s="301"/>
      <c r="SBU1" s="301"/>
      <c r="SBV1" s="301"/>
      <c r="SBW1" s="301"/>
      <c r="SBX1" s="301"/>
      <c r="SBY1" s="301"/>
      <c r="SBZ1" s="301"/>
      <c r="SCA1" s="301"/>
      <c r="SCB1" s="301"/>
      <c r="SCC1" s="301"/>
      <c r="SCD1" s="301"/>
      <c r="SCE1" s="301"/>
      <c r="SCF1" s="301"/>
      <c r="SCG1" s="301"/>
      <c r="SCH1" s="301"/>
      <c r="SCI1" s="301"/>
      <c r="SCJ1" s="301"/>
      <c r="SCK1" s="301"/>
      <c r="SCL1" s="301"/>
      <c r="SCM1" s="301"/>
      <c r="SCN1" s="301"/>
      <c r="SCO1" s="301"/>
      <c r="SCP1" s="301"/>
      <c r="SCQ1" s="301"/>
      <c r="SCR1" s="301"/>
      <c r="SCS1" s="301"/>
      <c r="SCT1" s="301"/>
      <c r="SCU1" s="301"/>
      <c r="SCV1" s="301"/>
      <c r="SCW1" s="301"/>
      <c r="SCX1" s="301"/>
      <c r="SCY1" s="301"/>
      <c r="SCZ1" s="301"/>
      <c r="SDA1" s="301"/>
      <c r="SDB1" s="301"/>
      <c r="SDC1" s="301"/>
      <c r="SDD1" s="301"/>
      <c r="SDE1" s="301"/>
      <c r="SDF1" s="301"/>
      <c r="SDG1" s="301"/>
      <c r="SDH1" s="301"/>
      <c r="SDI1" s="301"/>
      <c r="SDJ1" s="301"/>
      <c r="SDK1" s="301"/>
      <c r="SDL1" s="301"/>
      <c r="SDM1" s="301"/>
      <c r="SDN1" s="301"/>
      <c r="SDO1" s="301"/>
      <c r="SDP1" s="301"/>
      <c r="SDQ1" s="301"/>
      <c r="SDR1" s="301"/>
      <c r="SDS1" s="301"/>
      <c r="SDT1" s="301"/>
      <c r="SDU1" s="301"/>
      <c r="SDV1" s="301"/>
      <c r="SDW1" s="301"/>
      <c r="SDX1" s="301"/>
      <c r="SDY1" s="301"/>
      <c r="SDZ1" s="301"/>
      <c r="SEA1" s="301"/>
      <c r="SEB1" s="301"/>
      <c r="SEC1" s="301"/>
      <c r="SED1" s="301"/>
      <c r="SEE1" s="301"/>
      <c r="SEF1" s="301"/>
      <c r="SEG1" s="301"/>
      <c r="SEH1" s="301"/>
      <c r="SEI1" s="301"/>
      <c r="SEJ1" s="301"/>
      <c r="SEK1" s="301"/>
      <c r="SEL1" s="301"/>
      <c r="SEM1" s="301"/>
      <c r="SEN1" s="301"/>
      <c r="SEO1" s="301"/>
      <c r="SEP1" s="301"/>
      <c r="SEQ1" s="301"/>
      <c r="SER1" s="301"/>
      <c r="SES1" s="301"/>
      <c r="SET1" s="301"/>
      <c r="SEU1" s="301"/>
      <c r="SEV1" s="301"/>
      <c r="SEW1" s="301"/>
      <c r="SEX1" s="301"/>
      <c r="SEY1" s="301"/>
      <c r="SEZ1" s="301"/>
      <c r="SFA1" s="301"/>
      <c r="SFB1" s="301"/>
      <c r="SFC1" s="301"/>
      <c r="SFD1" s="301"/>
      <c r="SFE1" s="301"/>
      <c r="SFF1" s="301"/>
      <c r="SFG1" s="301"/>
      <c r="SFH1" s="301"/>
      <c r="SFI1" s="301"/>
      <c r="SFJ1" s="301"/>
      <c r="SFK1" s="301"/>
      <c r="SFL1" s="301"/>
      <c r="SFM1" s="301"/>
      <c r="SFN1" s="301"/>
      <c r="SFO1" s="301"/>
      <c r="SFP1" s="301"/>
      <c r="SFQ1" s="301"/>
      <c r="SFR1" s="301"/>
      <c r="SFS1" s="301"/>
      <c r="SFT1" s="301"/>
      <c r="SFU1" s="301"/>
      <c r="SFV1" s="301"/>
      <c r="SFW1" s="301"/>
      <c r="SFX1" s="301"/>
      <c r="SFY1" s="301"/>
      <c r="SFZ1" s="301"/>
      <c r="SGA1" s="301"/>
      <c r="SGB1" s="301"/>
      <c r="SGC1" s="301"/>
      <c r="SGD1" s="301"/>
      <c r="SGE1" s="301"/>
      <c r="SGF1" s="301"/>
      <c r="SGG1" s="301"/>
      <c r="SGH1" s="301"/>
      <c r="SGI1" s="301"/>
      <c r="SGJ1" s="301"/>
      <c r="SGK1" s="301"/>
      <c r="SGL1" s="301"/>
      <c r="SGM1" s="301"/>
      <c r="SGN1" s="301"/>
      <c r="SGO1" s="301"/>
      <c r="SGP1" s="301"/>
      <c r="SGQ1" s="301"/>
      <c r="SGR1" s="301"/>
      <c r="SGS1" s="301"/>
      <c r="SGT1" s="301"/>
      <c r="SGU1" s="301"/>
      <c r="SGV1" s="301"/>
      <c r="SGW1" s="301"/>
      <c r="SGX1" s="301"/>
      <c r="SGY1" s="301"/>
      <c r="SGZ1" s="301"/>
      <c r="SHA1" s="301"/>
      <c r="SHB1" s="301"/>
      <c r="SHC1" s="301"/>
      <c r="SHD1" s="301"/>
      <c r="SHE1" s="301"/>
      <c r="SHF1" s="301"/>
      <c r="SHG1" s="301"/>
      <c r="SHH1" s="301"/>
      <c r="SHI1" s="301"/>
      <c r="SHJ1" s="301"/>
      <c r="SHK1" s="301"/>
      <c r="SHL1" s="301"/>
      <c r="SHM1" s="301"/>
      <c r="SHN1" s="301"/>
      <c r="SHO1" s="301"/>
      <c r="SHP1" s="301"/>
      <c r="SHQ1" s="301"/>
      <c r="SHR1" s="301"/>
      <c r="SHS1" s="301"/>
      <c r="SHT1" s="301"/>
      <c r="SHU1" s="301"/>
      <c r="SHV1" s="301"/>
      <c r="SHW1" s="301"/>
      <c r="SHX1" s="301"/>
      <c r="SHY1" s="301"/>
      <c r="SHZ1" s="301"/>
      <c r="SIA1" s="301"/>
      <c r="SIB1" s="301"/>
      <c r="SIC1" s="301"/>
      <c r="SID1" s="301"/>
      <c r="SIE1" s="301"/>
      <c r="SIF1" s="301"/>
      <c r="SIG1" s="301"/>
      <c r="SIH1" s="301"/>
      <c r="SII1" s="301"/>
      <c r="SIJ1" s="301"/>
      <c r="SIK1" s="301"/>
      <c r="SIL1" s="301"/>
      <c r="SIM1" s="301"/>
      <c r="SIN1" s="301"/>
      <c r="SIO1" s="301"/>
      <c r="SIP1" s="301"/>
      <c r="SIQ1" s="301"/>
      <c r="SIR1" s="301"/>
      <c r="SIS1" s="301"/>
      <c r="SIT1" s="301"/>
      <c r="SIU1" s="301"/>
      <c r="SIV1" s="301"/>
      <c r="SIW1" s="301"/>
      <c r="SIX1" s="301"/>
      <c r="SIY1" s="301"/>
      <c r="SIZ1" s="301"/>
      <c r="SJA1" s="301"/>
      <c r="SJB1" s="301"/>
      <c r="SJC1" s="301"/>
      <c r="SJD1" s="301"/>
      <c r="SJE1" s="301"/>
      <c r="SJF1" s="301"/>
      <c r="SJG1" s="301"/>
      <c r="SJH1" s="301"/>
      <c r="SJI1" s="301"/>
      <c r="SJJ1" s="301"/>
      <c r="SJK1" s="301"/>
      <c r="SJL1" s="301"/>
      <c r="SJM1" s="301"/>
      <c r="SJN1" s="301"/>
      <c r="SJO1" s="301"/>
      <c r="SJP1" s="301"/>
      <c r="SJQ1" s="301"/>
      <c r="SJR1" s="301"/>
      <c r="SJS1" s="301"/>
      <c r="SJT1" s="301"/>
      <c r="SJU1" s="301"/>
      <c r="SJV1" s="301"/>
      <c r="SJW1" s="301"/>
      <c r="SJX1" s="301"/>
      <c r="SJY1" s="301"/>
      <c r="SJZ1" s="301"/>
      <c r="SKA1" s="301"/>
      <c r="SKB1" s="301"/>
      <c r="SKC1" s="301"/>
      <c r="SKD1" s="301"/>
      <c r="SKE1" s="301"/>
      <c r="SKF1" s="301"/>
      <c r="SKG1" s="301"/>
      <c r="SKH1" s="301"/>
      <c r="SKI1" s="301"/>
      <c r="SKJ1" s="301"/>
      <c r="SKK1" s="301"/>
      <c r="SKL1" s="301"/>
      <c r="SKM1" s="301"/>
      <c r="SKN1" s="301"/>
      <c r="SKO1" s="301"/>
      <c r="SKP1" s="301"/>
      <c r="SKQ1" s="301"/>
      <c r="SKR1" s="301"/>
      <c r="SKS1" s="301"/>
      <c r="SKT1" s="301"/>
      <c r="SKU1" s="301"/>
      <c r="SKV1" s="301"/>
      <c r="SKW1" s="301"/>
      <c r="SKX1" s="301"/>
      <c r="SKY1" s="301"/>
      <c r="SKZ1" s="301"/>
      <c r="SLA1" s="301"/>
      <c r="SLB1" s="301"/>
      <c r="SLC1" s="301"/>
      <c r="SLD1" s="301"/>
      <c r="SLE1" s="301"/>
      <c r="SLF1" s="301"/>
      <c r="SLG1" s="301"/>
      <c r="SLH1" s="301"/>
      <c r="SLI1" s="301"/>
      <c r="SLJ1" s="301"/>
      <c r="SLK1" s="301"/>
      <c r="SLL1" s="301"/>
      <c r="SLM1" s="301"/>
      <c r="SLN1" s="301"/>
      <c r="SLO1" s="301"/>
      <c r="SLP1" s="301"/>
      <c r="SLQ1" s="301"/>
      <c r="SLR1" s="301"/>
      <c r="SLS1" s="301"/>
      <c r="SLT1" s="301"/>
      <c r="SLU1" s="301"/>
      <c r="SLV1" s="301"/>
      <c r="SLW1" s="301"/>
      <c r="SLX1" s="301"/>
      <c r="SLY1" s="301"/>
      <c r="SLZ1" s="301"/>
      <c r="SMA1" s="301"/>
      <c r="SMB1" s="301"/>
      <c r="SMC1" s="301"/>
      <c r="SMD1" s="301"/>
      <c r="SME1" s="301"/>
      <c r="SMF1" s="301"/>
      <c r="SMG1" s="301"/>
      <c r="SMH1" s="301"/>
      <c r="SMI1" s="301"/>
      <c r="SMJ1" s="301"/>
      <c r="SMK1" s="301"/>
      <c r="SML1" s="301"/>
      <c r="SMM1" s="301"/>
      <c r="SMN1" s="301"/>
      <c r="SMO1" s="301"/>
      <c r="SMP1" s="301"/>
      <c r="SMQ1" s="301"/>
      <c r="SMR1" s="301"/>
      <c r="SMS1" s="301"/>
      <c r="SMT1" s="301"/>
      <c r="SMU1" s="301"/>
      <c r="SMV1" s="301"/>
      <c r="SMW1" s="301"/>
      <c r="SMX1" s="301"/>
      <c r="SMY1" s="301"/>
      <c r="SMZ1" s="301"/>
      <c r="SNA1" s="301"/>
      <c r="SNB1" s="301"/>
      <c r="SNC1" s="301"/>
      <c r="SND1" s="301"/>
      <c r="SNE1" s="301"/>
      <c r="SNF1" s="301"/>
      <c r="SNG1" s="301"/>
      <c r="SNH1" s="301"/>
      <c r="SNI1" s="301"/>
      <c r="SNJ1" s="301"/>
      <c r="SNK1" s="301"/>
      <c r="SNL1" s="301"/>
      <c r="SNM1" s="301"/>
      <c r="SNN1" s="301"/>
      <c r="SNO1" s="301"/>
      <c r="SNP1" s="301"/>
      <c r="SNQ1" s="301"/>
      <c r="SNR1" s="301"/>
      <c r="SNS1" s="301"/>
      <c r="SNT1" s="301"/>
      <c r="SNU1" s="301"/>
      <c r="SNV1" s="301"/>
      <c r="SNW1" s="301"/>
      <c r="SNX1" s="301"/>
      <c r="SNY1" s="301"/>
      <c r="SNZ1" s="301"/>
      <c r="SOA1" s="301"/>
      <c r="SOB1" s="301"/>
      <c r="SOC1" s="301"/>
      <c r="SOD1" s="301"/>
      <c r="SOE1" s="301"/>
      <c r="SOF1" s="301"/>
      <c r="SOG1" s="301"/>
      <c r="SOH1" s="301"/>
      <c r="SOI1" s="301"/>
      <c r="SOJ1" s="301"/>
      <c r="SOK1" s="301"/>
      <c r="SOL1" s="301"/>
      <c r="SOM1" s="301"/>
      <c r="SON1" s="301"/>
      <c r="SOO1" s="301"/>
      <c r="SOP1" s="301"/>
      <c r="SOQ1" s="301"/>
      <c r="SOR1" s="301"/>
      <c r="SOS1" s="301"/>
      <c r="SOT1" s="301"/>
      <c r="SOU1" s="301"/>
      <c r="SOV1" s="301"/>
      <c r="SOW1" s="301"/>
      <c r="SOX1" s="301"/>
      <c r="SOY1" s="301"/>
      <c r="SOZ1" s="301"/>
      <c r="SPA1" s="301"/>
      <c r="SPB1" s="301"/>
      <c r="SPC1" s="301"/>
      <c r="SPD1" s="301"/>
      <c r="SPE1" s="301"/>
      <c r="SPF1" s="301"/>
      <c r="SPG1" s="301"/>
      <c r="SPH1" s="301"/>
      <c r="SPI1" s="301"/>
      <c r="SPJ1" s="301"/>
      <c r="SPK1" s="301"/>
      <c r="SPL1" s="301"/>
      <c r="SPM1" s="301"/>
      <c r="SPN1" s="301"/>
      <c r="SPO1" s="301"/>
      <c r="SPP1" s="301"/>
      <c r="SPQ1" s="301"/>
      <c r="SPR1" s="301"/>
      <c r="SPS1" s="301"/>
      <c r="SPT1" s="301"/>
      <c r="SPU1" s="301"/>
      <c r="SPV1" s="301"/>
      <c r="SPW1" s="301"/>
      <c r="SPX1" s="301"/>
      <c r="SPY1" s="301"/>
      <c r="SPZ1" s="301"/>
      <c r="SQA1" s="301"/>
      <c r="SQB1" s="301"/>
      <c r="SQC1" s="301"/>
      <c r="SQD1" s="301"/>
      <c r="SQE1" s="301"/>
      <c r="SQF1" s="301"/>
      <c r="SQG1" s="301"/>
      <c r="SQH1" s="301"/>
      <c r="SQI1" s="301"/>
      <c r="SQJ1" s="301"/>
      <c r="SQK1" s="301"/>
      <c r="SQL1" s="301"/>
      <c r="SQM1" s="301"/>
      <c r="SQN1" s="301"/>
      <c r="SQO1" s="301"/>
      <c r="SQP1" s="301"/>
      <c r="SQQ1" s="301"/>
      <c r="SQR1" s="301"/>
      <c r="SQS1" s="301"/>
      <c r="SQT1" s="301"/>
      <c r="SQU1" s="301"/>
      <c r="SQV1" s="301"/>
      <c r="SQW1" s="301"/>
      <c r="SQX1" s="301"/>
      <c r="SQY1" s="301"/>
      <c r="SQZ1" s="301"/>
      <c r="SRA1" s="301"/>
      <c r="SRB1" s="301"/>
      <c r="SRC1" s="301"/>
      <c r="SRD1" s="301"/>
      <c r="SRE1" s="301"/>
      <c r="SRF1" s="301"/>
      <c r="SRG1" s="301"/>
      <c r="SRH1" s="301"/>
      <c r="SRI1" s="301"/>
      <c r="SRJ1" s="301"/>
      <c r="SRK1" s="301"/>
      <c r="SRL1" s="301"/>
      <c r="SRM1" s="301"/>
      <c r="SRN1" s="301"/>
      <c r="SRO1" s="301"/>
      <c r="SRP1" s="301"/>
      <c r="SRQ1" s="301"/>
      <c r="SRR1" s="301"/>
      <c r="SRS1" s="301"/>
      <c r="SRT1" s="301"/>
      <c r="SRU1" s="301"/>
      <c r="SRV1" s="301"/>
      <c r="SRW1" s="301"/>
      <c r="SRX1" s="301"/>
      <c r="SRY1" s="301"/>
      <c r="SRZ1" s="301"/>
      <c r="SSA1" s="301"/>
      <c r="SSB1" s="301"/>
      <c r="SSC1" s="301"/>
      <c r="SSD1" s="301"/>
      <c r="SSE1" s="301"/>
      <c r="SSF1" s="301"/>
      <c r="SSG1" s="301"/>
      <c r="SSH1" s="301"/>
      <c r="SSI1" s="301"/>
      <c r="SSJ1" s="301"/>
      <c r="SSK1" s="301"/>
      <c r="SSL1" s="301"/>
      <c r="SSM1" s="301"/>
      <c r="SSN1" s="301"/>
      <c r="SSO1" s="301"/>
      <c r="SSP1" s="301"/>
      <c r="SSQ1" s="301"/>
      <c r="SSR1" s="301"/>
      <c r="SSS1" s="301"/>
      <c r="SST1" s="301"/>
      <c r="SSU1" s="301"/>
      <c r="SSV1" s="301"/>
      <c r="SSW1" s="301"/>
      <c r="SSX1" s="301"/>
      <c r="SSY1" s="301"/>
      <c r="SSZ1" s="301"/>
      <c r="STA1" s="301"/>
      <c r="STB1" s="301"/>
      <c r="STC1" s="301"/>
      <c r="STD1" s="301"/>
      <c r="STE1" s="301"/>
      <c r="STF1" s="301"/>
      <c r="STG1" s="301"/>
      <c r="STH1" s="301"/>
      <c r="STI1" s="301"/>
      <c r="STJ1" s="301"/>
      <c r="STK1" s="301"/>
      <c r="STL1" s="301"/>
      <c r="STM1" s="301"/>
      <c r="STN1" s="301"/>
      <c r="STO1" s="301"/>
      <c r="STP1" s="301"/>
      <c r="STQ1" s="301"/>
      <c r="STR1" s="301"/>
      <c r="STS1" s="301"/>
      <c r="STT1" s="301"/>
      <c r="STU1" s="301"/>
      <c r="STV1" s="301"/>
      <c r="STW1" s="301"/>
      <c r="STX1" s="301"/>
      <c r="STY1" s="301"/>
      <c r="STZ1" s="301"/>
      <c r="SUA1" s="301"/>
      <c r="SUB1" s="301"/>
      <c r="SUC1" s="301"/>
      <c r="SUD1" s="301"/>
      <c r="SUE1" s="301"/>
      <c r="SUF1" s="301"/>
      <c r="SUG1" s="301"/>
      <c r="SUH1" s="301"/>
      <c r="SUI1" s="301"/>
      <c r="SUJ1" s="301"/>
      <c r="SUK1" s="301"/>
      <c r="SUL1" s="301"/>
      <c r="SUM1" s="301"/>
      <c r="SUN1" s="301"/>
      <c r="SUO1" s="301"/>
      <c r="SUP1" s="301"/>
      <c r="SUQ1" s="301"/>
      <c r="SUR1" s="301"/>
      <c r="SUS1" s="301"/>
      <c r="SUT1" s="301"/>
      <c r="SUU1" s="301"/>
      <c r="SUV1" s="301"/>
      <c r="SUW1" s="301"/>
      <c r="SUX1" s="301"/>
      <c r="SUY1" s="301"/>
      <c r="SUZ1" s="301"/>
      <c r="SVA1" s="301"/>
      <c r="SVB1" s="301"/>
      <c r="SVC1" s="301"/>
      <c r="SVD1" s="301"/>
      <c r="SVE1" s="301"/>
      <c r="SVF1" s="301"/>
      <c r="SVG1" s="301"/>
      <c r="SVH1" s="301"/>
      <c r="SVI1" s="301"/>
      <c r="SVJ1" s="301"/>
      <c r="SVK1" s="301"/>
      <c r="SVL1" s="301"/>
      <c r="SVM1" s="301"/>
      <c r="SVN1" s="301"/>
      <c r="SVO1" s="301"/>
      <c r="SVP1" s="301"/>
      <c r="SVQ1" s="301"/>
      <c r="SVR1" s="301"/>
      <c r="SVS1" s="301"/>
      <c r="SVT1" s="301"/>
      <c r="SVU1" s="301"/>
      <c r="SVV1" s="301"/>
      <c r="SVW1" s="301"/>
      <c r="SVX1" s="301"/>
      <c r="SVY1" s="301"/>
      <c r="SVZ1" s="301"/>
      <c r="SWA1" s="301"/>
      <c r="SWB1" s="301"/>
      <c r="SWC1" s="301"/>
      <c r="SWD1" s="301"/>
      <c r="SWE1" s="301"/>
      <c r="SWF1" s="301"/>
      <c r="SWG1" s="301"/>
      <c r="SWH1" s="301"/>
      <c r="SWI1" s="301"/>
      <c r="SWJ1" s="301"/>
      <c r="SWK1" s="301"/>
      <c r="SWL1" s="301"/>
      <c r="SWM1" s="301"/>
      <c r="SWN1" s="301"/>
      <c r="SWO1" s="301"/>
      <c r="SWP1" s="301"/>
      <c r="SWQ1" s="301"/>
      <c r="SWR1" s="301"/>
      <c r="SWS1" s="301"/>
      <c r="SWT1" s="301"/>
      <c r="SWU1" s="301"/>
      <c r="SWV1" s="301"/>
      <c r="SWW1" s="301"/>
      <c r="SWX1" s="301"/>
      <c r="SWY1" s="301"/>
      <c r="SWZ1" s="301"/>
      <c r="SXA1" s="301"/>
      <c r="SXB1" s="301"/>
      <c r="SXC1" s="301"/>
      <c r="SXD1" s="301"/>
      <c r="SXE1" s="301"/>
      <c r="SXF1" s="301"/>
      <c r="SXG1" s="301"/>
      <c r="SXH1" s="301"/>
      <c r="SXI1" s="301"/>
      <c r="SXJ1" s="301"/>
      <c r="SXK1" s="301"/>
      <c r="SXL1" s="301"/>
      <c r="SXM1" s="301"/>
      <c r="SXN1" s="301"/>
      <c r="SXO1" s="301"/>
      <c r="SXP1" s="301"/>
      <c r="SXQ1" s="301"/>
      <c r="SXR1" s="301"/>
      <c r="SXS1" s="301"/>
      <c r="SXT1" s="301"/>
      <c r="SXU1" s="301"/>
      <c r="SXV1" s="301"/>
      <c r="SXW1" s="301"/>
      <c r="SXX1" s="301"/>
      <c r="SXY1" s="301"/>
      <c r="SXZ1" s="301"/>
      <c r="SYA1" s="301"/>
      <c r="SYB1" s="301"/>
      <c r="SYC1" s="301"/>
      <c r="SYD1" s="301"/>
      <c r="SYE1" s="301"/>
      <c r="SYF1" s="301"/>
      <c r="SYG1" s="301"/>
      <c r="SYH1" s="301"/>
      <c r="SYI1" s="301"/>
      <c r="SYJ1" s="301"/>
      <c r="SYK1" s="301"/>
      <c r="SYL1" s="301"/>
      <c r="SYM1" s="301"/>
      <c r="SYN1" s="301"/>
      <c r="SYO1" s="301"/>
      <c r="SYP1" s="301"/>
      <c r="SYQ1" s="301"/>
      <c r="SYR1" s="301"/>
      <c r="SYS1" s="301"/>
      <c r="SYT1" s="301"/>
      <c r="SYU1" s="301"/>
      <c r="SYV1" s="301"/>
      <c r="SYW1" s="301"/>
      <c r="SYX1" s="301"/>
      <c r="SYY1" s="301"/>
      <c r="SYZ1" s="301"/>
      <c r="SZA1" s="301"/>
      <c r="SZB1" s="301"/>
      <c r="SZC1" s="301"/>
      <c r="SZD1" s="301"/>
      <c r="SZE1" s="301"/>
      <c r="SZF1" s="301"/>
      <c r="SZG1" s="301"/>
      <c r="SZH1" s="301"/>
      <c r="SZI1" s="301"/>
      <c r="SZJ1" s="301"/>
      <c r="SZK1" s="301"/>
      <c r="SZL1" s="301"/>
      <c r="SZM1" s="301"/>
      <c r="SZN1" s="301"/>
      <c r="SZO1" s="301"/>
      <c r="SZP1" s="301"/>
      <c r="SZQ1" s="301"/>
      <c r="SZR1" s="301"/>
      <c r="SZS1" s="301"/>
      <c r="SZT1" s="301"/>
      <c r="SZU1" s="301"/>
      <c r="SZV1" s="301"/>
      <c r="SZW1" s="301"/>
      <c r="SZX1" s="301"/>
      <c r="SZY1" s="301"/>
      <c r="SZZ1" s="301"/>
      <c r="TAA1" s="301"/>
      <c r="TAB1" s="301"/>
      <c r="TAC1" s="301"/>
      <c r="TAD1" s="301"/>
      <c r="TAE1" s="301"/>
      <c r="TAF1" s="301"/>
      <c r="TAG1" s="301"/>
      <c r="TAH1" s="301"/>
      <c r="TAI1" s="301"/>
      <c r="TAJ1" s="301"/>
      <c r="TAK1" s="301"/>
      <c r="TAL1" s="301"/>
      <c r="TAM1" s="301"/>
      <c r="TAN1" s="301"/>
      <c r="TAO1" s="301"/>
      <c r="TAP1" s="301"/>
      <c r="TAQ1" s="301"/>
      <c r="TAR1" s="301"/>
      <c r="TAS1" s="301"/>
      <c r="TAT1" s="301"/>
      <c r="TAU1" s="301"/>
      <c r="TAV1" s="301"/>
      <c r="TAW1" s="301"/>
      <c r="TAX1" s="301"/>
      <c r="TAY1" s="301"/>
      <c r="TAZ1" s="301"/>
      <c r="TBA1" s="301"/>
      <c r="TBB1" s="301"/>
      <c r="TBC1" s="301"/>
      <c r="TBD1" s="301"/>
      <c r="TBE1" s="301"/>
      <c r="TBF1" s="301"/>
      <c r="TBG1" s="301"/>
      <c r="TBH1" s="301"/>
      <c r="TBI1" s="301"/>
      <c r="TBJ1" s="301"/>
      <c r="TBK1" s="301"/>
      <c r="TBL1" s="301"/>
      <c r="TBM1" s="301"/>
      <c r="TBN1" s="301"/>
      <c r="TBO1" s="301"/>
      <c r="TBP1" s="301"/>
      <c r="TBQ1" s="301"/>
      <c r="TBR1" s="301"/>
      <c r="TBS1" s="301"/>
      <c r="TBT1" s="301"/>
      <c r="TBU1" s="301"/>
      <c r="TBV1" s="301"/>
      <c r="TBW1" s="301"/>
      <c r="TBX1" s="301"/>
      <c r="TBY1" s="301"/>
      <c r="TBZ1" s="301"/>
      <c r="TCA1" s="301"/>
      <c r="TCB1" s="301"/>
      <c r="TCC1" s="301"/>
      <c r="TCD1" s="301"/>
      <c r="TCE1" s="301"/>
      <c r="TCF1" s="301"/>
      <c r="TCG1" s="301"/>
      <c r="TCH1" s="301"/>
      <c r="TCI1" s="301"/>
      <c r="TCJ1" s="301"/>
      <c r="TCK1" s="301"/>
      <c r="TCL1" s="301"/>
      <c r="TCM1" s="301"/>
      <c r="TCN1" s="301"/>
      <c r="TCO1" s="301"/>
      <c r="TCP1" s="301"/>
      <c r="TCQ1" s="301"/>
      <c r="TCR1" s="301"/>
      <c r="TCS1" s="301"/>
      <c r="TCT1" s="301"/>
      <c r="TCU1" s="301"/>
      <c r="TCV1" s="301"/>
      <c r="TCW1" s="301"/>
      <c r="TCX1" s="301"/>
      <c r="TCY1" s="301"/>
      <c r="TCZ1" s="301"/>
      <c r="TDA1" s="301"/>
      <c r="TDB1" s="301"/>
      <c r="TDC1" s="301"/>
      <c r="TDD1" s="301"/>
      <c r="TDE1" s="301"/>
      <c r="TDF1" s="301"/>
      <c r="TDG1" s="301"/>
      <c r="TDH1" s="301"/>
      <c r="TDI1" s="301"/>
      <c r="TDJ1" s="301"/>
      <c r="TDK1" s="301"/>
      <c r="TDL1" s="301"/>
      <c r="TDM1" s="301"/>
      <c r="TDN1" s="301"/>
      <c r="TDO1" s="301"/>
      <c r="TDP1" s="301"/>
      <c r="TDQ1" s="301"/>
      <c r="TDR1" s="301"/>
      <c r="TDS1" s="301"/>
      <c r="TDT1" s="301"/>
      <c r="TDU1" s="301"/>
      <c r="TDV1" s="301"/>
      <c r="TDW1" s="301"/>
      <c r="TDX1" s="301"/>
      <c r="TDY1" s="301"/>
      <c r="TDZ1" s="301"/>
      <c r="TEA1" s="301"/>
      <c r="TEB1" s="301"/>
      <c r="TEC1" s="301"/>
      <c r="TED1" s="301"/>
      <c r="TEE1" s="301"/>
      <c r="TEF1" s="301"/>
      <c r="TEG1" s="301"/>
      <c r="TEH1" s="301"/>
      <c r="TEI1" s="301"/>
      <c r="TEJ1" s="301"/>
      <c r="TEK1" s="301"/>
      <c r="TEL1" s="301"/>
      <c r="TEM1" s="301"/>
      <c r="TEN1" s="301"/>
      <c r="TEO1" s="301"/>
      <c r="TEP1" s="301"/>
      <c r="TEQ1" s="301"/>
      <c r="TER1" s="301"/>
      <c r="TES1" s="301"/>
      <c r="TET1" s="301"/>
      <c r="TEU1" s="301"/>
      <c r="TEV1" s="301"/>
      <c r="TEW1" s="301"/>
      <c r="TEX1" s="301"/>
      <c r="TEY1" s="301"/>
      <c r="TEZ1" s="301"/>
      <c r="TFA1" s="301"/>
      <c r="TFB1" s="301"/>
      <c r="TFC1" s="301"/>
      <c r="TFD1" s="301"/>
      <c r="TFE1" s="301"/>
      <c r="TFF1" s="301"/>
      <c r="TFG1" s="301"/>
      <c r="TFH1" s="301"/>
      <c r="TFI1" s="301"/>
      <c r="TFJ1" s="301"/>
      <c r="TFK1" s="301"/>
      <c r="TFL1" s="301"/>
      <c r="TFM1" s="301"/>
      <c r="TFN1" s="301"/>
      <c r="TFO1" s="301"/>
      <c r="TFP1" s="301"/>
      <c r="TFQ1" s="301"/>
      <c r="TFR1" s="301"/>
      <c r="TFS1" s="301"/>
      <c r="TFT1" s="301"/>
      <c r="TFU1" s="301"/>
      <c r="TFV1" s="301"/>
      <c r="TFW1" s="301"/>
      <c r="TFX1" s="301"/>
      <c r="TFY1" s="301"/>
      <c r="TFZ1" s="301"/>
      <c r="TGA1" s="301"/>
      <c r="TGB1" s="301"/>
      <c r="TGC1" s="301"/>
      <c r="TGD1" s="301"/>
      <c r="TGE1" s="301"/>
      <c r="TGF1" s="301"/>
      <c r="TGG1" s="301"/>
      <c r="TGH1" s="301"/>
      <c r="TGI1" s="301"/>
      <c r="TGJ1" s="301"/>
      <c r="TGK1" s="301"/>
      <c r="TGL1" s="301"/>
      <c r="TGM1" s="301"/>
      <c r="TGN1" s="301"/>
      <c r="TGO1" s="301"/>
      <c r="TGP1" s="301"/>
      <c r="TGQ1" s="301"/>
      <c r="TGR1" s="301"/>
      <c r="TGS1" s="301"/>
      <c r="TGT1" s="301"/>
      <c r="TGU1" s="301"/>
      <c r="TGV1" s="301"/>
      <c r="TGW1" s="301"/>
      <c r="TGX1" s="301"/>
      <c r="TGY1" s="301"/>
      <c r="TGZ1" s="301"/>
      <c r="THA1" s="301"/>
      <c r="THB1" s="301"/>
      <c r="THC1" s="301"/>
      <c r="THD1" s="301"/>
      <c r="THE1" s="301"/>
      <c r="THF1" s="301"/>
      <c r="THG1" s="301"/>
      <c r="THH1" s="301"/>
      <c r="THI1" s="301"/>
      <c r="THJ1" s="301"/>
      <c r="THK1" s="301"/>
      <c r="THL1" s="301"/>
      <c r="THM1" s="301"/>
      <c r="THN1" s="301"/>
      <c r="THO1" s="301"/>
      <c r="THP1" s="301"/>
      <c r="THQ1" s="301"/>
      <c r="THR1" s="301"/>
      <c r="THS1" s="301"/>
      <c r="THT1" s="301"/>
      <c r="THU1" s="301"/>
      <c r="THV1" s="301"/>
      <c r="THW1" s="301"/>
      <c r="THX1" s="301"/>
      <c r="THY1" s="301"/>
      <c r="THZ1" s="301"/>
      <c r="TIA1" s="301"/>
      <c r="TIB1" s="301"/>
      <c r="TIC1" s="301"/>
      <c r="TID1" s="301"/>
      <c r="TIE1" s="301"/>
      <c r="TIF1" s="301"/>
      <c r="TIG1" s="301"/>
      <c r="TIH1" s="301"/>
      <c r="TII1" s="301"/>
      <c r="TIJ1" s="301"/>
      <c r="TIK1" s="301"/>
      <c r="TIL1" s="301"/>
      <c r="TIM1" s="301"/>
      <c r="TIN1" s="301"/>
      <c r="TIO1" s="301"/>
      <c r="TIP1" s="301"/>
      <c r="TIQ1" s="301"/>
      <c r="TIR1" s="301"/>
      <c r="TIS1" s="301"/>
      <c r="TIT1" s="301"/>
      <c r="TIU1" s="301"/>
      <c r="TIV1" s="301"/>
      <c r="TIW1" s="301"/>
      <c r="TIX1" s="301"/>
      <c r="TIY1" s="301"/>
      <c r="TIZ1" s="301"/>
      <c r="TJA1" s="301"/>
      <c r="TJB1" s="301"/>
      <c r="TJC1" s="301"/>
      <c r="TJD1" s="301"/>
      <c r="TJE1" s="301"/>
      <c r="TJF1" s="301"/>
      <c r="TJG1" s="301"/>
      <c r="TJH1" s="301"/>
      <c r="TJI1" s="301"/>
      <c r="TJJ1" s="301"/>
      <c r="TJK1" s="301"/>
      <c r="TJL1" s="301"/>
      <c r="TJM1" s="301"/>
      <c r="TJN1" s="301"/>
      <c r="TJO1" s="301"/>
      <c r="TJP1" s="301"/>
      <c r="TJQ1" s="301"/>
      <c r="TJR1" s="301"/>
      <c r="TJS1" s="301"/>
      <c r="TJT1" s="301"/>
      <c r="TJU1" s="301"/>
      <c r="TJV1" s="301"/>
      <c r="TJW1" s="301"/>
      <c r="TJX1" s="301"/>
      <c r="TJY1" s="301"/>
      <c r="TJZ1" s="301"/>
      <c r="TKA1" s="301"/>
      <c r="TKB1" s="301"/>
      <c r="TKC1" s="301"/>
      <c r="TKD1" s="301"/>
      <c r="TKE1" s="301"/>
      <c r="TKF1" s="301"/>
      <c r="TKG1" s="301"/>
      <c r="TKH1" s="301"/>
      <c r="TKI1" s="301"/>
      <c r="TKJ1" s="301"/>
      <c r="TKK1" s="301"/>
      <c r="TKL1" s="301"/>
      <c r="TKM1" s="301"/>
      <c r="TKN1" s="301"/>
      <c r="TKO1" s="301"/>
      <c r="TKP1" s="301"/>
      <c r="TKQ1" s="301"/>
      <c r="TKR1" s="301"/>
      <c r="TKS1" s="301"/>
      <c r="TKT1" s="301"/>
      <c r="TKU1" s="301"/>
      <c r="TKV1" s="301"/>
      <c r="TKW1" s="301"/>
      <c r="TKX1" s="301"/>
      <c r="TKY1" s="301"/>
      <c r="TKZ1" s="301"/>
      <c r="TLA1" s="301"/>
      <c r="TLB1" s="301"/>
      <c r="TLC1" s="301"/>
      <c r="TLD1" s="301"/>
      <c r="TLE1" s="301"/>
      <c r="TLF1" s="301"/>
      <c r="TLG1" s="301"/>
      <c r="TLH1" s="301"/>
      <c r="TLI1" s="301"/>
      <c r="TLJ1" s="301"/>
      <c r="TLK1" s="301"/>
      <c r="TLL1" s="301"/>
      <c r="TLM1" s="301"/>
      <c r="TLN1" s="301"/>
      <c r="TLO1" s="301"/>
      <c r="TLP1" s="301"/>
      <c r="TLQ1" s="301"/>
      <c r="TLR1" s="301"/>
      <c r="TLS1" s="301"/>
      <c r="TLT1" s="301"/>
      <c r="TLU1" s="301"/>
      <c r="TLV1" s="301"/>
      <c r="TLW1" s="301"/>
      <c r="TLX1" s="301"/>
      <c r="TLY1" s="301"/>
      <c r="TLZ1" s="301"/>
      <c r="TMA1" s="301"/>
      <c r="TMB1" s="301"/>
      <c r="TMC1" s="301"/>
      <c r="TMD1" s="301"/>
      <c r="TME1" s="301"/>
      <c r="TMF1" s="301"/>
      <c r="TMG1" s="301"/>
      <c r="TMH1" s="301"/>
      <c r="TMI1" s="301"/>
      <c r="TMJ1" s="301"/>
      <c r="TMK1" s="301"/>
      <c r="TML1" s="301"/>
      <c r="TMM1" s="301"/>
      <c r="TMN1" s="301"/>
      <c r="TMO1" s="301"/>
      <c r="TMP1" s="301"/>
      <c r="TMQ1" s="301"/>
      <c r="TMR1" s="301"/>
      <c r="TMS1" s="301"/>
      <c r="TMT1" s="301"/>
      <c r="TMU1" s="301"/>
      <c r="TMV1" s="301"/>
      <c r="TMW1" s="301"/>
      <c r="TMX1" s="301"/>
      <c r="TMY1" s="301"/>
      <c r="TMZ1" s="301"/>
      <c r="TNA1" s="301"/>
      <c r="TNB1" s="301"/>
      <c r="TNC1" s="301"/>
      <c r="TND1" s="301"/>
      <c r="TNE1" s="301"/>
      <c r="TNF1" s="301"/>
      <c r="TNG1" s="301"/>
      <c r="TNH1" s="301"/>
      <c r="TNI1" s="301"/>
      <c r="TNJ1" s="301"/>
      <c r="TNK1" s="301"/>
      <c r="TNL1" s="301"/>
      <c r="TNM1" s="301"/>
      <c r="TNN1" s="301"/>
      <c r="TNO1" s="301"/>
      <c r="TNP1" s="301"/>
      <c r="TNQ1" s="301"/>
      <c r="TNR1" s="301"/>
      <c r="TNS1" s="301"/>
      <c r="TNT1" s="301"/>
      <c r="TNU1" s="301"/>
      <c r="TNV1" s="301"/>
      <c r="TNW1" s="301"/>
      <c r="TNX1" s="301"/>
      <c r="TNY1" s="301"/>
      <c r="TNZ1" s="301"/>
      <c r="TOA1" s="301"/>
      <c r="TOB1" s="301"/>
      <c r="TOC1" s="301"/>
      <c r="TOD1" s="301"/>
      <c r="TOE1" s="301"/>
      <c r="TOF1" s="301"/>
      <c r="TOG1" s="301"/>
      <c r="TOH1" s="301"/>
      <c r="TOI1" s="301"/>
      <c r="TOJ1" s="301"/>
      <c r="TOK1" s="301"/>
      <c r="TOL1" s="301"/>
      <c r="TOM1" s="301"/>
      <c r="TON1" s="301"/>
      <c r="TOO1" s="301"/>
      <c r="TOP1" s="301"/>
      <c r="TOQ1" s="301"/>
      <c r="TOR1" s="301"/>
      <c r="TOS1" s="301"/>
      <c r="TOT1" s="301"/>
      <c r="TOU1" s="301"/>
      <c r="TOV1" s="301"/>
      <c r="TOW1" s="301"/>
      <c r="TOX1" s="301"/>
      <c r="TOY1" s="301"/>
      <c r="TOZ1" s="301"/>
      <c r="TPA1" s="301"/>
      <c r="TPB1" s="301"/>
      <c r="TPC1" s="301"/>
      <c r="TPD1" s="301"/>
      <c r="TPE1" s="301"/>
      <c r="TPF1" s="301"/>
      <c r="TPG1" s="301"/>
      <c r="TPH1" s="301"/>
      <c r="TPI1" s="301"/>
      <c r="TPJ1" s="301"/>
      <c r="TPK1" s="301"/>
      <c r="TPL1" s="301"/>
      <c r="TPM1" s="301"/>
      <c r="TPN1" s="301"/>
      <c r="TPO1" s="301"/>
      <c r="TPP1" s="301"/>
      <c r="TPQ1" s="301"/>
      <c r="TPR1" s="301"/>
      <c r="TPS1" s="301"/>
      <c r="TPT1" s="301"/>
      <c r="TPU1" s="301"/>
      <c r="TPV1" s="301"/>
      <c r="TPW1" s="301"/>
      <c r="TPX1" s="301"/>
      <c r="TPY1" s="301"/>
      <c r="TPZ1" s="301"/>
      <c r="TQA1" s="301"/>
      <c r="TQB1" s="301"/>
      <c r="TQC1" s="301"/>
      <c r="TQD1" s="301"/>
      <c r="TQE1" s="301"/>
      <c r="TQF1" s="301"/>
      <c r="TQG1" s="301"/>
      <c r="TQH1" s="301"/>
      <c r="TQI1" s="301"/>
      <c r="TQJ1" s="301"/>
      <c r="TQK1" s="301"/>
      <c r="TQL1" s="301"/>
      <c r="TQM1" s="301"/>
      <c r="TQN1" s="301"/>
      <c r="TQO1" s="301"/>
      <c r="TQP1" s="301"/>
      <c r="TQQ1" s="301"/>
      <c r="TQR1" s="301"/>
      <c r="TQS1" s="301"/>
      <c r="TQT1" s="301"/>
      <c r="TQU1" s="301"/>
      <c r="TQV1" s="301"/>
      <c r="TQW1" s="301"/>
      <c r="TQX1" s="301"/>
      <c r="TQY1" s="301"/>
      <c r="TQZ1" s="301"/>
      <c r="TRA1" s="301"/>
      <c r="TRB1" s="301"/>
      <c r="TRC1" s="301"/>
      <c r="TRD1" s="301"/>
      <c r="TRE1" s="301"/>
      <c r="TRF1" s="301"/>
      <c r="TRG1" s="301"/>
      <c r="TRH1" s="301"/>
      <c r="TRI1" s="301"/>
      <c r="TRJ1" s="301"/>
      <c r="TRK1" s="301"/>
      <c r="TRL1" s="301"/>
      <c r="TRM1" s="301"/>
      <c r="TRN1" s="301"/>
      <c r="TRO1" s="301"/>
      <c r="TRP1" s="301"/>
      <c r="TRQ1" s="301"/>
      <c r="TRR1" s="301"/>
      <c r="TRS1" s="301"/>
      <c r="TRT1" s="301"/>
      <c r="TRU1" s="301"/>
      <c r="TRV1" s="301"/>
      <c r="TRW1" s="301"/>
      <c r="TRX1" s="301"/>
      <c r="TRY1" s="301"/>
      <c r="TRZ1" s="301"/>
      <c r="TSA1" s="301"/>
      <c r="TSB1" s="301"/>
      <c r="TSC1" s="301"/>
      <c r="TSD1" s="301"/>
      <c r="TSE1" s="301"/>
      <c r="TSF1" s="301"/>
      <c r="TSG1" s="301"/>
      <c r="TSH1" s="301"/>
      <c r="TSI1" s="301"/>
      <c r="TSJ1" s="301"/>
      <c r="TSK1" s="301"/>
      <c r="TSL1" s="301"/>
      <c r="TSM1" s="301"/>
      <c r="TSN1" s="301"/>
      <c r="TSO1" s="301"/>
      <c r="TSP1" s="301"/>
      <c r="TSQ1" s="301"/>
      <c r="TSR1" s="301"/>
      <c r="TSS1" s="301"/>
      <c r="TST1" s="301"/>
      <c r="TSU1" s="301"/>
      <c r="TSV1" s="301"/>
      <c r="TSW1" s="301"/>
      <c r="TSX1" s="301"/>
      <c r="TSY1" s="301"/>
      <c r="TSZ1" s="301"/>
      <c r="TTA1" s="301"/>
      <c r="TTB1" s="301"/>
      <c r="TTC1" s="301"/>
      <c r="TTD1" s="301"/>
      <c r="TTE1" s="301"/>
      <c r="TTF1" s="301"/>
      <c r="TTG1" s="301"/>
      <c r="TTH1" s="301"/>
      <c r="TTI1" s="301"/>
      <c r="TTJ1" s="301"/>
      <c r="TTK1" s="301"/>
      <c r="TTL1" s="301"/>
      <c r="TTM1" s="301"/>
      <c r="TTN1" s="301"/>
      <c r="TTO1" s="301"/>
      <c r="TTP1" s="301"/>
      <c r="TTQ1" s="301"/>
      <c r="TTR1" s="301"/>
      <c r="TTS1" s="301"/>
      <c r="TTT1" s="301"/>
      <c r="TTU1" s="301"/>
      <c r="TTV1" s="301"/>
      <c r="TTW1" s="301"/>
      <c r="TTX1" s="301"/>
      <c r="TTY1" s="301"/>
      <c r="TTZ1" s="301"/>
      <c r="TUA1" s="301"/>
      <c r="TUB1" s="301"/>
      <c r="TUC1" s="301"/>
      <c r="TUD1" s="301"/>
      <c r="TUE1" s="301"/>
      <c r="TUF1" s="301"/>
      <c r="TUG1" s="301"/>
      <c r="TUH1" s="301"/>
      <c r="TUI1" s="301"/>
      <c r="TUJ1" s="301"/>
      <c r="TUK1" s="301"/>
      <c r="TUL1" s="301"/>
      <c r="TUM1" s="301"/>
      <c r="TUN1" s="301"/>
      <c r="TUO1" s="301"/>
      <c r="TUP1" s="301"/>
      <c r="TUQ1" s="301"/>
      <c r="TUR1" s="301"/>
      <c r="TUS1" s="301"/>
      <c r="TUT1" s="301"/>
      <c r="TUU1" s="301"/>
      <c r="TUV1" s="301"/>
      <c r="TUW1" s="301"/>
      <c r="TUX1" s="301"/>
      <c r="TUY1" s="301"/>
      <c r="TUZ1" s="301"/>
      <c r="TVA1" s="301"/>
      <c r="TVB1" s="301"/>
      <c r="TVC1" s="301"/>
      <c r="TVD1" s="301"/>
      <c r="TVE1" s="301"/>
      <c r="TVF1" s="301"/>
      <c r="TVG1" s="301"/>
      <c r="TVH1" s="301"/>
      <c r="TVI1" s="301"/>
      <c r="TVJ1" s="301"/>
      <c r="TVK1" s="301"/>
      <c r="TVL1" s="301"/>
      <c r="TVM1" s="301"/>
      <c r="TVN1" s="301"/>
      <c r="TVO1" s="301"/>
      <c r="TVP1" s="301"/>
      <c r="TVQ1" s="301"/>
      <c r="TVR1" s="301"/>
      <c r="TVS1" s="301"/>
      <c r="TVT1" s="301"/>
      <c r="TVU1" s="301"/>
      <c r="TVV1" s="301"/>
      <c r="TVW1" s="301"/>
      <c r="TVX1" s="301"/>
      <c r="TVY1" s="301"/>
      <c r="TVZ1" s="301"/>
      <c r="TWA1" s="301"/>
      <c r="TWB1" s="301"/>
      <c r="TWC1" s="301"/>
      <c r="TWD1" s="301"/>
      <c r="TWE1" s="301"/>
      <c r="TWF1" s="301"/>
      <c r="TWG1" s="301"/>
      <c r="TWH1" s="301"/>
      <c r="TWI1" s="301"/>
      <c r="TWJ1" s="301"/>
      <c r="TWK1" s="301"/>
      <c r="TWL1" s="301"/>
      <c r="TWM1" s="301"/>
      <c r="TWN1" s="301"/>
      <c r="TWO1" s="301"/>
      <c r="TWP1" s="301"/>
      <c r="TWQ1" s="301"/>
      <c r="TWR1" s="301"/>
      <c r="TWS1" s="301"/>
      <c r="TWT1" s="301"/>
      <c r="TWU1" s="301"/>
      <c r="TWV1" s="301"/>
      <c r="TWW1" s="301"/>
      <c r="TWX1" s="301"/>
      <c r="TWY1" s="301"/>
      <c r="TWZ1" s="301"/>
      <c r="TXA1" s="301"/>
      <c r="TXB1" s="301"/>
      <c r="TXC1" s="301"/>
      <c r="TXD1" s="301"/>
      <c r="TXE1" s="301"/>
      <c r="TXF1" s="301"/>
      <c r="TXG1" s="301"/>
      <c r="TXH1" s="301"/>
      <c r="TXI1" s="301"/>
      <c r="TXJ1" s="301"/>
      <c r="TXK1" s="301"/>
      <c r="TXL1" s="301"/>
      <c r="TXM1" s="301"/>
      <c r="TXN1" s="301"/>
      <c r="TXO1" s="301"/>
      <c r="TXP1" s="301"/>
      <c r="TXQ1" s="301"/>
      <c r="TXR1" s="301"/>
      <c r="TXS1" s="301"/>
      <c r="TXT1" s="301"/>
      <c r="TXU1" s="301"/>
      <c r="TXV1" s="301"/>
      <c r="TXW1" s="301"/>
      <c r="TXX1" s="301"/>
      <c r="TXY1" s="301"/>
      <c r="TXZ1" s="301"/>
      <c r="TYA1" s="301"/>
      <c r="TYB1" s="301"/>
      <c r="TYC1" s="301"/>
      <c r="TYD1" s="301"/>
      <c r="TYE1" s="301"/>
      <c r="TYF1" s="301"/>
      <c r="TYG1" s="301"/>
      <c r="TYH1" s="301"/>
      <c r="TYI1" s="301"/>
      <c r="TYJ1" s="301"/>
      <c r="TYK1" s="301"/>
      <c r="TYL1" s="301"/>
      <c r="TYM1" s="301"/>
      <c r="TYN1" s="301"/>
      <c r="TYO1" s="301"/>
      <c r="TYP1" s="301"/>
      <c r="TYQ1" s="301"/>
      <c r="TYR1" s="301"/>
      <c r="TYS1" s="301"/>
      <c r="TYT1" s="301"/>
      <c r="TYU1" s="301"/>
      <c r="TYV1" s="301"/>
      <c r="TYW1" s="301"/>
      <c r="TYX1" s="301"/>
      <c r="TYY1" s="301"/>
      <c r="TYZ1" s="301"/>
      <c r="TZA1" s="301"/>
      <c r="TZB1" s="301"/>
      <c r="TZC1" s="301"/>
      <c r="TZD1" s="301"/>
      <c r="TZE1" s="301"/>
      <c r="TZF1" s="301"/>
      <c r="TZG1" s="301"/>
      <c r="TZH1" s="301"/>
      <c r="TZI1" s="301"/>
      <c r="TZJ1" s="301"/>
      <c r="TZK1" s="301"/>
      <c r="TZL1" s="301"/>
      <c r="TZM1" s="301"/>
      <c r="TZN1" s="301"/>
      <c r="TZO1" s="301"/>
      <c r="TZP1" s="301"/>
      <c r="TZQ1" s="301"/>
      <c r="TZR1" s="301"/>
      <c r="TZS1" s="301"/>
      <c r="TZT1" s="301"/>
      <c r="TZU1" s="301"/>
      <c r="TZV1" s="301"/>
      <c r="TZW1" s="301"/>
      <c r="TZX1" s="301"/>
      <c r="TZY1" s="301"/>
      <c r="TZZ1" s="301"/>
      <c r="UAA1" s="301"/>
      <c r="UAB1" s="301"/>
      <c r="UAC1" s="301"/>
      <c r="UAD1" s="301"/>
      <c r="UAE1" s="301"/>
      <c r="UAF1" s="301"/>
      <c r="UAG1" s="301"/>
      <c r="UAH1" s="301"/>
      <c r="UAI1" s="301"/>
      <c r="UAJ1" s="301"/>
      <c r="UAK1" s="301"/>
      <c r="UAL1" s="301"/>
      <c r="UAM1" s="301"/>
      <c r="UAN1" s="301"/>
      <c r="UAO1" s="301"/>
      <c r="UAP1" s="301"/>
      <c r="UAQ1" s="301"/>
      <c r="UAR1" s="301"/>
      <c r="UAS1" s="301"/>
      <c r="UAT1" s="301"/>
      <c r="UAU1" s="301"/>
      <c r="UAV1" s="301"/>
      <c r="UAW1" s="301"/>
      <c r="UAX1" s="301"/>
      <c r="UAY1" s="301"/>
      <c r="UAZ1" s="301"/>
      <c r="UBA1" s="301"/>
      <c r="UBB1" s="301"/>
      <c r="UBC1" s="301"/>
      <c r="UBD1" s="301"/>
      <c r="UBE1" s="301"/>
      <c r="UBF1" s="301"/>
      <c r="UBG1" s="301"/>
      <c r="UBH1" s="301"/>
      <c r="UBI1" s="301"/>
      <c r="UBJ1" s="301"/>
      <c r="UBK1" s="301"/>
      <c r="UBL1" s="301"/>
      <c r="UBM1" s="301"/>
      <c r="UBN1" s="301"/>
      <c r="UBO1" s="301"/>
      <c r="UBP1" s="301"/>
      <c r="UBQ1" s="301"/>
      <c r="UBR1" s="301"/>
      <c r="UBS1" s="301"/>
      <c r="UBT1" s="301"/>
      <c r="UBU1" s="301"/>
      <c r="UBV1" s="301"/>
      <c r="UBW1" s="301"/>
      <c r="UBX1" s="301"/>
      <c r="UBY1" s="301"/>
      <c r="UBZ1" s="301"/>
      <c r="UCA1" s="301"/>
      <c r="UCB1" s="301"/>
      <c r="UCC1" s="301"/>
      <c r="UCD1" s="301"/>
      <c r="UCE1" s="301"/>
      <c r="UCF1" s="301"/>
      <c r="UCG1" s="301"/>
      <c r="UCH1" s="301"/>
      <c r="UCI1" s="301"/>
      <c r="UCJ1" s="301"/>
      <c r="UCK1" s="301"/>
      <c r="UCL1" s="301"/>
      <c r="UCM1" s="301"/>
      <c r="UCN1" s="301"/>
      <c r="UCO1" s="301"/>
      <c r="UCP1" s="301"/>
      <c r="UCQ1" s="301"/>
      <c r="UCR1" s="301"/>
      <c r="UCS1" s="301"/>
      <c r="UCT1" s="301"/>
      <c r="UCU1" s="301"/>
      <c r="UCV1" s="301"/>
      <c r="UCW1" s="301"/>
      <c r="UCX1" s="301"/>
      <c r="UCY1" s="301"/>
      <c r="UCZ1" s="301"/>
      <c r="UDA1" s="301"/>
      <c r="UDB1" s="301"/>
      <c r="UDC1" s="301"/>
      <c r="UDD1" s="301"/>
      <c r="UDE1" s="301"/>
      <c r="UDF1" s="301"/>
      <c r="UDG1" s="301"/>
      <c r="UDH1" s="301"/>
      <c r="UDI1" s="301"/>
      <c r="UDJ1" s="301"/>
      <c r="UDK1" s="301"/>
      <c r="UDL1" s="301"/>
      <c r="UDM1" s="301"/>
      <c r="UDN1" s="301"/>
      <c r="UDO1" s="301"/>
      <c r="UDP1" s="301"/>
      <c r="UDQ1" s="301"/>
      <c r="UDR1" s="301"/>
      <c r="UDS1" s="301"/>
      <c r="UDT1" s="301"/>
      <c r="UDU1" s="301"/>
      <c r="UDV1" s="301"/>
      <c r="UDW1" s="301"/>
      <c r="UDX1" s="301"/>
      <c r="UDY1" s="301"/>
      <c r="UDZ1" s="301"/>
      <c r="UEA1" s="301"/>
      <c r="UEB1" s="301"/>
      <c r="UEC1" s="301"/>
      <c r="UED1" s="301"/>
      <c r="UEE1" s="301"/>
      <c r="UEF1" s="301"/>
      <c r="UEG1" s="301"/>
      <c r="UEH1" s="301"/>
      <c r="UEI1" s="301"/>
      <c r="UEJ1" s="301"/>
      <c r="UEK1" s="301"/>
      <c r="UEL1" s="301"/>
      <c r="UEM1" s="301"/>
      <c r="UEN1" s="301"/>
      <c r="UEO1" s="301"/>
      <c r="UEP1" s="301"/>
      <c r="UEQ1" s="301"/>
      <c r="UER1" s="301"/>
      <c r="UES1" s="301"/>
      <c r="UET1" s="301"/>
      <c r="UEU1" s="301"/>
      <c r="UEV1" s="301"/>
      <c r="UEW1" s="301"/>
      <c r="UEX1" s="301"/>
      <c r="UEY1" s="301"/>
      <c r="UEZ1" s="301"/>
      <c r="UFA1" s="301"/>
      <c r="UFB1" s="301"/>
      <c r="UFC1" s="301"/>
      <c r="UFD1" s="301"/>
      <c r="UFE1" s="301"/>
      <c r="UFF1" s="301"/>
      <c r="UFG1" s="301"/>
      <c r="UFH1" s="301"/>
      <c r="UFI1" s="301"/>
      <c r="UFJ1" s="301"/>
      <c r="UFK1" s="301"/>
      <c r="UFL1" s="301"/>
      <c r="UFM1" s="301"/>
      <c r="UFN1" s="301"/>
      <c r="UFO1" s="301"/>
      <c r="UFP1" s="301"/>
      <c r="UFQ1" s="301"/>
      <c r="UFR1" s="301"/>
      <c r="UFS1" s="301"/>
      <c r="UFT1" s="301"/>
      <c r="UFU1" s="301"/>
      <c r="UFV1" s="301"/>
      <c r="UFW1" s="301"/>
      <c r="UFX1" s="301"/>
      <c r="UFY1" s="301"/>
      <c r="UFZ1" s="301"/>
      <c r="UGA1" s="301"/>
      <c r="UGB1" s="301"/>
      <c r="UGC1" s="301"/>
      <c r="UGD1" s="301"/>
      <c r="UGE1" s="301"/>
      <c r="UGF1" s="301"/>
      <c r="UGG1" s="301"/>
      <c r="UGH1" s="301"/>
      <c r="UGI1" s="301"/>
      <c r="UGJ1" s="301"/>
      <c r="UGK1" s="301"/>
      <c r="UGL1" s="301"/>
      <c r="UGM1" s="301"/>
      <c r="UGN1" s="301"/>
      <c r="UGO1" s="301"/>
      <c r="UGP1" s="301"/>
      <c r="UGQ1" s="301"/>
      <c r="UGR1" s="301"/>
      <c r="UGS1" s="301"/>
      <c r="UGT1" s="301"/>
      <c r="UGU1" s="301"/>
      <c r="UGV1" s="301"/>
      <c r="UGW1" s="301"/>
      <c r="UGX1" s="301"/>
      <c r="UGY1" s="301"/>
      <c r="UGZ1" s="301"/>
      <c r="UHA1" s="301"/>
      <c r="UHB1" s="301"/>
      <c r="UHC1" s="301"/>
      <c r="UHD1" s="301"/>
      <c r="UHE1" s="301"/>
      <c r="UHF1" s="301"/>
      <c r="UHG1" s="301"/>
      <c r="UHH1" s="301"/>
      <c r="UHI1" s="301"/>
      <c r="UHJ1" s="301"/>
      <c r="UHK1" s="301"/>
      <c r="UHL1" s="301"/>
      <c r="UHM1" s="301"/>
      <c r="UHN1" s="301"/>
      <c r="UHO1" s="301"/>
      <c r="UHP1" s="301"/>
      <c r="UHQ1" s="301"/>
      <c r="UHR1" s="301"/>
      <c r="UHS1" s="301"/>
      <c r="UHT1" s="301"/>
      <c r="UHU1" s="301"/>
      <c r="UHV1" s="301"/>
      <c r="UHW1" s="301"/>
      <c r="UHX1" s="301"/>
      <c r="UHY1" s="301"/>
      <c r="UHZ1" s="301"/>
      <c r="UIA1" s="301"/>
      <c r="UIB1" s="301"/>
      <c r="UIC1" s="301"/>
      <c r="UID1" s="301"/>
      <c r="UIE1" s="301"/>
      <c r="UIF1" s="301"/>
      <c r="UIG1" s="301"/>
      <c r="UIH1" s="301"/>
      <c r="UII1" s="301"/>
      <c r="UIJ1" s="301"/>
      <c r="UIK1" s="301"/>
      <c r="UIL1" s="301"/>
      <c r="UIM1" s="301"/>
      <c r="UIN1" s="301"/>
      <c r="UIO1" s="301"/>
      <c r="UIP1" s="301"/>
      <c r="UIQ1" s="301"/>
      <c r="UIR1" s="301"/>
      <c r="UIS1" s="301"/>
      <c r="UIT1" s="301"/>
      <c r="UIU1" s="301"/>
      <c r="UIV1" s="301"/>
      <c r="UIW1" s="301"/>
      <c r="UIX1" s="301"/>
      <c r="UIY1" s="301"/>
      <c r="UIZ1" s="301"/>
      <c r="UJA1" s="301"/>
      <c r="UJB1" s="301"/>
      <c r="UJC1" s="301"/>
      <c r="UJD1" s="301"/>
      <c r="UJE1" s="301"/>
      <c r="UJF1" s="301"/>
      <c r="UJG1" s="301"/>
      <c r="UJH1" s="301"/>
      <c r="UJI1" s="301"/>
      <c r="UJJ1" s="301"/>
      <c r="UJK1" s="301"/>
      <c r="UJL1" s="301"/>
      <c r="UJM1" s="301"/>
      <c r="UJN1" s="301"/>
      <c r="UJO1" s="301"/>
      <c r="UJP1" s="301"/>
      <c r="UJQ1" s="301"/>
      <c r="UJR1" s="301"/>
      <c r="UJS1" s="301"/>
      <c r="UJT1" s="301"/>
      <c r="UJU1" s="301"/>
      <c r="UJV1" s="301"/>
      <c r="UJW1" s="301"/>
      <c r="UJX1" s="301"/>
      <c r="UJY1" s="301"/>
      <c r="UJZ1" s="301"/>
      <c r="UKA1" s="301"/>
      <c r="UKB1" s="301"/>
      <c r="UKC1" s="301"/>
      <c r="UKD1" s="301"/>
      <c r="UKE1" s="301"/>
      <c r="UKF1" s="301"/>
      <c r="UKG1" s="301"/>
      <c r="UKH1" s="301"/>
      <c r="UKI1" s="301"/>
      <c r="UKJ1" s="301"/>
      <c r="UKK1" s="301"/>
      <c r="UKL1" s="301"/>
      <c r="UKM1" s="301"/>
      <c r="UKN1" s="301"/>
      <c r="UKO1" s="301"/>
      <c r="UKP1" s="301"/>
      <c r="UKQ1" s="301"/>
      <c r="UKR1" s="301"/>
      <c r="UKS1" s="301"/>
      <c r="UKT1" s="301"/>
      <c r="UKU1" s="301"/>
      <c r="UKV1" s="301"/>
      <c r="UKW1" s="301"/>
      <c r="UKX1" s="301"/>
      <c r="UKY1" s="301"/>
      <c r="UKZ1" s="301"/>
      <c r="ULA1" s="301"/>
      <c r="ULB1" s="301"/>
      <c r="ULC1" s="301"/>
      <c r="ULD1" s="301"/>
      <c r="ULE1" s="301"/>
      <c r="ULF1" s="301"/>
      <c r="ULG1" s="301"/>
      <c r="ULH1" s="301"/>
      <c r="ULI1" s="301"/>
      <c r="ULJ1" s="301"/>
      <c r="ULK1" s="301"/>
      <c r="ULL1" s="301"/>
      <c r="ULM1" s="301"/>
      <c r="ULN1" s="301"/>
      <c r="ULO1" s="301"/>
      <c r="ULP1" s="301"/>
      <c r="ULQ1" s="301"/>
      <c r="ULR1" s="301"/>
      <c r="ULS1" s="301"/>
      <c r="ULT1" s="301"/>
      <c r="ULU1" s="301"/>
      <c r="ULV1" s="301"/>
      <c r="ULW1" s="301"/>
      <c r="ULX1" s="301"/>
      <c r="ULY1" s="301"/>
      <c r="ULZ1" s="301"/>
      <c r="UMA1" s="301"/>
      <c r="UMB1" s="301"/>
      <c r="UMC1" s="301"/>
      <c r="UMD1" s="301"/>
      <c r="UME1" s="301"/>
      <c r="UMF1" s="301"/>
      <c r="UMG1" s="301"/>
      <c r="UMH1" s="301"/>
      <c r="UMI1" s="301"/>
      <c r="UMJ1" s="301"/>
      <c r="UMK1" s="301"/>
      <c r="UML1" s="301"/>
      <c r="UMM1" s="301"/>
      <c r="UMN1" s="301"/>
      <c r="UMO1" s="301"/>
      <c r="UMP1" s="301"/>
      <c r="UMQ1" s="301"/>
      <c r="UMR1" s="301"/>
      <c r="UMS1" s="301"/>
      <c r="UMT1" s="301"/>
      <c r="UMU1" s="301"/>
      <c r="UMV1" s="301"/>
      <c r="UMW1" s="301"/>
      <c r="UMX1" s="301"/>
      <c r="UMY1" s="301"/>
      <c r="UMZ1" s="301"/>
      <c r="UNA1" s="301"/>
      <c r="UNB1" s="301"/>
      <c r="UNC1" s="301"/>
      <c r="UND1" s="301"/>
      <c r="UNE1" s="301"/>
      <c r="UNF1" s="301"/>
      <c r="UNG1" s="301"/>
      <c r="UNH1" s="301"/>
      <c r="UNI1" s="301"/>
      <c r="UNJ1" s="301"/>
      <c r="UNK1" s="301"/>
      <c r="UNL1" s="301"/>
      <c r="UNM1" s="301"/>
      <c r="UNN1" s="301"/>
      <c r="UNO1" s="301"/>
      <c r="UNP1" s="301"/>
      <c r="UNQ1" s="301"/>
      <c r="UNR1" s="301"/>
      <c r="UNS1" s="301"/>
      <c r="UNT1" s="301"/>
      <c r="UNU1" s="301"/>
      <c r="UNV1" s="301"/>
      <c r="UNW1" s="301"/>
      <c r="UNX1" s="301"/>
      <c r="UNY1" s="301"/>
      <c r="UNZ1" s="301"/>
      <c r="UOA1" s="301"/>
      <c r="UOB1" s="301"/>
      <c r="UOC1" s="301"/>
      <c r="UOD1" s="301"/>
      <c r="UOE1" s="301"/>
      <c r="UOF1" s="301"/>
      <c r="UOG1" s="301"/>
      <c r="UOH1" s="301"/>
      <c r="UOI1" s="301"/>
      <c r="UOJ1" s="301"/>
      <c r="UOK1" s="301"/>
      <c r="UOL1" s="301"/>
      <c r="UOM1" s="301"/>
      <c r="UON1" s="301"/>
      <c r="UOO1" s="301"/>
      <c r="UOP1" s="301"/>
      <c r="UOQ1" s="301"/>
      <c r="UOR1" s="301"/>
      <c r="UOS1" s="301"/>
      <c r="UOT1" s="301"/>
      <c r="UOU1" s="301"/>
      <c r="UOV1" s="301"/>
      <c r="UOW1" s="301"/>
      <c r="UOX1" s="301"/>
      <c r="UOY1" s="301"/>
      <c r="UOZ1" s="301"/>
      <c r="UPA1" s="301"/>
      <c r="UPB1" s="301"/>
      <c r="UPC1" s="301"/>
      <c r="UPD1" s="301"/>
      <c r="UPE1" s="301"/>
      <c r="UPF1" s="301"/>
      <c r="UPG1" s="301"/>
      <c r="UPH1" s="301"/>
      <c r="UPI1" s="301"/>
      <c r="UPJ1" s="301"/>
      <c r="UPK1" s="301"/>
      <c r="UPL1" s="301"/>
      <c r="UPM1" s="301"/>
      <c r="UPN1" s="301"/>
      <c r="UPO1" s="301"/>
      <c r="UPP1" s="301"/>
      <c r="UPQ1" s="301"/>
      <c r="UPR1" s="301"/>
      <c r="UPS1" s="301"/>
      <c r="UPT1" s="301"/>
      <c r="UPU1" s="301"/>
      <c r="UPV1" s="301"/>
      <c r="UPW1" s="301"/>
      <c r="UPX1" s="301"/>
      <c r="UPY1" s="301"/>
      <c r="UPZ1" s="301"/>
      <c r="UQA1" s="301"/>
      <c r="UQB1" s="301"/>
      <c r="UQC1" s="301"/>
      <c r="UQD1" s="301"/>
      <c r="UQE1" s="301"/>
      <c r="UQF1" s="301"/>
      <c r="UQG1" s="301"/>
      <c r="UQH1" s="301"/>
      <c r="UQI1" s="301"/>
      <c r="UQJ1" s="301"/>
      <c r="UQK1" s="301"/>
      <c r="UQL1" s="301"/>
      <c r="UQM1" s="301"/>
      <c r="UQN1" s="301"/>
      <c r="UQO1" s="301"/>
      <c r="UQP1" s="301"/>
      <c r="UQQ1" s="301"/>
      <c r="UQR1" s="301"/>
      <c r="UQS1" s="301"/>
      <c r="UQT1" s="301"/>
      <c r="UQU1" s="301"/>
      <c r="UQV1" s="301"/>
      <c r="UQW1" s="301"/>
      <c r="UQX1" s="301"/>
      <c r="UQY1" s="301"/>
      <c r="UQZ1" s="301"/>
      <c r="URA1" s="301"/>
      <c r="URB1" s="301"/>
      <c r="URC1" s="301"/>
      <c r="URD1" s="301"/>
      <c r="URE1" s="301"/>
      <c r="URF1" s="301"/>
      <c r="URG1" s="301"/>
      <c r="URH1" s="301"/>
      <c r="URI1" s="301"/>
      <c r="URJ1" s="301"/>
      <c r="URK1" s="301"/>
      <c r="URL1" s="301"/>
      <c r="URM1" s="301"/>
      <c r="URN1" s="301"/>
      <c r="URO1" s="301"/>
      <c r="URP1" s="301"/>
      <c r="URQ1" s="301"/>
      <c r="URR1" s="301"/>
      <c r="URS1" s="301"/>
      <c r="URT1" s="301"/>
      <c r="URU1" s="301"/>
      <c r="URV1" s="301"/>
      <c r="URW1" s="301"/>
      <c r="URX1" s="301"/>
      <c r="URY1" s="301"/>
      <c r="URZ1" s="301"/>
      <c r="USA1" s="301"/>
      <c r="USB1" s="301"/>
      <c r="USC1" s="301"/>
      <c r="USD1" s="301"/>
      <c r="USE1" s="301"/>
      <c r="USF1" s="301"/>
      <c r="USG1" s="301"/>
      <c r="USH1" s="301"/>
      <c r="USI1" s="301"/>
      <c r="USJ1" s="301"/>
      <c r="USK1" s="301"/>
      <c r="USL1" s="301"/>
      <c r="USM1" s="301"/>
      <c r="USN1" s="301"/>
      <c r="USO1" s="301"/>
      <c r="USP1" s="301"/>
      <c r="USQ1" s="301"/>
      <c r="USR1" s="301"/>
      <c r="USS1" s="301"/>
      <c r="UST1" s="301"/>
      <c r="USU1" s="301"/>
      <c r="USV1" s="301"/>
      <c r="USW1" s="301"/>
      <c r="USX1" s="301"/>
      <c r="USY1" s="301"/>
      <c r="USZ1" s="301"/>
      <c r="UTA1" s="301"/>
      <c r="UTB1" s="301"/>
      <c r="UTC1" s="301"/>
      <c r="UTD1" s="301"/>
      <c r="UTE1" s="301"/>
      <c r="UTF1" s="301"/>
      <c r="UTG1" s="301"/>
      <c r="UTH1" s="301"/>
      <c r="UTI1" s="301"/>
      <c r="UTJ1" s="301"/>
      <c r="UTK1" s="301"/>
      <c r="UTL1" s="301"/>
      <c r="UTM1" s="301"/>
      <c r="UTN1" s="301"/>
      <c r="UTO1" s="301"/>
      <c r="UTP1" s="301"/>
      <c r="UTQ1" s="301"/>
      <c r="UTR1" s="301"/>
      <c r="UTS1" s="301"/>
      <c r="UTT1" s="301"/>
      <c r="UTU1" s="301"/>
      <c r="UTV1" s="301"/>
      <c r="UTW1" s="301"/>
      <c r="UTX1" s="301"/>
      <c r="UTY1" s="301"/>
      <c r="UTZ1" s="301"/>
      <c r="UUA1" s="301"/>
      <c r="UUB1" s="301"/>
      <c r="UUC1" s="301"/>
      <c r="UUD1" s="301"/>
      <c r="UUE1" s="301"/>
      <c r="UUF1" s="301"/>
      <c r="UUG1" s="301"/>
      <c r="UUH1" s="301"/>
      <c r="UUI1" s="301"/>
      <c r="UUJ1" s="301"/>
      <c r="UUK1" s="301"/>
      <c r="UUL1" s="301"/>
      <c r="UUM1" s="301"/>
      <c r="UUN1" s="301"/>
      <c r="UUO1" s="301"/>
      <c r="UUP1" s="301"/>
      <c r="UUQ1" s="301"/>
      <c r="UUR1" s="301"/>
      <c r="UUS1" s="301"/>
      <c r="UUT1" s="301"/>
      <c r="UUU1" s="301"/>
      <c r="UUV1" s="301"/>
      <c r="UUW1" s="301"/>
      <c r="UUX1" s="301"/>
      <c r="UUY1" s="301"/>
      <c r="UUZ1" s="301"/>
      <c r="UVA1" s="301"/>
      <c r="UVB1" s="301"/>
      <c r="UVC1" s="301"/>
      <c r="UVD1" s="301"/>
      <c r="UVE1" s="301"/>
      <c r="UVF1" s="301"/>
      <c r="UVG1" s="301"/>
      <c r="UVH1" s="301"/>
      <c r="UVI1" s="301"/>
      <c r="UVJ1" s="301"/>
      <c r="UVK1" s="301"/>
      <c r="UVL1" s="301"/>
      <c r="UVM1" s="301"/>
      <c r="UVN1" s="301"/>
      <c r="UVO1" s="301"/>
      <c r="UVP1" s="301"/>
      <c r="UVQ1" s="301"/>
      <c r="UVR1" s="301"/>
      <c r="UVS1" s="301"/>
      <c r="UVT1" s="301"/>
      <c r="UVU1" s="301"/>
      <c r="UVV1" s="301"/>
      <c r="UVW1" s="301"/>
      <c r="UVX1" s="301"/>
      <c r="UVY1" s="301"/>
      <c r="UVZ1" s="301"/>
      <c r="UWA1" s="301"/>
      <c r="UWB1" s="301"/>
      <c r="UWC1" s="301"/>
      <c r="UWD1" s="301"/>
      <c r="UWE1" s="301"/>
      <c r="UWF1" s="301"/>
      <c r="UWG1" s="301"/>
      <c r="UWH1" s="301"/>
      <c r="UWI1" s="301"/>
      <c r="UWJ1" s="301"/>
      <c r="UWK1" s="301"/>
      <c r="UWL1" s="301"/>
      <c r="UWM1" s="301"/>
      <c r="UWN1" s="301"/>
      <c r="UWO1" s="301"/>
      <c r="UWP1" s="301"/>
      <c r="UWQ1" s="301"/>
      <c r="UWR1" s="301"/>
      <c r="UWS1" s="301"/>
      <c r="UWT1" s="301"/>
      <c r="UWU1" s="301"/>
      <c r="UWV1" s="301"/>
      <c r="UWW1" s="301"/>
      <c r="UWX1" s="301"/>
      <c r="UWY1" s="301"/>
      <c r="UWZ1" s="301"/>
      <c r="UXA1" s="301"/>
      <c r="UXB1" s="301"/>
      <c r="UXC1" s="301"/>
      <c r="UXD1" s="301"/>
      <c r="UXE1" s="301"/>
      <c r="UXF1" s="301"/>
      <c r="UXG1" s="301"/>
      <c r="UXH1" s="301"/>
      <c r="UXI1" s="301"/>
      <c r="UXJ1" s="301"/>
      <c r="UXK1" s="301"/>
      <c r="UXL1" s="301"/>
      <c r="UXM1" s="301"/>
      <c r="UXN1" s="301"/>
      <c r="UXO1" s="301"/>
      <c r="UXP1" s="301"/>
      <c r="UXQ1" s="301"/>
      <c r="UXR1" s="301"/>
      <c r="UXS1" s="301"/>
      <c r="UXT1" s="301"/>
      <c r="UXU1" s="301"/>
      <c r="UXV1" s="301"/>
      <c r="UXW1" s="301"/>
      <c r="UXX1" s="301"/>
      <c r="UXY1" s="301"/>
      <c r="UXZ1" s="301"/>
      <c r="UYA1" s="301"/>
      <c r="UYB1" s="301"/>
      <c r="UYC1" s="301"/>
      <c r="UYD1" s="301"/>
      <c r="UYE1" s="301"/>
      <c r="UYF1" s="301"/>
      <c r="UYG1" s="301"/>
      <c r="UYH1" s="301"/>
      <c r="UYI1" s="301"/>
      <c r="UYJ1" s="301"/>
      <c r="UYK1" s="301"/>
      <c r="UYL1" s="301"/>
      <c r="UYM1" s="301"/>
      <c r="UYN1" s="301"/>
      <c r="UYO1" s="301"/>
      <c r="UYP1" s="301"/>
      <c r="UYQ1" s="301"/>
      <c r="UYR1" s="301"/>
      <c r="UYS1" s="301"/>
      <c r="UYT1" s="301"/>
      <c r="UYU1" s="301"/>
      <c r="UYV1" s="301"/>
      <c r="UYW1" s="301"/>
      <c r="UYX1" s="301"/>
      <c r="UYY1" s="301"/>
      <c r="UYZ1" s="301"/>
      <c r="UZA1" s="301"/>
      <c r="UZB1" s="301"/>
      <c r="UZC1" s="301"/>
      <c r="UZD1" s="301"/>
      <c r="UZE1" s="301"/>
      <c r="UZF1" s="301"/>
      <c r="UZG1" s="301"/>
      <c r="UZH1" s="301"/>
      <c r="UZI1" s="301"/>
      <c r="UZJ1" s="301"/>
      <c r="UZK1" s="301"/>
      <c r="UZL1" s="301"/>
      <c r="UZM1" s="301"/>
      <c r="UZN1" s="301"/>
      <c r="UZO1" s="301"/>
      <c r="UZP1" s="301"/>
      <c r="UZQ1" s="301"/>
      <c r="UZR1" s="301"/>
      <c r="UZS1" s="301"/>
      <c r="UZT1" s="301"/>
      <c r="UZU1" s="301"/>
      <c r="UZV1" s="301"/>
      <c r="UZW1" s="301"/>
      <c r="UZX1" s="301"/>
      <c r="UZY1" s="301"/>
      <c r="UZZ1" s="301"/>
      <c r="VAA1" s="301"/>
      <c r="VAB1" s="301"/>
      <c r="VAC1" s="301"/>
      <c r="VAD1" s="301"/>
      <c r="VAE1" s="301"/>
      <c r="VAF1" s="301"/>
      <c r="VAG1" s="301"/>
      <c r="VAH1" s="301"/>
      <c r="VAI1" s="301"/>
      <c r="VAJ1" s="301"/>
      <c r="VAK1" s="301"/>
      <c r="VAL1" s="301"/>
      <c r="VAM1" s="301"/>
      <c r="VAN1" s="301"/>
      <c r="VAO1" s="301"/>
      <c r="VAP1" s="301"/>
      <c r="VAQ1" s="301"/>
      <c r="VAR1" s="301"/>
      <c r="VAS1" s="301"/>
      <c r="VAT1" s="301"/>
      <c r="VAU1" s="301"/>
      <c r="VAV1" s="301"/>
      <c r="VAW1" s="301"/>
      <c r="VAX1" s="301"/>
      <c r="VAY1" s="301"/>
      <c r="VAZ1" s="301"/>
      <c r="VBA1" s="301"/>
      <c r="VBB1" s="301"/>
      <c r="VBC1" s="301"/>
      <c r="VBD1" s="301"/>
      <c r="VBE1" s="301"/>
      <c r="VBF1" s="301"/>
      <c r="VBG1" s="301"/>
      <c r="VBH1" s="301"/>
      <c r="VBI1" s="301"/>
      <c r="VBJ1" s="301"/>
      <c r="VBK1" s="301"/>
      <c r="VBL1" s="301"/>
      <c r="VBM1" s="301"/>
      <c r="VBN1" s="301"/>
      <c r="VBO1" s="301"/>
      <c r="VBP1" s="301"/>
      <c r="VBQ1" s="301"/>
      <c r="VBR1" s="301"/>
      <c r="VBS1" s="301"/>
      <c r="VBT1" s="301"/>
      <c r="VBU1" s="301"/>
      <c r="VBV1" s="301"/>
      <c r="VBW1" s="301"/>
      <c r="VBX1" s="301"/>
      <c r="VBY1" s="301"/>
      <c r="VBZ1" s="301"/>
      <c r="VCA1" s="301"/>
      <c r="VCB1" s="301"/>
      <c r="VCC1" s="301"/>
      <c r="VCD1" s="301"/>
      <c r="VCE1" s="301"/>
      <c r="VCF1" s="301"/>
      <c r="VCG1" s="301"/>
      <c r="VCH1" s="301"/>
      <c r="VCI1" s="301"/>
      <c r="VCJ1" s="301"/>
      <c r="VCK1" s="301"/>
      <c r="VCL1" s="301"/>
      <c r="VCM1" s="301"/>
      <c r="VCN1" s="301"/>
      <c r="VCO1" s="301"/>
      <c r="VCP1" s="301"/>
      <c r="VCQ1" s="301"/>
      <c r="VCR1" s="301"/>
      <c r="VCS1" s="301"/>
      <c r="VCT1" s="301"/>
      <c r="VCU1" s="301"/>
      <c r="VCV1" s="301"/>
      <c r="VCW1" s="301"/>
      <c r="VCX1" s="301"/>
      <c r="VCY1" s="301"/>
      <c r="VCZ1" s="301"/>
      <c r="VDA1" s="301"/>
      <c r="VDB1" s="301"/>
      <c r="VDC1" s="301"/>
      <c r="VDD1" s="301"/>
      <c r="VDE1" s="301"/>
      <c r="VDF1" s="301"/>
      <c r="VDG1" s="301"/>
      <c r="VDH1" s="301"/>
      <c r="VDI1" s="301"/>
      <c r="VDJ1" s="301"/>
      <c r="VDK1" s="301"/>
      <c r="VDL1" s="301"/>
      <c r="VDM1" s="301"/>
      <c r="VDN1" s="301"/>
      <c r="VDO1" s="301"/>
      <c r="VDP1" s="301"/>
      <c r="VDQ1" s="301"/>
      <c r="VDR1" s="301"/>
      <c r="VDS1" s="301"/>
      <c r="VDT1" s="301"/>
      <c r="VDU1" s="301"/>
      <c r="VDV1" s="301"/>
      <c r="VDW1" s="301"/>
      <c r="VDX1" s="301"/>
      <c r="VDY1" s="301"/>
      <c r="VDZ1" s="301"/>
      <c r="VEA1" s="301"/>
      <c r="VEB1" s="301"/>
      <c r="VEC1" s="301"/>
      <c r="VED1" s="301"/>
      <c r="VEE1" s="301"/>
      <c r="VEF1" s="301"/>
      <c r="VEG1" s="301"/>
      <c r="VEH1" s="301"/>
      <c r="VEI1" s="301"/>
      <c r="VEJ1" s="301"/>
      <c r="VEK1" s="301"/>
      <c r="VEL1" s="301"/>
      <c r="VEM1" s="301"/>
      <c r="VEN1" s="301"/>
      <c r="VEO1" s="301"/>
      <c r="VEP1" s="301"/>
      <c r="VEQ1" s="301"/>
      <c r="VER1" s="301"/>
      <c r="VES1" s="301"/>
      <c r="VET1" s="301"/>
      <c r="VEU1" s="301"/>
      <c r="VEV1" s="301"/>
      <c r="VEW1" s="301"/>
      <c r="VEX1" s="301"/>
      <c r="VEY1" s="301"/>
      <c r="VEZ1" s="301"/>
      <c r="VFA1" s="301"/>
      <c r="VFB1" s="301"/>
      <c r="VFC1" s="301"/>
      <c r="VFD1" s="301"/>
      <c r="VFE1" s="301"/>
      <c r="VFF1" s="301"/>
      <c r="VFG1" s="301"/>
      <c r="VFH1" s="301"/>
      <c r="VFI1" s="301"/>
      <c r="VFJ1" s="301"/>
      <c r="VFK1" s="301"/>
      <c r="VFL1" s="301"/>
      <c r="VFM1" s="301"/>
      <c r="VFN1" s="301"/>
      <c r="VFO1" s="301"/>
      <c r="VFP1" s="301"/>
      <c r="VFQ1" s="301"/>
      <c r="VFR1" s="301"/>
      <c r="VFS1" s="301"/>
      <c r="VFT1" s="301"/>
      <c r="VFU1" s="301"/>
      <c r="VFV1" s="301"/>
      <c r="VFW1" s="301"/>
      <c r="VFX1" s="301"/>
      <c r="VFY1" s="301"/>
      <c r="VFZ1" s="301"/>
      <c r="VGA1" s="301"/>
      <c r="VGB1" s="301"/>
      <c r="VGC1" s="301"/>
      <c r="VGD1" s="301"/>
      <c r="VGE1" s="301"/>
      <c r="VGF1" s="301"/>
      <c r="VGG1" s="301"/>
      <c r="VGH1" s="301"/>
      <c r="VGI1" s="301"/>
      <c r="VGJ1" s="301"/>
      <c r="VGK1" s="301"/>
      <c r="VGL1" s="301"/>
      <c r="VGM1" s="301"/>
      <c r="VGN1" s="301"/>
      <c r="VGO1" s="301"/>
      <c r="VGP1" s="301"/>
      <c r="VGQ1" s="301"/>
      <c r="VGR1" s="301"/>
      <c r="VGS1" s="301"/>
      <c r="VGT1" s="301"/>
      <c r="VGU1" s="301"/>
      <c r="VGV1" s="301"/>
      <c r="VGW1" s="301"/>
      <c r="VGX1" s="301"/>
      <c r="VGY1" s="301"/>
      <c r="VGZ1" s="301"/>
      <c r="VHA1" s="301"/>
      <c r="VHB1" s="301"/>
      <c r="VHC1" s="301"/>
      <c r="VHD1" s="301"/>
      <c r="VHE1" s="301"/>
      <c r="VHF1" s="301"/>
      <c r="VHG1" s="301"/>
      <c r="VHH1" s="301"/>
      <c r="VHI1" s="301"/>
      <c r="VHJ1" s="301"/>
      <c r="VHK1" s="301"/>
      <c r="VHL1" s="301"/>
      <c r="VHM1" s="301"/>
      <c r="VHN1" s="301"/>
      <c r="VHO1" s="301"/>
      <c r="VHP1" s="301"/>
      <c r="VHQ1" s="301"/>
      <c r="VHR1" s="301"/>
      <c r="VHS1" s="301"/>
      <c r="VHT1" s="301"/>
      <c r="VHU1" s="301"/>
      <c r="VHV1" s="301"/>
      <c r="VHW1" s="301"/>
      <c r="VHX1" s="301"/>
      <c r="VHY1" s="301"/>
      <c r="VHZ1" s="301"/>
      <c r="VIA1" s="301"/>
      <c r="VIB1" s="301"/>
      <c r="VIC1" s="301"/>
      <c r="VID1" s="301"/>
      <c r="VIE1" s="301"/>
      <c r="VIF1" s="301"/>
      <c r="VIG1" s="301"/>
      <c r="VIH1" s="301"/>
      <c r="VII1" s="301"/>
      <c r="VIJ1" s="301"/>
      <c r="VIK1" s="301"/>
      <c r="VIL1" s="301"/>
      <c r="VIM1" s="301"/>
      <c r="VIN1" s="301"/>
      <c r="VIO1" s="301"/>
      <c r="VIP1" s="301"/>
      <c r="VIQ1" s="301"/>
      <c r="VIR1" s="301"/>
      <c r="VIS1" s="301"/>
      <c r="VIT1" s="301"/>
      <c r="VIU1" s="301"/>
      <c r="VIV1" s="301"/>
      <c r="VIW1" s="301"/>
      <c r="VIX1" s="301"/>
      <c r="VIY1" s="301"/>
      <c r="VIZ1" s="301"/>
      <c r="VJA1" s="301"/>
      <c r="VJB1" s="301"/>
      <c r="VJC1" s="301"/>
      <c r="VJD1" s="301"/>
      <c r="VJE1" s="301"/>
      <c r="VJF1" s="301"/>
      <c r="VJG1" s="301"/>
      <c r="VJH1" s="301"/>
      <c r="VJI1" s="301"/>
      <c r="VJJ1" s="301"/>
      <c r="VJK1" s="301"/>
      <c r="VJL1" s="301"/>
      <c r="VJM1" s="301"/>
      <c r="VJN1" s="301"/>
      <c r="VJO1" s="301"/>
      <c r="VJP1" s="301"/>
      <c r="VJQ1" s="301"/>
      <c r="VJR1" s="301"/>
      <c r="VJS1" s="301"/>
      <c r="VJT1" s="301"/>
      <c r="VJU1" s="301"/>
      <c r="VJV1" s="301"/>
      <c r="VJW1" s="301"/>
      <c r="VJX1" s="301"/>
      <c r="VJY1" s="301"/>
      <c r="VJZ1" s="301"/>
      <c r="VKA1" s="301"/>
      <c r="VKB1" s="301"/>
      <c r="VKC1" s="301"/>
      <c r="VKD1" s="301"/>
      <c r="VKE1" s="301"/>
      <c r="VKF1" s="301"/>
      <c r="VKG1" s="301"/>
      <c r="VKH1" s="301"/>
      <c r="VKI1" s="301"/>
      <c r="VKJ1" s="301"/>
      <c r="VKK1" s="301"/>
      <c r="VKL1" s="301"/>
      <c r="VKM1" s="301"/>
      <c r="VKN1" s="301"/>
      <c r="VKO1" s="301"/>
      <c r="VKP1" s="301"/>
      <c r="VKQ1" s="301"/>
      <c r="VKR1" s="301"/>
      <c r="VKS1" s="301"/>
      <c r="VKT1" s="301"/>
      <c r="VKU1" s="301"/>
      <c r="VKV1" s="301"/>
      <c r="VKW1" s="301"/>
      <c r="VKX1" s="301"/>
      <c r="VKY1" s="301"/>
      <c r="VKZ1" s="301"/>
      <c r="VLA1" s="301"/>
      <c r="VLB1" s="301"/>
      <c r="VLC1" s="301"/>
      <c r="VLD1" s="301"/>
      <c r="VLE1" s="301"/>
      <c r="VLF1" s="301"/>
      <c r="VLG1" s="301"/>
      <c r="VLH1" s="301"/>
      <c r="VLI1" s="301"/>
      <c r="VLJ1" s="301"/>
      <c r="VLK1" s="301"/>
      <c r="VLL1" s="301"/>
      <c r="VLM1" s="301"/>
      <c r="VLN1" s="301"/>
      <c r="VLO1" s="301"/>
      <c r="VLP1" s="301"/>
      <c r="VLQ1" s="301"/>
      <c r="VLR1" s="301"/>
      <c r="VLS1" s="301"/>
      <c r="VLT1" s="301"/>
      <c r="VLU1" s="301"/>
      <c r="VLV1" s="301"/>
      <c r="VLW1" s="301"/>
      <c r="VLX1" s="301"/>
      <c r="VLY1" s="301"/>
      <c r="VLZ1" s="301"/>
      <c r="VMA1" s="301"/>
      <c r="VMB1" s="301"/>
      <c r="VMC1" s="301"/>
      <c r="VMD1" s="301"/>
      <c r="VME1" s="301"/>
      <c r="VMF1" s="301"/>
      <c r="VMG1" s="301"/>
      <c r="VMH1" s="301"/>
      <c r="VMI1" s="301"/>
      <c r="VMJ1" s="301"/>
      <c r="VMK1" s="301"/>
      <c r="VML1" s="301"/>
      <c r="VMM1" s="301"/>
      <c r="VMN1" s="301"/>
      <c r="VMO1" s="301"/>
      <c r="VMP1" s="301"/>
      <c r="VMQ1" s="301"/>
      <c r="VMR1" s="301"/>
      <c r="VMS1" s="301"/>
      <c r="VMT1" s="301"/>
      <c r="VMU1" s="301"/>
      <c r="VMV1" s="301"/>
      <c r="VMW1" s="301"/>
      <c r="VMX1" s="301"/>
      <c r="VMY1" s="301"/>
      <c r="VMZ1" s="301"/>
      <c r="VNA1" s="301"/>
      <c r="VNB1" s="301"/>
      <c r="VNC1" s="301"/>
      <c r="VND1" s="301"/>
      <c r="VNE1" s="301"/>
      <c r="VNF1" s="301"/>
      <c r="VNG1" s="301"/>
      <c r="VNH1" s="301"/>
      <c r="VNI1" s="301"/>
      <c r="VNJ1" s="301"/>
      <c r="VNK1" s="301"/>
      <c r="VNL1" s="301"/>
      <c r="VNM1" s="301"/>
      <c r="VNN1" s="301"/>
      <c r="VNO1" s="301"/>
      <c r="VNP1" s="301"/>
      <c r="VNQ1" s="301"/>
      <c r="VNR1" s="301"/>
      <c r="VNS1" s="301"/>
      <c r="VNT1" s="301"/>
      <c r="VNU1" s="301"/>
      <c r="VNV1" s="301"/>
      <c r="VNW1" s="301"/>
      <c r="VNX1" s="301"/>
      <c r="VNY1" s="301"/>
      <c r="VNZ1" s="301"/>
      <c r="VOA1" s="301"/>
      <c r="VOB1" s="301"/>
      <c r="VOC1" s="301"/>
      <c r="VOD1" s="301"/>
      <c r="VOE1" s="301"/>
      <c r="VOF1" s="301"/>
      <c r="VOG1" s="301"/>
      <c r="VOH1" s="301"/>
      <c r="VOI1" s="301"/>
      <c r="VOJ1" s="301"/>
      <c r="VOK1" s="301"/>
      <c r="VOL1" s="301"/>
      <c r="VOM1" s="301"/>
      <c r="VON1" s="301"/>
      <c r="VOO1" s="301"/>
      <c r="VOP1" s="301"/>
      <c r="VOQ1" s="301"/>
      <c r="VOR1" s="301"/>
      <c r="VOS1" s="301"/>
      <c r="VOT1" s="301"/>
      <c r="VOU1" s="301"/>
      <c r="VOV1" s="301"/>
      <c r="VOW1" s="301"/>
      <c r="VOX1" s="301"/>
      <c r="VOY1" s="301"/>
      <c r="VOZ1" s="301"/>
      <c r="VPA1" s="301"/>
      <c r="VPB1" s="301"/>
      <c r="VPC1" s="301"/>
      <c r="VPD1" s="301"/>
      <c r="VPE1" s="301"/>
      <c r="VPF1" s="301"/>
      <c r="VPG1" s="301"/>
      <c r="VPH1" s="301"/>
      <c r="VPI1" s="301"/>
      <c r="VPJ1" s="301"/>
      <c r="VPK1" s="301"/>
      <c r="VPL1" s="301"/>
      <c r="VPM1" s="301"/>
      <c r="VPN1" s="301"/>
      <c r="VPO1" s="301"/>
      <c r="VPP1" s="301"/>
      <c r="VPQ1" s="301"/>
      <c r="VPR1" s="301"/>
      <c r="VPS1" s="301"/>
      <c r="VPT1" s="301"/>
      <c r="VPU1" s="301"/>
      <c r="VPV1" s="301"/>
      <c r="VPW1" s="301"/>
      <c r="VPX1" s="301"/>
      <c r="VPY1" s="301"/>
      <c r="VPZ1" s="301"/>
      <c r="VQA1" s="301"/>
      <c r="VQB1" s="301"/>
      <c r="VQC1" s="301"/>
      <c r="VQD1" s="301"/>
      <c r="VQE1" s="301"/>
      <c r="VQF1" s="301"/>
      <c r="VQG1" s="301"/>
      <c r="VQH1" s="301"/>
      <c r="VQI1" s="301"/>
      <c r="VQJ1" s="301"/>
      <c r="VQK1" s="301"/>
      <c r="VQL1" s="301"/>
      <c r="VQM1" s="301"/>
      <c r="VQN1" s="301"/>
      <c r="VQO1" s="301"/>
      <c r="VQP1" s="301"/>
      <c r="VQQ1" s="301"/>
      <c r="VQR1" s="301"/>
      <c r="VQS1" s="301"/>
      <c r="VQT1" s="301"/>
      <c r="VQU1" s="301"/>
      <c r="VQV1" s="301"/>
      <c r="VQW1" s="301"/>
      <c r="VQX1" s="301"/>
      <c r="VQY1" s="301"/>
      <c r="VQZ1" s="301"/>
      <c r="VRA1" s="301"/>
      <c r="VRB1" s="301"/>
      <c r="VRC1" s="301"/>
      <c r="VRD1" s="301"/>
      <c r="VRE1" s="301"/>
      <c r="VRF1" s="301"/>
      <c r="VRG1" s="301"/>
      <c r="VRH1" s="301"/>
      <c r="VRI1" s="301"/>
      <c r="VRJ1" s="301"/>
      <c r="VRK1" s="301"/>
      <c r="VRL1" s="301"/>
      <c r="VRM1" s="301"/>
      <c r="VRN1" s="301"/>
      <c r="VRO1" s="301"/>
      <c r="VRP1" s="301"/>
      <c r="VRQ1" s="301"/>
      <c r="VRR1" s="301"/>
      <c r="VRS1" s="301"/>
      <c r="VRT1" s="301"/>
      <c r="VRU1" s="301"/>
      <c r="VRV1" s="301"/>
      <c r="VRW1" s="301"/>
      <c r="VRX1" s="301"/>
      <c r="VRY1" s="301"/>
      <c r="VRZ1" s="301"/>
      <c r="VSA1" s="301"/>
      <c r="VSB1" s="301"/>
      <c r="VSC1" s="301"/>
      <c r="VSD1" s="301"/>
      <c r="VSE1" s="301"/>
      <c r="VSF1" s="301"/>
      <c r="VSG1" s="301"/>
      <c r="VSH1" s="301"/>
      <c r="VSI1" s="301"/>
      <c r="VSJ1" s="301"/>
      <c r="VSK1" s="301"/>
      <c r="VSL1" s="301"/>
      <c r="VSM1" s="301"/>
      <c r="VSN1" s="301"/>
      <c r="VSO1" s="301"/>
      <c r="VSP1" s="301"/>
      <c r="VSQ1" s="301"/>
      <c r="VSR1" s="301"/>
      <c r="VSS1" s="301"/>
      <c r="VST1" s="301"/>
      <c r="VSU1" s="301"/>
      <c r="VSV1" s="301"/>
      <c r="VSW1" s="301"/>
      <c r="VSX1" s="301"/>
      <c r="VSY1" s="301"/>
      <c r="VSZ1" s="301"/>
      <c r="VTA1" s="301"/>
      <c r="VTB1" s="301"/>
      <c r="VTC1" s="301"/>
      <c r="VTD1" s="301"/>
      <c r="VTE1" s="301"/>
      <c r="VTF1" s="301"/>
      <c r="VTG1" s="301"/>
      <c r="VTH1" s="301"/>
      <c r="VTI1" s="301"/>
      <c r="VTJ1" s="301"/>
      <c r="VTK1" s="301"/>
      <c r="VTL1" s="301"/>
      <c r="VTM1" s="301"/>
      <c r="VTN1" s="301"/>
      <c r="VTO1" s="301"/>
      <c r="VTP1" s="301"/>
      <c r="VTQ1" s="301"/>
      <c r="VTR1" s="301"/>
      <c r="VTS1" s="301"/>
      <c r="VTT1" s="301"/>
      <c r="VTU1" s="301"/>
      <c r="VTV1" s="301"/>
      <c r="VTW1" s="301"/>
      <c r="VTX1" s="301"/>
      <c r="VTY1" s="301"/>
      <c r="VTZ1" s="301"/>
      <c r="VUA1" s="301"/>
      <c r="VUB1" s="301"/>
      <c r="VUC1" s="301"/>
      <c r="VUD1" s="301"/>
      <c r="VUE1" s="301"/>
      <c r="VUF1" s="301"/>
      <c r="VUG1" s="301"/>
      <c r="VUH1" s="301"/>
      <c r="VUI1" s="301"/>
      <c r="VUJ1" s="301"/>
      <c r="VUK1" s="301"/>
      <c r="VUL1" s="301"/>
      <c r="VUM1" s="301"/>
      <c r="VUN1" s="301"/>
      <c r="VUO1" s="301"/>
      <c r="VUP1" s="301"/>
      <c r="VUQ1" s="301"/>
      <c r="VUR1" s="301"/>
      <c r="VUS1" s="301"/>
      <c r="VUT1" s="301"/>
      <c r="VUU1" s="301"/>
      <c r="VUV1" s="301"/>
      <c r="VUW1" s="301"/>
      <c r="VUX1" s="301"/>
      <c r="VUY1" s="301"/>
      <c r="VUZ1" s="301"/>
      <c r="VVA1" s="301"/>
      <c r="VVB1" s="301"/>
      <c r="VVC1" s="301"/>
      <c r="VVD1" s="301"/>
      <c r="VVE1" s="301"/>
      <c r="VVF1" s="301"/>
      <c r="VVG1" s="301"/>
      <c r="VVH1" s="301"/>
      <c r="VVI1" s="301"/>
      <c r="VVJ1" s="301"/>
      <c r="VVK1" s="301"/>
      <c r="VVL1" s="301"/>
      <c r="VVM1" s="301"/>
      <c r="VVN1" s="301"/>
      <c r="VVO1" s="301"/>
      <c r="VVP1" s="301"/>
      <c r="VVQ1" s="301"/>
      <c r="VVR1" s="301"/>
      <c r="VVS1" s="301"/>
      <c r="VVT1" s="301"/>
      <c r="VVU1" s="301"/>
      <c r="VVV1" s="301"/>
      <c r="VVW1" s="301"/>
      <c r="VVX1" s="301"/>
      <c r="VVY1" s="301"/>
      <c r="VVZ1" s="301"/>
      <c r="VWA1" s="301"/>
      <c r="VWB1" s="301"/>
      <c r="VWC1" s="301"/>
      <c r="VWD1" s="301"/>
      <c r="VWE1" s="301"/>
      <c r="VWF1" s="301"/>
      <c r="VWG1" s="301"/>
      <c r="VWH1" s="301"/>
      <c r="VWI1" s="301"/>
      <c r="VWJ1" s="301"/>
      <c r="VWK1" s="301"/>
      <c r="VWL1" s="301"/>
      <c r="VWM1" s="301"/>
      <c r="VWN1" s="301"/>
      <c r="VWO1" s="301"/>
      <c r="VWP1" s="301"/>
      <c r="VWQ1" s="301"/>
      <c r="VWR1" s="301"/>
      <c r="VWS1" s="301"/>
      <c r="VWT1" s="301"/>
      <c r="VWU1" s="301"/>
      <c r="VWV1" s="301"/>
      <c r="VWW1" s="301"/>
      <c r="VWX1" s="301"/>
      <c r="VWY1" s="301"/>
      <c r="VWZ1" s="301"/>
      <c r="VXA1" s="301"/>
      <c r="VXB1" s="301"/>
      <c r="VXC1" s="301"/>
      <c r="VXD1" s="301"/>
      <c r="VXE1" s="301"/>
      <c r="VXF1" s="301"/>
      <c r="VXG1" s="301"/>
      <c r="VXH1" s="301"/>
      <c r="VXI1" s="301"/>
      <c r="VXJ1" s="301"/>
      <c r="VXK1" s="301"/>
      <c r="VXL1" s="301"/>
      <c r="VXM1" s="301"/>
      <c r="VXN1" s="301"/>
      <c r="VXO1" s="301"/>
      <c r="VXP1" s="301"/>
      <c r="VXQ1" s="301"/>
      <c r="VXR1" s="301"/>
      <c r="VXS1" s="301"/>
      <c r="VXT1" s="301"/>
      <c r="VXU1" s="301"/>
      <c r="VXV1" s="301"/>
      <c r="VXW1" s="301"/>
      <c r="VXX1" s="301"/>
      <c r="VXY1" s="301"/>
      <c r="VXZ1" s="301"/>
      <c r="VYA1" s="301"/>
      <c r="VYB1" s="301"/>
      <c r="VYC1" s="301"/>
      <c r="VYD1" s="301"/>
      <c r="VYE1" s="301"/>
      <c r="VYF1" s="301"/>
      <c r="VYG1" s="301"/>
      <c r="VYH1" s="301"/>
      <c r="VYI1" s="301"/>
      <c r="VYJ1" s="301"/>
      <c r="VYK1" s="301"/>
      <c r="VYL1" s="301"/>
      <c r="VYM1" s="301"/>
      <c r="VYN1" s="301"/>
      <c r="VYO1" s="301"/>
      <c r="VYP1" s="301"/>
      <c r="VYQ1" s="301"/>
      <c r="VYR1" s="301"/>
      <c r="VYS1" s="301"/>
      <c r="VYT1" s="301"/>
      <c r="VYU1" s="301"/>
      <c r="VYV1" s="301"/>
      <c r="VYW1" s="301"/>
      <c r="VYX1" s="301"/>
      <c r="VYY1" s="301"/>
      <c r="VYZ1" s="301"/>
      <c r="VZA1" s="301"/>
      <c r="VZB1" s="301"/>
      <c r="VZC1" s="301"/>
      <c r="VZD1" s="301"/>
      <c r="VZE1" s="301"/>
      <c r="VZF1" s="301"/>
      <c r="VZG1" s="301"/>
      <c r="VZH1" s="301"/>
      <c r="VZI1" s="301"/>
      <c r="VZJ1" s="301"/>
      <c r="VZK1" s="301"/>
      <c r="VZL1" s="301"/>
      <c r="VZM1" s="301"/>
      <c r="VZN1" s="301"/>
      <c r="VZO1" s="301"/>
      <c r="VZP1" s="301"/>
      <c r="VZQ1" s="301"/>
      <c r="VZR1" s="301"/>
      <c r="VZS1" s="301"/>
      <c r="VZT1" s="301"/>
      <c r="VZU1" s="301"/>
      <c r="VZV1" s="301"/>
      <c r="VZW1" s="301"/>
      <c r="VZX1" s="301"/>
      <c r="VZY1" s="301"/>
      <c r="VZZ1" s="301"/>
      <c r="WAA1" s="301"/>
      <c r="WAB1" s="301"/>
      <c r="WAC1" s="301"/>
      <c r="WAD1" s="301"/>
      <c r="WAE1" s="301"/>
      <c r="WAF1" s="301"/>
      <c r="WAG1" s="301"/>
      <c r="WAH1" s="301"/>
      <c r="WAI1" s="301"/>
      <c r="WAJ1" s="301"/>
      <c r="WAK1" s="301"/>
      <c r="WAL1" s="301"/>
      <c r="WAM1" s="301"/>
      <c r="WAN1" s="301"/>
      <c r="WAO1" s="301"/>
      <c r="WAP1" s="301"/>
      <c r="WAQ1" s="301"/>
      <c r="WAR1" s="301"/>
      <c r="WAS1" s="301"/>
      <c r="WAT1" s="301"/>
      <c r="WAU1" s="301"/>
      <c r="WAV1" s="301"/>
      <c r="WAW1" s="301"/>
      <c r="WAX1" s="301"/>
      <c r="WAY1" s="301"/>
      <c r="WAZ1" s="301"/>
      <c r="WBA1" s="301"/>
      <c r="WBB1" s="301"/>
      <c r="WBC1" s="301"/>
      <c r="WBD1" s="301"/>
      <c r="WBE1" s="301"/>
      <c r="WBF1" s="301"/>
      <c r="WBG1" s="301"/>
      <c r="WBH1" s="301"/>
      <c r="WBI1" s="301"/>
      <c r="WBJ1" s="301"/>
      <c r="WBK1" s="301"/>
      <c r="WBL1" s="301"/>
      <c r="WBM1" s="301"/>
      <c r="WBN1" s="301"/>
      <c r="WBO1" s="301"/>
      <c r="WBP1" s="301"/>
      <c r="WBQ1" s="301"/>
      <c r="WBR1" s="301"/>
      <c r="WBS1" s="301"/>
      <c r="WBT1" s="301"/>
      <c r="WBU1" s="301"/>
      <c r="WBV1" s="301"/>
      <c r="WBW1" s="301"/>
      <c r="WBX1" s="301"/>
      <c r="WBY1" s="301"/>
      <c r="WBZ1" s="301"/>
      <c r="WCA1" s="301"/>
      <c r="WCB1" s="301"/>
      <c r="WCC1" s="301"/>
      <c r="WCD1" s="301"/>
      <c r="WCE1" s="301"/>
      <c r="WCF1" s="301"/>
      <c r="WCG1" s="301"/>
      <c r="WCH1" s="301"/>
      <c r="WCI1" s="301"/>
      <c r="WCJ1" s="301"/>
      <c r="WCK1" s="301"/>
      <c r="WCL1" s="301"/>
      <c r="WCM1" s="301"/>
      <c r="WCN1" s="301"/>
      <c r="WCO1" s="301"/>
      <c r="WCP1" s="301"/>
      <c r="WCQ1" s="301"/>
      <c r="WCR1" s="301"/>
      <c r="WCS1" s="301"/>
      <c r="WCT1" s="301"/>
      <c r="WCU1" s="301"/>
      <c r="WCV1" s="301"/>
      <c r="WCW1" s="301"/>
      <c r="WCX1" s="301"/>
      <c r="WCY1" s="301"/>
      <c r="WCZ1" s="301"/>
      <c r="WDA1" s="301"/>
      <c r="WDB1" s="301"/>
      <c r="WDC1" s="301"/>
      <c r="WDD1" s="301"/>
      <c r="WDE1" s="301"/>
      <c r="WDF1" s="301"/>
      <c r="WDG1" s="301"/>
      <c r="WDH1" s="301"/>
      <c r="WDI1" s="301"/>
      <c r="WDJ1" s="301"/>
      <c r="WDK1" s="301"/>
      <c r="WDL1" s="301"/>
      <c r="WDM1" s="301"/>
      <c r="WDN1" s="301"/>
      <c r="WDO1" s="301"/>
      <c r="WDP1" s="301"/>
      <c r="WDQ1" s="301"/>
      <c r="WDR1" s="301"/>
      <c r="WDS1" s="301"/>
      <c r="WDT1" s="301"/>
      <c r="WDU1" s="301"/>
      <c r="WDV1" s="301"/>
      <c r="WDW1" s="301"/>
      <c r="WDX1" s="301"/>
      <c r="WDY1" s="301"/>
      <c r="WDZ1" s="301"/>
      <c r="WEA1" s="301"/>
      <c r="WEB1" s="301"/>
      <c r="WEC1" s="301"/>
      <c r="WED1" s="301"/>
      <c r="WEE1" s="301"/>
      <c r="WEF1" s="301"/>
      <c r="WEG1" s="301"/>
      <c r="WEH1" s="301"/>
      <c r="WEI1" s="301"/>
      <c r="WEJ1" s="301"/>
      <c r="WEK1" s="301"/>
      <c r="WEL1" s="301"/>
      <c r="WEM1" s="301"/>
      <c r="WEN1" s="301"/>
      <c r="WEO1" s="301"/>
      <c r="WEP1" s="301"/>
      <c r="WEQ1" s="301"/>
      <c r="WER1" s="301"/>
      <c r="WES1" s="301"/>
      <c r="WET1" s="301"/>
      <c r="WEU1" s="301"/>
      <c r="WEV1" s="301"/>
      <c r="WEW1" s="301"/>
      <c r="WEX1" s="301"/>
      <c r="WEY1" s="301"/>
      <c r="WEZ1" s="301"/>
      <c r="WFA1" s="301"/>
      <c r="WFB1" s="301"/>
      <c r="WFC1" s="301"/>
      <c r="WFD1" s="301"/>
      <c r="WFE1" s="301"/>
      <c r="WFF1" s="301"/>
      <c r="WFG1" s="301"/>
      <c r="WFH1" s="301"/>
      <c r="WFI1" s="301"/>
      <c r="WFJ1" s="301"/>
      <c r="WFK1" s="301"/>
      <c r="WFL1" s="301"/>
      <c r="WFM1" s="301"/>
      <c r="WFN1" s="301"/>
      <c r="WFO1" s="301"/>
      <c r="WFP1" s="301"/>
      <c r="WFQ1" s="301"/>
      <c r="WFR1" s="301"/>
      <c r="WFS1" s="301"/>
      <c r="WFT1" s="301"/>
      <c r="WFU1" s="301"/>
      <c r="WFV1" s="301"/>
      <c r="WFW1" s="301"/>
      <c r="WFX1" s="301"/>
      <c r="WFY1" s="301"/>
      <c r="WFZ1" s="301"/>
      <c r="WGA1" s="301"/>
      <c r="WGB1" s="301"/>
      <c r="WGC1" s="301"/>
      <c r="WGD1" s="301"/>
      <c r="WGE1" s="301"/>
      <c r="WGF1" s="301"/>
      <c r="WGG1" s="301"/>
      <c r="WGH1" s="301"/>
      <c r="WGI1" s="301"/>
      <c r="WGJ1" s="301"/>
      <c r="WGK1" s="301"/>
      <c r="WGL1" s="301"/>
      <c r="WGM1" s="301"/>
      <c r="WGN1" s="301"/>
      <c r="WGO1" s="301"/>
      <c r="WGP1" s="301"/>
      <c r="WGQ1" s="301"/>
      <c r="WGR1" s="301"/>
      <c r="WGS1" s="301"/>
      <c r="WGT1" s="301"/>
      <c r="WGU1" s="301"/>
      <c r="WGV1" s="301"/>
      <c r="WGW1" s="301"/>
      <c r="WGX1" s="301"/>
      <c r="WGY1" s="301"/>
      <c r="WGZ1" s="301"/>
      <c r="WHA1" s="301"/>
      <c r="WHB1" s="301"/>
      <c r="WHC1" s="301"/>
      <c r="WHD1" s="301"/>
      <c r="WHE1" s="301"/>
      <c r="WHF1" s="301"/>
      <c r="WHG1" s="301"/>
      <c r="WHH1" s="301"/>
      <c r="WHI1" s="301"/>
      <c r="WHJ1" s="301"/>
      <c r="WHK1" s="301"/>
      <c r="WHL1" s="301"/>
      <c r="WHM1" s="301"/>
      <c r="WHN1" s="301"/>
      <c r="WHO1" s="301"/>
      <c r="WHP1" s="301"/>
      <c r="WHQ1" s="301"/>
      <c r="WHR1" s="301"/>
      <c r="WHS1" s="301"/>
      <c r="WHT1" s="301"/>
      <c r="WHU1" s="301"/>
      <c r="WHV1" s="301"/>
      <c r="WHW1" s="301"/>
      <c r="WHX1" s="301"/>
      <c r="WHY1" s="301"/>
      <c r="WHZ1" s="301"/>
      <c r="WIA1" s="301"/>
      <c r="WIB1" s="301"/>
      <c r="WIC1" s="301"/>
      <c r="WID1" s="301"/>
      <c r="WIE1" s="301"/>
      <c r="WIF1" s="301"/>
      <c r="WIG1" s="301"/>
      <c r="WIH1" s="301"/>
      <c r="WII1" s="301"/>
      <c r="WIJ1" s="301"/>
      <c r="WIK1" s="301"/>
      <c r="WIL1" s="301"/>
      <c r="WIM1" s="301"/>
      <c r="WIN1" s="301"/>
      <c r="WIO1" s="301"/>
      <c r="WIP1" s="301"/>
      <c r="WIQ1" s="301"/>
      <c r="WIR1" s="301"/>
      <c r="WIS1" s="301"/>
      <c r="WIT1" s="301"/>
      <c r="WIU1" s="301"/>
      <c r="WIV1" s="301"/>
      <c r="WIW1" s="301"/>
      <c r="WIX1" s="301"/>
      <c r="WIY1" s="301"/>
      <c r="WIZ1" s="301"/>
      <c r="WJA1" s="301"/>
      <c r="WJB1" s="301"/>
      <c r="WJC1" s="301"/>
      <c r="WJD1" s="301"/>
      <c r="WJE1" s="301"/>
      <c r="WJF1" s="301"/>
      <c r="WJG1" s="301"/>
      <c r="WJH1" s="301"/>
      <c r="WJI1" s="301"/>
      <c r="WJJ1" s="301"/>
      <c r="WJK1" s="301"/>
      <c r="WJL1" s="301"/>
      <c r="WJM1" s="301"/>
      <c r="WJN1" s="301"/>
      <c r="WJO1" s="301"/>
      <c r="WJP1" s="301"/>
      <c r="WJQ1" s="301"/>
      <c r="WJR1" s="301"/>
      <c r="WJS1" s="301"/>
      <c r="WJT1" s="301"/>
      <c r="WJU1" s="301"/>
      <c r="WJV1" s="301"/>
      <c r="WJW1" s="301"/>
      <c r="WJX1" s="301"/>
      <c r="WJY1" s="301"/>
      <c r="WJZ1" s="301"/>
      <c r="WKA1" s="301"/>
      <c r="WKB1" s="301"/>
      <c r="WKC1" s="301"/>
      <c r="WKD1" s="301"/>
      <c r="WKE1" s="301"/>
      <c r="WKF1" s="301"/>
      <c r="WKG1" s="301"/>
      <c r="WKH1" s="301"/>
      <c r="WKI1" s="301"/>
      <c r="WKJ1" s="301"/>
      <c r="WKK1" s="301"/>
      <c r="WKL1" s="301"/>
      <c r="WKM1" s="301"/>
      <c r="WKN1" s="301"/>
      <c r="WKO1" s="301"/>
      <c r="WKP1" s="301"/>
      <c r="WKQ1" s="301"/>
      <c r="WKR1" s="301"/>
      <c r="WKS1" s="301"/>
      <c r="WKT1" s="301"/>
      <c r="WKU1" s="301"/>
      <c r="WKV1" s="301"/>
      <c r="WKW1" s="301"/>
      <c r="WKX1" s="301"/>
      <c r="WKY1" s="301"/>
      <c r="WKZ1" s="301"/>
      <c r="WLA1" s="301"/>
      <c r="WLB1" s="301"/>
      <c r="WLC1" s="301"/>
      <c r="WLD1" s="301"/>
      <c r="WLE1" s="301"/>
      <c r="WLF1" s="301"/>
      <c r="WLG1" s="301"/>
      <c r="WLH1" s="301"/>
      <c r="WLI1" s="301"/>
      <c r="WLJ1" s="301"/>
      <c r="WLK1" s="301"/>
      <c r="WLL1" s="301"/>
      <c r="WLM1" s="301"/>
      <c r="WLN1" s="301"/>
      <c r="WLO1" s="301"/>
      <c r="WLP1" s="301"/>
      <c r="WLQ1" s="301"/>
      <c r="WLR1" s="301"/>
      <c r="WLS1" s="301"/>
      <c r="WLT1" s="301"/>
      <c r="WLU1" s="301"/>
      <c r="WLV1" s="301"/>
      <c r="WLW1" s="301"/>
      <c r="WLX1" s="301"/>
      <c r="WLY1" s="301"/>
      <c r="WLZ1" s="301"/>
      <c r="WMA1" s="301"/>
      <c r="WMB1" s="301"/>
      <c r="WMC1" s="301"/>
      <c r="WMD1" s="301"/>
      <c r="WME1" s="301"/>
      <c r="WMF1" s="301"/>
      <c r="WMG1" s="301"/>
      <c r="WMH1" s="301"/>
      <c r="WMI1" s="301"/>
      <c r="WMJ1" s="301"/>
      <c r="WMK1" s="301"/>
      <c r="WML1" s="301"/>
      <c r="WMM1" s="301"/>
      <c r="WMN1" s="301"/>
      <c r="WMO1" s="301"/>
      <c r="WMP1" s="301"/>
      <c r="WMQ1" s="301"/>
      <c r="WMR1" s="301"/>
      <c r="WMS1" s="301"/>
      <c r="WMT1" s="301"/>
      <c r="WMU1" s="301"/>
      <c r="WMV1" s="301"/>
      <c r="WMW1" s="301"/>
      <c r="WMX1" s="301"/>
      <c r="WMY1" s="301"/>
      <c r="WMZ1" s="301"/>
      <c r="WNA1" s="301"/>
      <c r="WNB1" s="301"/>
      <c r="WNC1" s="301"/>
      <c r="WND1" s="301"/>
      <c r="WNE1" s="301"/>
      <c r="WNF1" s="301"/>
      <c r="WNG1" s="301"/>
      <c r="WNH1" s="301"/>
      <c r="WNI1" s="301"/>
      <c r="WNJ1" s="301"/>
      <c r="WNK1" s="301"/>
      <c r="WNL1" s="301"/>
      <c r="WNM1" s="301"/>
      <c r="WNN1" s="301"/>
      <c r="WNO1" s="301"/>
      <c r="WNP1" s="301"/>
      <c r="WNQ1" s="301"/>
      <c r="WNR1" s="301"/>
      <c r="WNS1" s="301"/>
      <c r="WNT1" s="301"/>
      <c r="WNU1" s="301"/>
      <c r="WNV1" s="301"/>
      <c r="WNW1" s="301"/>
      <c r="WNX1" s="301"/>
      <c r="WNY1" s="301"/>
      <c r="WNZ1" s="301"/>
      <c r="WOA1" s="301"/>
      <c r="WOB1" s="301"/>
      <c r="WOC1" s="301"/>
      <c r="WOD1" s="301"/>
      <c r="WOE1" s="301"/>
      <c r="WOF1" s="301"/>
      <c r="WOG1" s="301"/>
      <c r="WOH1" s="301"/>
      <c r="WOI1" s="301"/>
      <c r="WOJ1" s="301"/>
      <c r="WOK1" s="301"/>
      <c r="WOL1" s="301"/>
      <c r="WOM1" s="301"/>
      <c r="WON1" s="301"/>
      <c r="WOO1" s="301"/>
      <c r="WOP1" s="301"/>
      <c r="WOQ1" s="301"/>
      <c r="WOR1" s="301"/>
      <c r="WOS1" s="301"/>
      <c r="WOT1" s="301"/>
      <c r="WOU1" s="301"/>
      <c r="WOV1" s="301"/>
      <c r="WOW1" s="301"/>
      <c r="WOX1" s="301"/>
      <c r="WOY1" s="301"/>
      <c r="WOZ1" s="301"/>
      <c r="WPA1" s="301"/>
      <c r="WPB1" s="301"/>
      <c r="WPC1" s="301"/>
      <c r="WPD1" s="301"/>
      <c r="WPE1" s="301"/>
      <c r="WPF1" s="301"/>
      <c r="WPG1" s="301"/>
      <c r="WPH1" s="301"/>
      <c r="WPI1" s="301"/>
      <c r="WPJ1" s="301"/>
      <c r="WPK1" s="301"/>
      <c r="WPL1" s="301"/>
      <c r="WPM1" s="301"/>
      <c r="WPN1" s="301"/>
      <c r="WPO1" s="301"/>
      <c r="WPP1" s="301"/>
      <c r="WPQ1" s="301"/>
      <c r="WPR1" s="301"/>
      <c r="WPS1" s="301"/>
      <c r="WPT1" s="301"/>
      <c r="WPU1" s="301"/>
      <c r="WPV1" s="301"/>
      <c r="WPW1" s="301"/>
      <c r="WPX1" s="301"/>
      <c r="WPY1" s="301"/>
      <c r="WPZ1" s="301"/>
      <c r="WQA1" s="301"/>
      <c r="WQB1" s="301"/>
      <c r="WQC1" s="301"/>
      <c r="WQD1" s="301"/>
      <c r="WQE1" s="301"/>
      <c r="WQF1" s="301"/>
      <c r="WQG1" s="301"/>
      <c r="WQH1" s="301"/>
      <c r="WQI1" s="301"/>
      <c r="WQJ1" s="301"/>
      <c r="WQK1" s="301"/>
      <c r="WQL1" s="301"/>
      <c r="WQM1" s="301"/>
      <c r="WQN1" s="301"/>
      <c r="WQO1" s="301"/>
      <c r="WQP1" s="301"/>
      <c r="WQQ1" s="301"/>
      <c r="WQR1" s="301"/>
      <c r="WQS1" s="301"/>
      <c r="WQT1" s="301"/>
      <c r="WQU1" s="301"/>
      <c r="WQV1" s="301"/>
      <c r="WQW1" s="301"/>
      <c r="WQX1" s="301"/>
      <c r="WQY1" s="301"/>
      <c r="WQZ1" s="301"/>
      <c r="WRA1" s="301"/>
      <c r="WRB1" s="301"/>
      <c r="WRC1" s="301"/>
      <c r="WRD1" s="301"/>
      <c r="WRE1" s="301"/>
      <c r="WRF1" s="301"/>
      <c r="WRG1" s="301"/>
      <c r="WRH1" s="301"/>
      <c r="WRI1" s="301"/>
      <c r="WRJ1" s="301"/>
      <c r="WRK1" s="301"/>
      <c r="WRL1" s="301"/>
      <c r="WRM1" s="301"/>
      <c r="WRN1" s="301"/>
      <c r="WRO1" s="301"/>
      <c r="WRP1" s="301"/>
      <c r="WRQ1" s="301"/>
      <c r="WRR1" s="301"/>
      <c r="WRS1" s="301"/>
      <c r="WRT1" s="301"/>
      <c r="WRU1" s="301"/>
      <c r="WRV1" s="301"/>
      <c r="WRW1" s="301"/>
      <c r="WRX1" s="301"/>
      <c r="WRY1" s="301"/>
      <c r="WRZ1" s="301"/>
      <c r="WSA1" s="301"/>
      <c r="WSB1" s="301"/>
      <c r="WSC1" s="301"/>
      <c r="WSD1" s="301"/>
      <c r="WSE1" s="301"/>
      <c r="WSF1" s="301"/>
      <c r="WSG1" s="301"/>
      <c r="WSH1" s="301"/>
      <c r="WSI1" s="301"/>
      <c r="WSJ1" s="301"/>
      <c r="WSK1" s="301"/>
      <c r="WSL1" s="301"/>
      <c r="WSM1" s="301"/>
      <c r="WSN1" s="301"/>
      <c r="WSO1" s="301"/>
      <c r="WSP1" s="301"/>
      <c r="WSQ1" s="301"/>
      <c r="WSR1" s="301"/>
      <c r="WSS1" s="301"/>
      <c r="WST1" s="301"/>
      <c r="WSU1" s="301"/>
      <c r="WSV1" s="301"/>
      <c r="WSW1" s="301"/>
      <c r="WSX1" s="301"/>
      <c r="WSY1" s="301"/>
      <c r="WSZ1" s="301"/>
      <c r="WTA1" s="301"/>
      <c r="WTB1" s="301"/>
      <c r="WTC1" s="301"/>
      <c r="WTD1" s="301"/>
      <c r="WTE1" s="301"/>
      <c r="WTF1" s="301"/>
      <c r="WTG1" s="301"/>
      <c r="WTH1" s="301"/>
      <c r="WTI1" s="301"/>
      <c r="WTJ1" s="301"/>
      <c r="WTK1" s="301"/>
      <c r="WTL1" s="301"/>
      <c r="WTM1" s="301"/>
      <c r="WTN1" s="301"/>
      <c r="WTO1" s="301"/>
      <c r="WTP1" s="301"/>
      <c r="WTQ1" s="301"/>
      <c r="WTR1" s="301"/>
      <c r="WTS1" s="301"/>
      <c r="WTT1" s="301"/>
      <c r="WTU1" s="301"/>
      <c r="WTV1" s="301"/>
      <c r="WTW1" s="301"/>
      <c r="WTX1" s="301"/>
      <c r="WTY1" s="301"/>
      <c r="WTZ1" s="301"/>
      <c r="WUA1" s="301"/>
      <c r="WUB1" s="301"/>
      <c r="WUC1" s="301"/>
      <c r="WUD1" s="301"/>
      <c r="WUE1" s="301"/>
      <c r="WUF1" s="301"/>
      <c r="WUG1" s="301"/>
      <c r="WUH1" s="301"/>
      <c r="WUI1" s="301"/>
      <c r="WUJ1" s="301"/>
      <c r="WUK1" s="301"/>
      <c r="WUL1" s="301"/>
      <c r="WUM1" s="301"/>
      <c r="WUN1" s="301"/>
      <c r="WUO1" s="301"/>
      <c r="WUP1" s="301"/>
      <c r="WUQ1" s="301"/>
      <c r="WUR1" s="301"/>
      <c r="WUS1" s="301"/>
      <c r="WUT1" s="301"/>
      <c r="WUU1" s="301"/>
      <c r="WUV1" s="301"/>
      <c r="WUW1" s="301"/>
      <c r="WUX1" s="301"/>
      <c r="WUY1" s="301"/>
      <c r="WUZ1" s="301"/>
      <c r="WVA1" s="301"/>
      <c r="WVB1" s="301"/>
      <c r="WVC1" s="301"/>
      <c r="WVD1" s="301"/>
      <c r="WVE1" s="301"/>
      <c r="WVF1" s="301"/>
      <c r="WVG1" s="301"/>
      <c r="WVH1" s="301"/>
      <c r="WVI1" s="301"/>
      <c r="WVJ1" s="301"/>
      <c r="WVK1" s="301"/>
      <c r="WVL1" s="301"/>
      <c r="WVM1" s="301"/>
      <c r="WVN1" s="301"/>
      <c r="WVO1" s="301"/>
      <c r="WVP1" s="301"/>
      <c r="WVQ1" s="301"/>
      <c r="WVR1" s="301"/>
      <c r="WVS1" s="301"/>
      <c r="WVT1" s="301"/>
      <c r="WVU1" s="301"/>
      <c r="WVV1" s="301"/>
      <c r="WVW1" s="301"/>
      <c r="WVX1" s="301"/>
      <c r="WVY1" s="301"/>
      <c r="WVZ1" s="301"/>
      <c r="WWA1" s="301"/>
      <c r="WWB1" s="301"/>
      <c r="WWC1" s="301"/>
      <c r="WWD1" s="301"/>
      <c r="WWE1" s="301"/>
      <c r="WWF1" s="301"/>
      <c r="WWG1" s="301"/>
      <c r="WWH1" s="301"/>
      <c r="WWI1" s="301"/>
      <c r="WWJ1" s="301"/>
      <c r="WWK1" s="301"/>
      <c r="WWL1" s="301"/>
      <c r="WWM1" s="301"/>
      <c r="WWN1" s="301"/>
      <c r="WWO1" s="301"/>
      <c r="WWP1" s="301"/>
      <c r="WWQ1" s="301"/>
      <c r="WWR1" s="301"/>
      <c r="WWS1" s="301"/>
      <c r="WWT1" s="301"/>
      <c r="WWU1" s="301"/>
      <c r="WWV1" s="301"/>
      <c r="WWW1" s="301"/>
      <c r="WWX1" s="301"/>
      <c r="WWY1" s="301"/>
      <c r="WWZ1" s="301"/>
      <c r="WXA1" s="301"/>
      <c r="WXB1" s="301"/>
      <c r="WXC1" s="301"/>
      <c r="WXD1" s="301"/>
      <c r="WXE1" s="301"/>
      <c r="WXF1" s="301"/>
      <c r="WXG1" s="301"/>
      <c r="WXH1" s="301"/>
      <c r="WXI1" s="301"/>
      <c r="WXJ1" s="301"/>
      <c r="WXK1" s="301"/>
      <c r="WXL1" s="301"/>
      <c r="WXM1" s="301"/>
      <c r="WXN1" s="301"/>
      <c r="WXO1" s="301"/>
      <c r="WXP1" s="301"/>
      <c r="WXQ1" s="301"/>
      <c r="WXR1" s="301"/>
      <c r="WXS1" s="301"/>
      <c r="WXT1" s="301"/>
      <c r="WXU1" s="301"/>
      <c r="WXV1" s="301"/>
      <c r="WXW1" s="301"/>
      <c r="WXX1" s="301"/>
      <c r="WXY1" s="301"/>
      <c r="WXZ1" s="301"/>
      <c r="WYA1" s="301"/>
      <c r="WYB1" s="301"/>
      <c r="WYC1" s="301"/>
      <c r="WYD1" s="301"/>
      <c r="WYE1" s="301"/>
      <c r="WYF1" s="301"/>
      <c r="WYG1" s="301"/>
      <c r="WYH1" s="301"/>
      <c r="WYI1" s="301"/>
      <c r="WYJ1" s="301"/>
      <c r="WYK1" s="301"/>
      <c r="WYL1" s="301"/>
      <c r="WYM1" s="301"/>
      <c r="WYN1" s="301"/>
      <c r="WYO1" s="301"/>
      <c r="WYP1" s="301"/>
      <c r="WYQ1" s="301"/>
      <c r="WYR1" s="301"/>
      <c r="WYS1" s="301"/>
      <c r="WYT1" s="301"/>
      <c r="WYU1" s="301"/>
      <c r="WYV1" s="301"/>
      <c r="WYW1" s="301"/>
      <c r="WYX1" s="301"/>
      <c r="WYY1" s="301"/>
      <c r="WYZ1" s="301"/>
      <c r="WZA1" s="301"/>
      <c r="WZB1" s="301"/>
      <c r="WZC1" s="301"/>
      <c r="WZD1" s="301"/>
      <c r="WZE1" s="301"/>
      <c r="WZF1" s="301"/>
      <c r="WZG1" s="301"/>
      <c r="WZH1" s="301"/>
      <c r="WZI1" s="301"/>
      <c r="WZJ1" s="301"/>
      <c r="WZK1" s="301"/>
      <c r="WZL1" s="301"/>
      <c r="WZM1" s="301"/>
      <c r="WZN1" s="301"/>
      <c r="WZO1" s="301"/>
      <c r="WZP1" s="301"/>
      <c r="WZQ1" s="301"/>
      <c r="WZR1" s="301"/>
      <c r="WZS1" s="301"/>
      <c r="WZT1" s="301"/>
      <c r="WZU1" s="301"/>
      <c r="WZV1" s="301"/>
      <c r="WZW1" s="301"/>
      <c r="WZX1" s="301"/>
      <c r="WZY1" s="301"/>
      <c r="WZZ1" s="301"/>
      <c r="XAA1" s="301"/>
      <c r="XAB1" s="301"/>
      <c r="XAC1" s="301"/>
      <c r="XAD1" s="301"/>
      <c r="XAE1" s="301"/>
      <c r="XAF1" s="301"/>
      <c r="XAG1" s="301"/>
      <c r="XAH1" s="301"/>
      <c r="XAI1" s="301"/>
      <c r="XAJ1" s="301"/>
      <c r="XAK1" s="301"/>
      <c r="XAL1" s="301"/>
      <c r="XAM1" s="301"/>
      <c r="XAN1" s="301"/>
      <c r="XAO1" s="301"/>
      <c r="XAP1" s="301"/>
      <c r="XAQ1" s="301"/>
      <c r="XAR1" s="301"/>
      <c r="XAS1" s="301"/>
      <c r="XAT1" s="301"/>
      <c r="XAU1" s="301"/>
      <c r="XAV1" s="301"/>
      <c r="XAW1" s="301"/>
      <c r="XAX1" s="301"/>
      <c r="XAY1" s="301"/>
      <c r="XAZ1" s="301"/>
      <c r="XBA1" s="301"/>
      <c r="XBB1" s="301"/>
      <c r="XBC1" s="301"/>
      <c r="XBD1" s="301"/>
      <c r="XBE1" s="301"/>
      <c r="XBF1" s="301"/>
      <c r="XBG1" s="301"/>
      <c r="XBH1" s="301"/>
      <c r="XBI1" s="301"/>
      <c r="XBJ1" s="301"/>
      <c r="XBK1" s="301"/>
      <c r="XBL1" s="301"/>
      <c r="XBM1" s="301"/>
      <c r="XBN1" s="301"/>
      <c r="XBO1" s="301"/>
      <c r="XBP1" s="301"/>
      <c r="XBQ1" s="301"/>
      <c r="XBR1" s="301"/>
      <c r="XBS1" s="301"/>
      <c r="XBT1" s="301"/>
      <c r="XBU1" s="301"/>
      <c r="XBV1" s="301"/>
      <c r="XBW1" s="301"/>
      <c r="XBX1" s="301"/>
      <c r="XBY1" s="301"/>
      <c r="XBZ1" s="301"/>
      <c r="XCA1" s="301"/>
      <c r="XCB1" s="301"/>
      <c r="XCC1" s="301"/>
      <c r="XCD1" s="301"/>
      <c r="XCE1" s="301"/>
      <c r="XCF1" s="301"/>
      <c r="XCG1" s="301"/>
      <c r="XCH1" s="301"/>
      <c r="XCI1" s="301"/>
      <c r="XCJ1" s="301"/>
      <c r="XCK1" s="301"/>
      <c r="XCL1" s="301"/>
      <c r="XCM1" s="301"/>
      <c r="XCN1" s="301"/>
      <c r="XCO1" s="301"/>
      <c r="XCP1" s="301"/>
      <c r="XCQ1" s="301"/>
      <c r="XCR1" s="301"/>
      <c r="XCS1" s="301"/>
      <c r="XCT1" s="301"/>
      <c r="XCU1" s="301"/>
      <c r="XCV1" s="301"/>
      <c r="XCW1" s="301"/>
      <c r="XCX1" s="301"/>
      <c r="XCY1" s="301"/>
      <c r="XCZ1" s="301"/>
      <c r="XDA1" s="301"/>
      <c r="XDB1" s="301"/>
      <c r="XDC1" s="301"/>
      <c r="XDD1" s="301"/>
      <c r="XDE1" s="301"/>
      <c r="XDF1" s="301"/>
      <c r="XDG1" s="301"/>
      <c r="XDH1" s="301"/>
      <c r="XDI1" s="301"/>
      <c r="XDJ1" s="301"/>
      <c r="XDK1" s="301"/>
      <c r="XDL1" s="301"/>
      <c r="XDM1" s="301"/>
      <c r="XDN1" s="301"/>
      <c r="XDO1" s="301"/>
      <c r="XDP1" s="301"/>
      <c r="XDQ1" s="301"/>
      <c r="XDR1" s="301"/>
      <c r="XDS1" s="301"/>
      <c r="XDT1" s="301"/>
      <c r="XDU1" s="301"/>
      <c r="XDV1" s="301"/>
      <c r="XDW1" s="301"/>
      <c r="XDX1" s="301"/>
      <c r="XDY1" s="301"/>
      <c r="XDZ1" s="301"/>
      <c r="XEA1" s="301"/>
      <c r="XEB1" s="301"/>
      <c r="XEC1" s="301"/>
      <c r="XED1" s="301"/>
      <c r="XEE1" s="301"/>
      <c r="XEF1" s="301"/>
      <c r="XEG1" s="301"/>
      <c r="XEH1" s="301"/>
      <c r="XEI1" s="301"/>
      <c r="XEJ1" s="301"/>
      <c r="XEK1" s="301"/>
      <c r="XEL1" s="301"/>
      <c r="XEM1" s="301"/>
      <c r="XEN1" s="301"/>
      <c r="XEO1" s="301"/>
      <c r="XEP1" s="301"/>
      <c r="XEQ1" s="301"/>
      <c r="XER1" s="301"/>
      <c r="XES1" s="301"/>
      <c r="XET1" s="301"/>
      <c r="XEU1" s="301"/>
      <c r="XEV1" s="301"/>
      <c r="XEW1" s="301"/>
      <c r="XEX1" s="301"/>
      <c r="XEY1" s="301"/>
      <c r="XEZ1" s="301"/>
      <c r="XFA1" s="301"/>
      <c r="XFB1" s="301"/>
      <c r="XFC1" s="301"/>
      <c r="XFD1" s="301"/>
    </row>
    <row r="2" spans="1:16384" s="214" customFormat="1" ht="21">
      <c r="A2" s="217" t="s">
        <v>221</v>
      </c>
    </row>
    <row r="3" spans="1:16384">
      <c r="A3" s="13" t="s">
        <v>57</v>
      </c>
    </row>
    <row r="4" spans="1:16384" s="14" customFormat="1" ht="15.6">
      <c r="C4" s="317" t="s">
        <v>40</v>
      </c>
      <c r="D4" s="317"/>
    </row>
    <row r="5" spans="1:16384" s="14" customFormat="1" ht="21">
      <c r="A5" s="15" t="s">
        <v>25</v>
      </c>
      <c r="B5" s="15" t="s">
        <v>24</v>
      </c>
      <c r="C5" s="16" t="s">
        <v>20</v>
      </c>
      <c r="D5" s="16" t="s">
        <v>21</v>
      </c>
      <c r="E5" s="15" t="s">
        <v>26</v>
      </c>
      <c r="F5" s="16" t="s">
        <v>41</v>
      </c>
    </row>
    <row r="6" spans="1:16384" s="14" customFormat="1" ht="18">
      <c r="A6" s="17" t="s">
        <v>19</v>
      </c>
    </row>
    <row r="7" spans="1:16384" s="218" customFormat="1" ht="57.6">
      <c r="A7" s="218" t="s">
        <v>28</v>
      </c>
      <c r="B7" s="218" t="s">
        <v>22</v>
      </c>
      <c r="C7" s="218" t="s">
        <v>23</v>
      </c>
      <c r="D7" s="219" t="s">
        <v>39</v>
      </c>
      <c r="E7" s="218" t="s">
        <v>27</v>
      </c>
      <c r="F7" s="218" t="s">
        <v>32</v>
      </c>
    </row>
    <row r="8" spans="1:16384" s="220" customFormat="1" ht="57.6">
      <c r="A8" s="220" t="s">
        <v>29</v>
      </c>
      <c r="B8" s="220" t="s">
        <v>22</v>
      </c>
      <c r="C8" s="220" t="s">
        <v>38</v>
      </c>
      <c r="D8" s="220" t="s">
        <v>30</v>
      </c>
      <c r="E8" s="220" t="s">
        <v>31</v>
      </c>
      <c r="F8" s="220" t="s">
        <v>33</v>
      </c>
    </row>
    <row r="9" spans="1:16384" s="218" customFormat="1" ht="57.6">
      <c r="A9" s="218" t="s">
        <v>36</v>
      </c>
      <c r="B9" s="218" t="s">
        <v>37</v>
      </c>
      <c r="E9" s="218" t="s">
        <v>42</v>
      </c>
    </row>
    <row r="10" spans="1:16384" s="220" customFormat="1" ht="57.6">
      <c r="A10" s="220" t="s">
        <v>34</v>
      </c>
      <c r="C10" s="220" t="s">
        <v>38</v>
      </c>
      <c r="D10" s="221" t="s">
        <v>39</v>
      </c>
      <c r="F10" s="220" t="s">
        <v>43</v>
      </c>
    </row>
    <row r="11" spans="1:16384" s="220" customFormat="1" ht="57.6">
      <c r="A11" s="220" t="s">
        <v>35</v>
      </c>
      <c r="C11" s="221" t="s">
        <v>39</v>
      </c>
      <c r="D11" s="220" t="s">
        <v>55</v>
      </c>
      <c r="F11" s="220" t="s">
        <v>44</v>
      </c>
    </row>
    <row r="12" spans="1:16384" s="14" customFormat="1" ht="18">
      <c r="A12" s="17" t="s">
        <v>45</v>
      </c>
    </row>
    <row r="13" spans="1:16384" s="218" customFormat="1" ht="28.8">
      <c r="A13" s="218" t="s">
        <v>60</v>
      </c>
      <c r="B13" s="218" t="s">
        <v>62</v>
      </c>
      <c r="E13" s="219" t="s">
        <v>48</v>
      </c>
    </row>
    <row r="14" spans="1:16384" s="220" customFormat="1" ht="28.8">
      <c r="A14" s="220" t="s">
        <v>61</v>
      </c>
      <c r="B14" s="220" t="s">
        <v>62</v>
      </c>
      <c r="E14" s="221" t="s">
        <v>48</v>
      </c>
    </row>
    <row r="15" spans="1:16384" s="218" customFormat="1" ht="28.8">
      <c r="A15" s="218" t="s">
        <v>46</v>
      </c>
      <c r="B15" s="219" t="s">
        <v>47</v>
      </c>
      <c r="E15" s="219" t="s">
        <v>47</v>
      </c>
    </row>
    <row r="16" spans="1:16384" s="220" customFormat="1" ht="28.8">
      <c r="A16" s="220" t="s">
        <v>72</v>
      </c>
      <c r="B16" s="221" t="s">
        <v>47</v>
      </c>
      <c r="E16" s="221" t="s">
        <v>73</v>
      </c>
    </row>
    <row r="17" spans="1:6" s="218" customFormat="1" ht="57.6">
      <c r="A17" s="218" t="s">
        <v>74</v>
      </c>
      <c r="B17" s="219" t="s">
        <v>75</v>
      </c>
      <c r="C17" s="218" t="s">
        <v>77</v>
      </c>
      <c r="D17" s="218" t="s">
        <v>78</v>
      </c>
      <c r="E17" s="219" t="s">
        <v>76</v>
      </c>
    </row>
    <row r="18" spans="1:6" s="14" customFormat="1" ht="18">
      <c r="A18" s="17" t="s">
        <v>49</v>
      </c>
    </row>
    <row r="19" spans="1:6" s="218" customFormat="1">
      <c r="A19" s="218" t="s">
        <v>50</v>
      </c>
      <c r="B19" s="219" t="s">
        <v>47</v>
      </c>
      <c r="E19" s="219" t="s">
        <v>47</v>
      </c>
    </row>
    <row r="20" spans="1:6" s="220" customFormat="1" ht="86.4">
      <c r="A20" s="220" t="s">
        <v>51</v>
      </c>
      <c r="B20" s="220" t="s">
        <v>53</v>
      </c>
      <c r="C20" s="220" t="s">
        <v>54</v>
      </c>
      <c r="D20" s="220" t="s">
        <v>55</v>
      </c>
      <c r="E20" s="220" t="s">
        <v>52</v>
      </c>
      <c r="F20" s="220" t="s">
        <v>56</v>
      </c>
    </row>
    <row r="21" spans="1:6" s="14" customFormat="1" ht="18">
      <c r="A21" s="17" t="s">
        <v>58</v>
      </c>
    </row>
    <row r="22" spans="1:6" s="218" customFormat="1" ht="43.2">
      <c r="A22" s="218" t="s">
        <v>59</v>
      </c>
      <c r="B22" s="218" t="s">
        <v>63</v>
      </c>
      <c r="C22" s="218" t="s">
        <v>64</v>
      </c>
      <c r="D22" s="218" t="s">
        <v>55</v>
      </c>
      <c r="E22" s="218" t="s">
        <v>65</v>
      </c>
      <c r="F22" s="218" t="s">
        <v>66</v>
      </c>
    </row>
    <row r="23" spans="1:6" s="220" customFormat="1" ht="72">
      <c r="A23" s="220" t="s">
        <v>67</v>
      </c>
      <c r="B23" s="220" t="s">
        <v>63</v>
      </c>
      <c r="C23" s="220" t="s">
        <v>68</v>
      </c>
      <c r="D23" s="221" t="s">
        <v>39</v>
      </c>
      <c r="E23" s="220" t="s">
        <v>69</v>
      </c>
    </row>
    <row r="24" spans="1:6" s="218" customFormat="1" ht="28.8">
      <c r="A24" s="218" t="s">
        <v>70</v>
      </c>
      <c r="B24" s="219" t="s">
        <v>47</v>
      </c>
      <c r="E24" s="219" t="s">
        <v>47</v>
      </c>
    </row>
    <row r="25" spans="1:6" s="220" customFormat="1" ht="43.2">
      <c r="A25" s="220" t="s">
        <v>71</v>
      </c>
      <c r="B25" s="221" t="s">
        <v>87</v>
      </c>
      <c r="E25" s="221" t="s">
        <v>47</v>
      </c>
    </row>
    <row r="26" spans="1:6" s="14" customFormat="1" ht="18">
      <c r="A26" s="17" t="s">
        <v>79</v>
      </c>
    </row>
    <row r="27" spans="1:6" s="218" customFormat="1" ht="72">
      <c r="A27" s="218" t="s">
        <v>80</v>
      </c>
      <c r="B27" s="218" t="s">
        <v>81</v>
      </c>
      <c r="C27" s="218" t="s">
        <v>82</v>
      </c>
      <c r="D27" s="218" t="s">
        <v>83</v>
      </c>
      <c r="E27" s="218" t="s">
        <v>130</v>
      </c>
    </row>
  </sheetData>
  <mergeCells count="1">
    <mergeCell ref="C4:D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I7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55" sqref="A55"/>
    </sheetView>
  </sheetViews>
  <sheetFormatPr defaultRowHeight="18"/>
  <cols>
    <col min="1" max="1" width="77.33203125" style="49" customWidth="1"/>
    <col min="2" max="4" width="24.77734375" style="2" customWidth="1"/>
    <col min="5" max="5" width="29.5546875" style="2" customWidth="1"/>
    <col min="6" max="6" width="8.88671875" style="2" customWidth="1"/>
    <col min="7" max="7" width="13.33203125" style="2" customWidth="1"/>
    <col min="8" max="8" width="13.6640625" style="2" customWidth="1"/>
    <col min="9" max="9" width="8.88671875" style="2" customWidth="1"/>
    <col min="10" max="16384" width="8.88671875" style="2"/>
  </cols>
  <sheetData>
    <row r="1" spans="1:8" ht="14.4">
      <c r="A1" s="303" t="s">
        <v>740</v>
      </c>
    </row>
    <row r="2" spans="1:8" ht="21">
      <c r="A2" s="92" t="s">
        <v>118</v>
      </c>
    </row>
    <row r="3" spans="1:8" ht="21">
      <c r="A3" s="92" t="s">
        <v>202</v>
      </c>
      <c r="B3" s="202" t="s">
        <v>119</v>
      </c>
    </row>
    <row r="4" spans="1:8" ht="21">
      <c r="A4" s="92" t="s">
        <v>549</v>
      </c>
      <c r="B4" s="99">
        <v>2010</v>
      </c>
      <c r="C4" s="99">
        <v>2011</v>
      </c>
      <c r="D4" s="100">
        <v>2012</v>
      </c>
    </row>
    <row r="5" spans="1:8">
      <c r="A5" s="36" t="s">
        <v>203</v>
      </c>
      <c r="B5" s="4"/>
      <c r="C5" s="4"/>
      <c r="D5" s="21"/>
    </row>
    <row r="7" spans="1:8" s="92" customFormat="1" ht="21">
      <c r="A7" s="92" t="s">
        <v>253</v>
      </c>
      <c r="B7" s="86">
        <f>B8+B9</f>
        <v>54998637.5</v>
      </c>
      <c r="C7" s="86">
        <f t="shared" ref="C7:D7" si="0">C8+C9</f>
        <v>96965000</v>
      </c>
      <c r="D7" s="86">
        <f t="shared" si="0"/>
        <v>94724000</v>
      </c>
    </row>
    <row r="8" spans="1:8" s="44" customFormat="1">
      <c r="A8" s="49" t="s">
        <v>200</v>
      </c>
      <c r="B8" s="56">
        <v>33736137.5</v>
      </c>
      <c r="C8" s="56">
        <v>65780000</v>
      </c>
      <c r="D8" s="56">
        <v>57239000</v>
      </c>
    </row>
    <row r="9" spans="1:8" s="44" customFormat="1">
      <c r="A9" s="49" t="s">
        <v>201</v>
      </c>
      <c r="B9" s="56">
        <v>21262500.000000004</v>
      </c>
      <c r="C9" s="56">
        <v>31185000</v>
      </c>
      <c r="D9" s="56">
        <v>37485000</v>
      </c>
    </row>
    <row r="10" spans="1:8" s="92" customFormat="1" ht="21">
      <c r="A10" s="92" t="s">
        <v>142</v>
      </c>
      <c r="B10" s="86">
        <f>SUM(B11,B17,B18,B19,B20,B21,B22,B25,B26)</f>
        <v>-43148350.625197791</v>
      </c>
      <c r="C10" s="86">
        <f t="shared" ref="C10:D10" si="1">SUM(C11,C17,C18,C19,C20,C21,C22,C25,C26)</f>
        <v>-61922842.585318774</v>
      </c>
      <c r="D10" s="86">
        <f t="shared" si="1"/>
        <v>-63152432.504150748</v>
      </c>
      <c r="E10" s="223"/>
      <c r="F10" s="223"/>
      <c r="G10" s="224"/>
      <c r="H10" s="223"/>
    </row>
    <row r="11" spans="1:8" s="47" customFormat="1">
      <c r="A11" s="49" t="s">
        <v>143</v>
      </c>
      <c r="B11" s="56">
        <f>SUM(B12:B16)</f>
        <v>-23654762.300984766</v>
      </c>
      <c r="C11" s="56">
        <f t="shared" ref="C11:D11" si="2">SUM(C12:C16)</f>
        <v>-31949784</v>
      </c>
      <c r="D11" s="56">
        <f t="shared" si="2"/>
        <v>-34119371</v>
      </c>
      <c r="E11" s="48"/>
      <c r="F11" s="50"/>
      <c r="H11" s="46"/>
    </row>
    <row r="12" spans="1:8" s="45" customFormat="1" ht="14.4">
      <c r="A12" s="45" t="s">
        <v>136</v>
      </c>
      <c r="B12" s="57">
        <v>-12540269.113149846</v>
      </c>
      <c r="C12" s="57">
        <v>-16920359</v>
      </c>
      <c r="D12" s="57">
        <v>-18625395</v>
      </c>
      <c r="E12" s="46"/>
      <c r="F12" s="50"/>
      <c r="G12" s="46"/>
      <c r="H12" s="46"/>
    </row>
    <row r="13" spans="1:8" s="45" customFormat="1" ht="14.4">
      <c r="A13" s="45" t="s">
        <v>137</v>
      </c>
      <c r="B13" s="57">
        <v>-2922227.8483853769</v>
      </c>
      <c r="C13" s="57">
        <v>-3996304</v>
      </c>
      <c r="D13" s="57">
        <v>-4252934</v>
      </c>
      <c r="E13" s="46"/>
      <c r="F13" s="50"/>
      <c r="G13" s="46"/>
      <c r="H13" s="46"/>
    </row>
    <row r="14" spans="1:8" s="45" customFormat="1" ht="14.4">
      <c r="A14" s="45" t="s">
        <v>138</v>
      </c>
      <c r="B14" s="57">
        <v>-4445244.648318043</v>
      </c>
      <c r="C14" s="57">
        <v>-6026093</v>
      </c>
      <c r="D14" s="57">
        <v>-6137702</v>
      </c>
      <c r="E14" s="46"/>
      <c r="F14" s="50"/>
      <c r="G14" s="46"/>
      <c r="H14" s="46"/>
    </row>
    <row r="15" spans="1:8" s="45" customFormat="1" ht="14.4">
      <c r="A15" s="45" t="s">
        <v>153</v>
      </c>
      <c r="B15" s="57">
        <v>-2573562.6911314982</v>
      </c>
      <c r="C15" s="57">
        <v>-3432417</v>
      </c>
      <c r="D15" s="57">
        <v>-3775560</v>
      </c>
      <c r="E15" s="46"/>
      <c r="F15" s="50"/>
      <c r="G15" s="46"/>
      <c r="H15" s="46"/>
    </row>
    <row r="16" spans="1:8" s="45" customFormat="1" ht="14.4">
      <c r="A16" s="45" t="s">
        <v>139</v>
      </c>
      <c r="B16" s="57">
        <v>-1173458</v>
      </c>
      <c r="C16" s="57">
        <v>-1574611</v>
      </c>
      <c r="D16" s="57">
        <v>-1327780</v>
      </c>
      <c r="E16" s="46"/>
      <c r="F16" s="50"/>
      <c r="G16" s="46"/>
      <c r="H16" s="46"/>
    </row>
    <row r="17" spans="1:9">
      <c r="A17" s="49" t="s">
        <v>144</v>
      </c>
      <c r="B17" s="56">
        <v>-4356386.4477792857</v>
      </c>
      <c r="C17" s="56">
        <v>-6709653.2716322439</v>
      </c>
      <c r="D17" s="56">
        <v>-6279910.0845694551</v>
      </c>
      <c r="E17" s="3"/>
      <c r="F17" s="50"/>
      <c r="G17" s="3"/>
      <c r="H17" s="55"/>
      <c r="I17" s="50"/>
    </row>
    <row r="18" spans="1:9">
      <c r="A18" s="49" t="s">
        <v>145</v>
      </c>
      <c r="B18" s="56">
        <v>-2856583.3333333302</v>
      </c>
      <c r="C18" s="56">
        <v>-3909778</v>
      </c>
      <c r="D18" s="56">
        <v>-4302756</v>
      </c>
      <c r="E18" s="3"/>
      <c r="F18" s="50"/>
      <c r="G18" s="3"/>
      <c r="H18" s="55"/>
      <c r="I18" s="50"/>
    </row>
    <row r="19" spans="1:9">
      <c r="A19" s="49" t="s">
        <v>146</v>
      </c>
      <c r="B19" s="56">
        <v>-856974.99999999907</v>
      </c>
      <c r="C19" s="56">
        <v>-1172933.3999999999</v>
      </c>
      <c r="D19" s="56">
        <v>-1290826.8</v>
      </c>
      <c r="E19" s="3"/>
      <c r="F19" s="50"/>
      <c r="G19" s="3"/>
      <c r="H19" s="55"/>
      <c r="I19" s="50"/>
    </row>
    <row r="20" spans="1:9">
      <c r="A20" s="49" t="s">
        <v>147</v>
      </c>
      <c r="B20" s="56">
        <v>-1140833.3333333333</v>
      </c>
      <c r="C20" s="56">
        <v>-1521123</v>
      </c>
      <c r="D20" s="56">
        <v>-1672565</v>
      </c>
      <c r="E20" s="3"/>
      <c r="F20" s="50"/>
      <c r="G20" s="3"/>
      <c r="H20" s="55"/>
      <c r="I20" s="50"/>
    </row>
    <row r="21" spans="1:9">
      <c r="A21" s="49" t="s">
        <v>148</v>
      </c>
      <c r="B21" s="56">
        <v>-2085555.5555555555</v>
      </c>
      <c r="C21" s="56">
        <v>-2780741</v>
      </c>
      <c r="D21" s="56">
        <v>-2431876</v>
      </c>
      <c r="E21" s="3"/>
      <c r="F21" s="50"/>
      <c r="G21" s="3"/>
      <c r="H21" s="3"/>
      <c r="I21" s="53"/>
    </row>
    <row r="22" spans="1:9">
      <c r="A22" s="49" t="s">
        <v>149</v>
      </c>
      <c r="B22" s="56">
        <f>B23+B24</f>
        <v>-2400643.2891078931</v>
      </c>
      <c r="C22" s="56">
        <f t="shared" ref="C22:D22" si="3">C23+C24</f>
        <v>-3460569.124502365</v>
      </c>
      <c r="D22" s="56">
        <f t="shared" si="3"/>
        <v>-3245045.2056912086</v>
      </c>
      <c r="E22" s="3"/>
      <c r="F22" s="50"/>
      <c r="G22" s="3"/>
      <c r="H22" s="3"/>
    </row>
    <row r="23" spans="1:9" s="45" customFormat="1" ht="14.4">
      <c r="A23" s="45" t="s">
        <v>648</v>
      </c>
      <c r="B23" s="57">
        <v>-1881861.750484196</v>
      </c>
      <c r="C23" s="57">
        <v>-2746016.0604307735</v>
      </c>
      <c r="D23" s="57">
        <v>-2568747.1965837288</v>
      </c>
      <c r="E23" s="46"/>
      <c r="F23" s="50"/>
      <c r="G23" s="46"/>
      <c r="H23" s="46"/>
    </row>
    <row r="24" spans="1:9" s="45" customFormat="1" ht="14.4">
      <c r="A24" s="45" t="s">
        <v>649</v>
      </c>
      <c r="B24" s="57">
        <v>-518781.5386236973</v>
      </c>
      <c r="C24" s="57">
        <v>-714553.06407159148</v>
      </c>
      <c r="D24" s="57">
        <v>-676298.00910747983</v>
      </c>
      <c r="E24" s="46"/>
      <c r="F24" s="50"/>
      <c r="G24" s="46"/>
      <c r="H24" s="46"/>
    </row>
    <row r="25" spans="1:9">
      <c r="A25" s="49" t="s">
        <v>151</v>
      </c>
      <c r="B25" s="56">
        <v>-5702611.3651036238</v>
      </c>
      <c r="C25" s="56">
        <v>-10071260.789184164</v>
      </c>
      <c r="D25" s="56">
        <v>-9534082.4138900898</v>
      </c>
      <c r="E25" s="3"/>
      <c r="F25" s="50"/>
      <c r="G25" s="3"/>
      <c r="H25" s="46"/>
    </row>
    <row r="26" spans="1:9">
      <c r="A26" s="49" t="s">
        <v>150</v>
      </c>
      <c r="B26" s="56">
        <v>-94000</v>
      </c>
      <c r="C26" s="56">
        <v>-347000</v>
      </c>
      <c r="D26" s="56">
        <v>-276000</v>
      </c>
      <c r="E26" s="3"/>
      <c r="F26" s="50"/>
      <c r="G26" s="3"/>
      <c r="H26" s="46"/>
    </row>
    <row r="27" spans="1:9" s="148" customFormat="1" ht="21">
      <c r="A27" s="92" t="s">
        <v>154</v>
      </c>
      <c r="B27" s="86">
        <f>B7+B10</f>
        <v>11850286.874802209</v>
      </c>
      <c r="C27" s="86">
        <f t="shared" ref="C27:D27" si="4">C7+C10</f>
        <v>35042157.414681226</v>
      </c>
      <c r="D27" s="86">
        <f t="shared" si="4"/>
        <v>31571567.495849252</v>
      </c>
      <c r="E27" s="224"/>
      <c r="F27" s="224"/>
      <c r="G27" s="224"/>
      <c r="H27" s="225"/>
    </row>
    <row r="28" spans="1:9">
      <c r="A28" s="49" t="s">
        <v>155</v>
      </c>
      <c r="B28" s="56">
        <v>-510756</v>
      </c>
      <c r="C28" s="56">
        <v>-965342</v>
      </c>
      <c r="D28" s="56">
        <v>-1051276</v>
      </c>
      <c r="E28" s="3"/>
      <c r="F28" s="40"/>
      <c r="G28" s="3"/>
      <c r="H28" s="46"/>
    </row>
    <row r="29" spans="1:9">
      <c r="A29" s="49" t="s">
        <v>156</v>
      </c>
      <c r="B29" s="56">
        <v>-10206850</v>
      </c>
      <c r="C29" s="56">
        <v>-18953800</v>
      </c>
      <c r="D29" s="56">
        <v>-14684600</v>
      </c>
      <c r="E29" s="3"/>
      <c r="F29" s="40"/>
      <c r="G29" s="3"/>
      <c r="H29" s="46"/>
    </row>
    <row r="30" spans="1:9">
      <c r="A30" s="49" t="s">
        <v>157</v>
      </c>
      <c r="B30" s="56">
        <f>'Pr Fin'!B19</f>
        <v>0</v>
      </c>
      <c r="C30" s="56">
        <f>'Pr Fin'!C19</f>
        <v>280717.27517098235</v>
      </c>
      <c r="D30" s="56">
        <f>'Pr Fin'!D19</f>
        <v>221407.08631494874</v>
      </c>
      <c r="E30" s="3"/>
      <c r="F30" s="40"/>
      <c r="G30" s="3"/>
      <c r="H30" s="3"/>
    </row>
    <row r="31" spans="1:9">
      <c r="A31" s="49" t="s">
        <v>158</v>
      </c>
      <c r="B31" s="56">
        <v>-245673</v>
      </c>
      <c r="C31" s="56">
        <v>-139785</v>
      </c>
      <c r="D31" s="56">
        <v>-356972</v>
      </c>
      <c r="E31" s="3"/>
      <c r="F31" s="40"/>
      <c r="G31" s="3"/>
      <c r="H31" s="3"/>
    </row>
    <row r="32" spans="1:9" s="148" customFormat="1" ht="21">
      <c r="A32" s="92" t="s">
        <v>159</v>
      </c>
      <c r="B32" s="86">
        <f>B27+B28+B29+B30+B31</f>
        <v>887007.87480220944</v>
      </c>
      <c r="C32" s="86">
        <f t="shared" ref="C32:D32" si="5">C27+C28+C29+C30+C31</f>
        <v>15263947.689852208</v>
      </c>
      <c r="D32" s="86">
        <f t="shared" si="5"/>
        <v>15700126.5821642</v>
      </c>
      <c r="E32" s="224"/>
      <c r="F32" s="224"/>
      <c r="G32" s="224"/>
      <c r="H32" s="224"/>
    </row>
    <row r="33" spans="1:9">
      <c r="A33" s="49" t="s">
        <v>160</v>
      </c>
      <c r="B33" s="56">
        <f>B34+B35+B37+B36</f>
        <v>-1371545.171875</v>
      </c>
      <c r="C33" s="56">
        <f>C34+C35+C37+C36</f>
        <v>-2425120.0457654223</v>
      </c>
      <c r="D33" s="56">
        <f>D34+D35+D37+D36</f>
        <v>-2006607.0887544523</v>
      </c>
      <c r="E33" s="3"/>
      <c r="F33" s="3"/>
      <c r="G33" s="3"/>
      <c r="H33" s="3"/>
    </row>
    <row r="34" spans="1:9" ht="14.4">
      <c r="A34" s="45" t="s">
        <v>171</v>
      </c>
      <c r="B34" s="57">
        <f>-Предположения!C115</f>
        <v>-42170.171875</v>
      </c>
      <c r="C34" s="57">
        <f>-Предположения!D115</f>
        <v>-82225</v>
      </c>
      <c r="D34" s="57">
        <f>-Предположения!E115</f>
        <v>-71548.75</v>
      </c>
      <c r="E34" s="3"/>
      <c r="F34" s="3"/>
      <c r="G34" s="3"/>
      <c r="H34" s="3"/>
    </row>
    <row r="35" spans="1:9" ht="14.4">
      <c r="A35" s="45" t="s">
        <v>172</v>
      </c>
      <c r="B35" s="57">
        <f>-Лизинг!C31</f>
        <v>-720000</v>
      </c>
      <c r="C35" s="57">
        <f>-Лизинг!D31</f>
        <v>-1020000</v>
      </c>
      <c r="D35" s="57">
        <f>-Лизинг!E31</f>
        <v>-720000</v>
      </c>
      <c r="E35" s="3"/>
      <c r="F35" s="3"/>
      <c r="G35" s="3"/>
      <c r="H35" s="3"/>
    </row>
    <row r="36" spans="1:9" ht="14.4">
      <c r="A36" s="45" t="s">
        <v>212</v>
      </c>
      <c r="B36" s="57">
        <v>-609375</v>
      </c>
      <c r="C36" s="57">
        <v>-812500</v>
      </c>
      <c r="D36" s="57">
        <v>-812500</v>
      </c>
      <c r="E36" s="3"/>
      <c r="F36" s="3"/>
      <c r="G36" s="3"/>
      <c r="H36" s="3"/>
    </row>
    <row r="37" spans="1:9" ht="14.4">
      <c r="A37" s="45" t="s">
        <v>173</v>
      </c>
      <c r="B37" s="57">
        <f>'Pr Fin'!B10</f>
        <v>0</v>
      </c>
      <c r="C37" s="57">
        <f>'Pr Fin'!C10</f>
        <v>-510395.04576542246</v>
      </c>
      <c r="D37" s="57">
        <f>'Pr Fin'!D10</f>
        <v>-402558.3387544523</v>
      </c>
      <c r="E37" s="3"/>
      <c r="F37" s="3"/>
      <c r="G37" s="3"/>
      <c r="H37" s="3"/>
    </row>
    <row r="38" spans="1:9" ht="36">
      <c r="A38" s="71" t="s">
        <v>237</v>
      </c>
      <c r="B38" s="56">
        <v>1779374.9999999958</v>
      </c>
      <c r="C38" s="56">
        <v>0</v>
      </c>
      <c r="D38" s="56">
        <v>0</v>
      </c>
      <c r="E38" s="3"/>
      <c r="F38" s="3"/>
      <c r="G38" s="3"/>
      <c r="H38" s="3"/>
    </row>
    <row r="39" spans="1:9" ht="54">
      <c r="A39" s="71" t="s">
        <v>236</v>
      </c>
      <c r="B39" s="56">
        <v>-337361.375</v>
      </c>
      <c r="C39" s="56">
        <v>-657800</v>
      </c>
      <c r="D39" s="56">
        <v>-572390</v>
      </c>
      <c r="E39" s="56"/>
      <c r="F39" s="56"/>
      <c r="G39" s="56"/>
      <c r="H39" s="56"/>
      <c r="I39" s="56"/>
    </row>
    <row r="40" spans="1:9" s="148" customFormat="1" ht="21">
      <c r="A40" s="92" t="s">
        <v>161</v>
      </c>
      <c r="B40" s="86">
        <f>B32+B33+B38+B39</f>
        <v>957476.32792720525</v>
      </c>
      <c r="C40" s="86">
        <f>C32+C33+C38+C39</f>
        <v>12181027.644086786</v>
      </c>
      <c r="D40" s="86">
        <f>D32+D33+D38+D39</f>
        <v>13121129.493409747</v>
      </c>
      <c r="E40" s="224"/>
      <c r="F40" s="224"/>
      <c r="G40" s="224"/>
      <c r="H40" s="224"/>
    </row>
    <row r="41" spans="1:9">
      <c r="A41" s="49" t="s">
        <v>162</v>
      </c>
      <c r="B41" s="56">
        <f>B40*Предположения!$B$18</f>
        <v>0</v>
      </c>
      <c r="C41" s="56">
        <f>C40*Предположения!$B$18</f>
        <v>0</v>
      </c>
      <c r="D41" s="56">
        <f>D40*Предположения!$B$18</f>
        <v>0</v>
      </c>
      <c r="E41" s="3"/>
      <c r="F41" s="3"/>
      <c r="G41" s="3"/>
      <c r="H41" s="3"/>
    </row>
    <row r="42" spans="1:9" s="148" customFormat="1" ht="21">
      <c r="A42" s="92" t="s">
        <v>163</v>
      </c>
      <c r="B42" s="86">
        <f>B40+B41</f>
        <v>957476.32792720525</v>
      </c>
      <c r="C42" s="86">
        <f t="shared" ref="C42:D42" si="6">C40+C41</f>
        <v>12181027.644086786</v>
      </c>
      <c r="D42" s="86">
        <f t="shared" si="6"/>
        <v>13121129.493409747</v>
      </c>
      <c r="E42" s="224"/>
      <c r="F42" s="224"/>
      <c r="G42" s="224"/>
      <c r="H42" s="224"/>
    </row>
    <row r="43" spans="1:9">
      <c r="A43" s="36" t="s">
        <v>190</v>
      </c>
      <c r="B43" s="54"/>
      <c r="C43" s="54"/>
      <c r="D43" s="54"/>
      <c r="E43" s="3"/>
      <c r="F43" s="3"/>
      <c r="G43" s="3"/>
      <c r="H43" s="3"/>
    </row>
    <row r="44" spans="1:9" s="45" customFormat="1" ht="14.4">
      <c r="A44" s="45" t="s">
        <v>191</v>
      </c>
      <c r="B44" s="57">
        <f>B42*(1-Предположения!$B$206)</f>
        <v>909602.51153084496</v>
      </c>
      <c r="C44" s="57">
        <f>C42*(1-Предположения!$B$206)</f>
        <v>11571976.261882447</v>
      </c>
      <c r="D44" s="57">
        <f>D42*(1-Предположения!$B$206)</f>
        <v>12465073.018739259</v>
      </c>
      <c r="E44" s="46"/>
      <c r="F44" s="46"/>
      <c r="G44" s="46"/>
      <c r="H44" s="46"/>
    </row>
    <row r="45" spans="1:9" s="45" customFormat="1" ht="14.4">
      <c r="A45" s="45" t="s">
        <v>192</v>
      </c>
      <c r="B45" s="57">
        <f>B42*Предположения!$B$206</f>
        <v>47873.816396360264</v>
      </c>
      <c r="C45" s="57">
        <f>C42*Предположения!$B$206</f>
        <v>609051.38220433926</v>
      </c>
      <c r="D45" s="57">
        <f>D42*Предположения!$B$206</f>
        <v>656056.47467048746</v>
      </c>
      <c r="E45" s="46"/>
      <c r="F45" s="46"/>
      <c r="G45" s="46"/>
      <c r="H45" s="46"/>
    </row>
    <row r="46" spans="1:9">
      <c r="A46" s="36" t="s">
        <v>188</v>
      </c>
      <c r="B46" s="41">
        <f>-Предположения!$B$207*B42</f>
        <v>-143621.44918908077</v>
      </c>
      <c r="C46" s="41">
        <f>-Предположения!$B$207*C42</f>
        <v>-1827154.1466130179</v>
      </c>
      <c r="D46" s="41">
        <f>-Предположения!$B$207*D42</f>
        <v>-1968169.4240114619</v>
      </c>
      <c r="E46" s="3"/>
      <c r="F46" s="3"/>
      <c r="G46" s="3"/>
      <c r="H46" s="3"/>
    </row>
    <row r="47" spans="1:9" ht="42">
      <c r="A47" s="85" t="s">
        <v>193</v>
      </c>
      <c r="B47" s="86">
        <f>B42+B46</f>
        <v>813854.87873812451</v>
      </c>
      <c r="C47" s="86">
        <f t="shared" ref="C47:D47" si="7">C42+C46</f>
        <v>10353873.497473767</v>
      </c>
      <c r="D47" s="86">
        <f t="shared" si="7"/>
        <v>11152960.069398286</v>
      </c>
      <c r="E47" s="3"/>
      <c r="F47" s="3"/>
      <c r="G47" s="3"/>
      <c r="H47" s="3"/>
    </row>
    <row r="48" spans="1:9">
      <c r="B48" s="41"/>
      <c r="C48" s="41"/>
      <c r="D48" s="41"/>
      <c r="E48" s="3"/>
      <c r="F48" s="3"/>
      <c r="G48" s="3"/>
      <c r="H48" s="3"/>
    </row>
    <row r="49" spans="1:8" ht="21">
      <c r="A49" s="85" t="s">
        <v>427</v>
      </c>
      <c r="B49" s="54">
        <f>B32-B25</f>
        <v>6589619.2399058333</v>
      </c>
      <c r="C49" s="54">
        <f t="shared" ref="C49:D49" si="8">C32-C25</f>
        <v>25335208.479036372</v>
      </c>
      <c r="D49" s="54">
        <f t="shared" si="8"/>
        <v>25234208.996054292</v>
      </c>
      <c r="E49" s="3"/>
      <c r="F49" s="3"/>
      <c r="G49" s="3"/>
      <c r="H49" s="3"/>
    </row>
    <row r="50" spans="1:8">
      <c r="B50" s="41"/>
      <c r="C50" s="41"/>
      <c r="D50" s="41"/>
      <c r="E50" s="3"/>
      <c r="F50" s="3"/>
      <c r="G50" s="3"/>
      <c r="H50" s="3"/>
    </row>
    <row r="51" spans="1:8">
      <c r="B51" s="41"/>
      <c r="C51" s="41"/>
      <c r="D51" s="41"/>
      <c r="E51" s="3"/>
      <c r="F51" s="3"/>
      <c r="G51" s="3"/>
      <c r="H51" s="3"/>
    </row>
    <row r="52" spans="1:8">
      <c r="B52" s="41"/>
      <c r="C52" s="41"/>
      <c r="D52" s="41"/>
      <c r="E52" s="3"/>
      <c r="F52" s="3"/>
      <c r="G52" s="3"/>
      <c r="H52" s="3"/>
    </row>
    <row r="53" spans="1:8">
      <c r="B53" s="41"/>
      <c r="C53" s="41"/>
      <c r="D53" s="41"/>
    </row>
    <row r="54" spans="1:8">
      <c r="B54" s="41"/>
      <c r="C54" s="41"/>
      <c r="D54" s="41"/>
    </row>
    <row r="55" spans="1:8">
      <c r="B55" s="41"/>
      <c r="C55" s="41"/>
      <c r="D55" s="41"/>
    </row>
    <row r="56" spans="1:8">
      <c r="B56" s="41"/>
      <c r="C56" s="41"/>
      <c r="D56" s="41"/>
    </row>
    <row r="57" spans="1:8">
      <c r="B57" s="41"/>
      <c r="C57" s="41"/>
      <c r="D57" s="41"/>
    </row>
    <row r="58" spans="1:8">
      <c r="B58" s="41"/>
      <c r="C58" s="41"/>
      <c r="D58" s="41"/>
    </row>
    <row r="59" spans="1:8">
      <c r="B59" s="41"/>
      <c r="C59" s="41"/>
      <c r="D59" s="41"/>
    </row>
    <row r="60" spans="1:8">
      <c r="B60" s="41"/>
      <c r="C60" s="41"/>
      <c r="D60" s="41"/>
    </row>
    <row r="61" spans="1:8">
      <c r="B61" s="41"/>
      <c r="C61" s="41"/>
      <c r="D61" s="41"/>
    </row>
    <row r="62" spans="1:8">
      <c r="B62" s="41"/>
      <c r="C62" s="41"/>
      <c r="D62" s="41"/>
    </row>
    <row r="63" spans="1:8">
      <c r="B63" s="41"/>
      <c r="C63" s="41"/>
      <c r="D63" s="41"/>
    </row>
    <row r="64" spans="1:8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  <row r="70" spans="2:4">
      <c r="B70" s="41"/>
      <c r="C70" s="41"/>
      <c r="D70" s="4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I6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RowHeight="18"/>
  <cols>
    <col min="1" max="1" width="77.33203125" style="49" customWidth="1"/>
    <col min="2" max="4" width="24.77734375" style="2" customWidth="1"/>
    <col min="5" max="5" width="29.5546875" style="2" customWidth="1"/>
    <col min="6" max="6" width="8.88671875" style="2" customWidth="1"/>
    <col min="7" max="7" width="13.33203125" style="2" customWidth="1"/>
    <col min="8" max="8" width="13.6640625" style="2" customWidth="1"/>
    <col min="9" max="9" width="8.88671875" style="2" customWidth="1"/>
    <col min="10" max="16384" width="8.88671875" style="2"/>
  </cols>
  <sheetData>
    <row r="1" spans="1:9" ht="14.4">
      <c r="A1" s="303" t="s">
        <v>740</v>
      </c>
    </row>
    <row r="2" spans="1:9" ht="21">
      <c r="A2" s="92" t="s">
        <v>118</v>
      </c>
    </row>
    <row r="3" spans="1:9" ht="21">
      <c r="A3" s="92" t="s">
        <v>261</v>
      </c>
      <c r="B3" s="202" t="s">
        <v>119</v>
      </c>
    </row>
    <row r="4" spans="1:9" ht="21">
      <c r="A4" s="92" t="s">
        <v>549</v>
      </c>
      <c r="B4" s="99">
        <v>2010</v>
      </c>
      <c r="C4" s="99">
        <v>2011</v>
      </c>
      <c r="D4" s="100">
        <v>2012</v>
      </c>
    </row>
    <row r="5" spans="1:9">
      <c r="A5" s="36" t="s">
        <v>203</v>
      </c>
      <c r="B5" s="4"/>
      <c r="C5" s="4"/>
      <c r="D5" s="21"/>
    </row>
    <row r="7" spans="1:9" s="92" customFormat="1" ht="21">
      <c r="A7" s="92" t="s">
        <v>253</v>
      </c>
      <c r="B7" s="86">
        <f>B8+B9</f>
        <v>104595903.75</v>
      </c>
      <c r="C7" s="86">
        <f t="shared" ref="C7:D7" si="0">C8+C9</f>
        <v>176490000</v>
      </c>
      <c r="D7" s="86">
        <f t="shared" si="0"/>
        <v>122698012.5</v>
      </c>
    </row>
    <row r="8" spans="1:9" s="44" customFormat="1">
      <c r="A8" s="49" t="s">
        <v>262</v>
      </c>
      <c r="B8" s="56">
        <v>8607292.5</v>
      </c>
      <c r="C8" s="56">
        <v>13986900</v>
      </c>
      <c r="D8" s="56">
        <v>11043112.5</v>
      </c>
    </row>
    <row r="9" spans="1:9" s="44" customFormat="1">
      <c r="A9" s="49" t="s">
        <v>263</v>
      </c>
      <c r="B9" s="56">
        <v>95988611.25</v>
      </c>
      <c r="C9" s="56">
        <v>162503100</v>
      </c>
      <c r="D9" s="56">
        <v>111654900</v>
      </c>
    </row>
    <row r="10" spans="1:9" s="92" customFormat="1" ht="21">
      <c r="A10" s="92" t="s">
        <v>264</v>
      </c>
      <c r="B10" s="86">
        <f>B11+B14+B15+B16</f>
        <v>-83812103.5</v>
      </c>
      <c r="C10" s="86">
        <f t="shared" ref="C10:D10" si="1">C11+C14+C15+C16</f>
        <v>-136777443</v>
      </c>
      <c r="D10" s="86">
        <f t="shared" si="1"/>
        <v>-108664644</v>
      </c>
      <c r="E10" s="86"/>
      <c r="F10" s="86"/>
      <c r="G10" s="86"/>
      <c r="H10" s="86"/>
      <c r="I10" s="86"/>
    </row>
    <row r="11" spans="1:9" s="47" customFormat="1">
      <c r="A11" s="49" t="s">
        <v>265</v>
      </c>
      <c r="B11" s="56">
        <f>SUM(B12:B13)</f>
        <v>-83786137.5</v>
      </c>
      <c r="C11" s="56">
        <f>SUM(C12:C13)</f>
        <v>-136739000</v>
      </c>
      <c r="D11" s="56">
        <f>SUM(D12:D13)</f>
        <v>-108484000</v>
      </c>
      <c r="E11" s="48"/>
      <c r="F11" s="50"/>
      <c r="H11" s="46"/>
    </row>
    <row r="12" spans="1:9" s="45" customFormat="1" ht="14.4">
      <c r="A12" s="45" t="s">
        <v>266</v>
      </c>
      <c r="B12" s="57">
        <v>-33736137.5</v>
      </c>
      <c r="C12" s="57">
        <v>-65780000</v>
      </c>
      <c r="D12" s="57">
        <v>-57239000</v>
      </c>
      <c r="E12" s="46"/>
      <c r="F12" s="50"/>
      <c r="G12" s="46"/>
      <c r="H12" s="46"/>
    </row>
    <row r="13" spans="1:9" s="45" customFormat="1" ht="14.4">
      <c r="A13" s="45" t="s">
        <v>267</v>
      </c>
      <c r="B13" s="57">
        <v>-50050000</v>
      </c>
      <c r="C13" s="57">
        <v>-70959000</v>
      </c>
      <c r="D13" s="57">
        <v>-51245000</v>
      </c>
      <c r="E13" s="46"/>
      <c r="F13" s="50"/>
      <c r="G13" s="46"/>
      <c r="H13" s="46"/>
    </row>
    <row r="14" spans="1:9">
      <c r="A14" s="49" t="s">
        <v>272</v>
      </c>
      <c r="B14" s="56">
        <v>0</v>
      </c>
      <c r="C14" s="56">
        <v>0</v>
      </c>
      <c r="D14" s="56">
        <v>0</v>
      </c>
      <c r="E14" s="3"/>
      <c r="F14" s="50"/>
      <c r="G14" s="3"/>
      <c r="H14" s="3"/>
    </row>
    <row r="15" spans="1:9">
      <c r="A15" s="49" t="s">
        <v>151</v>
      </c>
      <c r="B15" s="56">
        <v>-1210</v>
      </c>
      <c r="C15" s="56">
        <v>-2456</v>
      </c>
      <c r="D15" s="56">
        <v>-3750</v>
      </c>
      <c r="E15" s="3"/>
      <c r="F15" s="50"/>
      <c r="G15" s="3"/>
      <c r="H15" s="46"/>
    </row>
    <row r="16" spans="1:9">
      <c r="A16" s="49" t="s">
        <v>150</v>
      </c>
      <c r="B16" s="56">
        <v>-24756</v>
      </c>
      <c r="C16" s="56">
        <v>-35987</v>
      </c>
      <c r="D16" s="56">
        <v>-176894</v>
      </c>
      <c r="E16" s="3"/>
      <c r="F16" s="50"/>
      <c r="G16" s="3"/>
      <c r="H16" s="46"/>
    </row>
    <row r="17" spans="1:9" s="148" customFormat="1" ht="21">
      <c r="A17" s="92" t="s">
        <v>154</v>
      </c>
      <c r="B17" s="86">
        <f>B7+B10</f>
        <v>20783800.25</v>
      </c>
      <c r="C17" s="86">
        <f>C7+C10</f>
        <v>39712557</v>
      </c>
      <c r="D17" s="86">
        <f>D7+D10</f>
        <v>14033368.5</v>
      </c>
      <c r="E17" s="224"/>
      <c r="F17" s="224"/>
      <c r="G17" s="224"/>
      <c r="H17" s="225"/>
    </row>
    <row r="18" spans="1:9">
      <c r="A18" s="49" t="s">
        <v>155</v>
      </c>
      <c r="B18" s="56">
        <v>-510756</v>
      </c>
      <c r="C18" s="56">
        <v>-965342</v>
      </c>
      <c r="D18" s="56">
        <v>-1051276</v>
      </c>
      <c r="E18" s="3"/>
      <c r="F18" s="40"/>
      <c r="G18" s="3"/>
      <c r="H18" s="46"/>
    </row>
    <row r="19" spans="1:9">
      <c r="A19" s="49" t="s">
        <v>280</v>
      </c>
      <c r="B19" s="56">
        <v>-14406761.25</v>
      </c>
      <c r="C19" s="56">
        <v>-30987000</v>
      </c>
      <c r="D19" s="56">
        <v>-8762062.5</v>
      </c>
      <c r="E19" s="3"/>
      <c r="F19" s="40"/>
      <c r="G19" s="3"/>
      <c r="H19" s="46"/>
    </row>
    <row r="20" spans="1:9">
      <c r="A20" s="49" t="s">
        <v>268</v>
      </c>
      <c r="B20" s="56">
        <v>-1045959.0375</v>
      </c>
      <c r="C20" s="56">
        <v>-1764900</v>
      </c>
      <c r="D20" s="56">
        <v>-1226980.125</v>
      </c>
      <c r="E20" s="3"/>
      <c r="F20" s="50"/>
      <c r="G20" s="3"/>
      <c r="H20" s="3"/>
      <c r="I20" s="53"/>
    </row>
    <row r="21" spans="1:9">
      <c r="A21" s="49" t="s">
        <v>281</v>
      </c>
      <c r="B21" s="56">
        <v>-117532.74422812495</v>
      </c>
      <c r="C21" s="56">
        <v>-138506.77499999999</v>
      </c>
      <c r="D21" s="56">
        <v>-73038.489093749813</v>
      </c>
      <c r="E21" s="3"/>
      <c r="F21" s="40"/>
      <c r="G21" s="3"/>
      <c r="H21" s="3"/>
    </row>
    <row r="22" spans="1:9" ht="36">
      <c r="A22" s="71" t="s">
        <v>282</v>
      </c>
      <c r="B22" s="56">
        <v>-1360840.89375</v>
      </c>
      <c r="C22" s="56">
        <v>-2249840</v>
      </c>
      <c r="D22" s="56">
        <v>-1698330.0625</v>
      </c>
      <c r="E22" s="3"/>
      <c r="F22" s="40"/>
      <c r="G22" s="3"/>
      <c r="H22" s="3"/>
    </row>
    <row r="23" spans="1:9" s="148" customFormat="1" ht="21">
      <c r="A23" s="92" t="s">
        <v>159</v>
      </c>
      <c r="B23" s="86">
        <f>SUM(B17:B22)</f>
        <v>3341950.3245218759</v>
      </c>
      <c r="C23" s="86">
        <f t="shared" ref="C23:D23" si="2">SUM(C17:C22)</f>
        <v>3606968.2249999996</v>
      </c>
      <c r="D23" s="86">
        <f t="shared" si="2"/>
        <v>1221681.3234062502</v>
      </c>
      <c r="E23" s="224"/>
      <c r="F23" s="224"/>
      <c r="G23" s="224"/>
      <c r="H23" s="224"/>
    </row>
    <row r="24" spans="1:9">
      <c r="A24" s="49" t="s">
        <v>160</v>
      </c>
      <c r="B24" s="56">
        <f>B25+B26+B28+B27</f>
        <v>-78446.927812499998</v>
      </c>
      <c r="C24" s="56">
        <f>C25+C26+C28+C27</f>
        <v>-132367.5</v>
      </c>
      <c r="D24" s="56">
        <f>D25+D26+D28+D27</f>
        <v>-92023.509375000009</v>
      </c>
      <c r="E24" s="3"/>
      <c r="F24" s="3"/>
      <c r="G24" s="3"/>
      <c r="H24" s="3"/>
    </row>
    <row r="25" spans="1:9" ht="14.4">
      <c r="A25" s="45" t="s">
        <v>285</v>
      </c>
      <c r="B25" s="57">
        <v>-78446.927812499998</v>
      </c>
      <c r="C25" s="57">
        <v>-132367.5</v>
      </c>
      <c r="D25" s="57">
        <v>-92023.509375000009</v>
      </c>
      <c r="E25" s="3"/>
      <c r="F25" s="3"/>
      <c r="G25" s="3"/>
      <c r="H25" s="3"/>
    </row>
    <row r="26" spans="1:9" ht="28.8">
      <c r="A26" s="108" t="s">
        <v>283</v>
      </c>
      <c r="B26" s="57">
        <v>0</v>
      </c>
      <c r="C26" s="57">
        <v>0</v>
      </c>
      <c r="D26" s="57">
        <v>0</v>
      </c>
      <c r="E26" s="3"/>
      <c r="F26" s="3"/>
      <c r="G26" s="3"/>
      <c r="H26" s="3"/>
    </row>
    <row r="27" spans="1:9" ht="14.4">
      <c r="A27" s="45" t="s">
        <v>212</v>
      </c>
      <c r="B27" s="57">
        <v>0</v>
      </c>
      <c r="C27" s="57">
        <v>0</v>
      </c>
      <c r="D27" s="57">
        <v>0</v>
      </c>
      <c r="E27" s="3"/>
      <c r="F27" s="3"/>
      <c r="G27" s="3"/>
      <c r="H27" s="3"/>
    </row>
    <row r="28" spans="1:9" ht="28.8">
      <c r="A28" s="108" t="s">
        <v>284</v>
      </c>
      <c r="B28" s="57">
        <v>0</v>
      </c>
      <c r="C28" s="57">
        <v>0</v>
      </c>
      <c r="D28" s="57">
        <v>0</v>
      </c>
      <c r="E28" s="3"/>
      <c r="F28" s="3"/>
      <c r="G28" s="3"/>
      <c r="H28" s="3"/>
    </row>
    <row r="29" spans="1:9" ht="36">
      <c r="A29" s="71" t="s">
        <v>237</v>
      </c>
      <c r="B29" s="56">
        <v>0</v>
      </c>
      <c r="C29" s="56">
        <v>0</v>
      </c>
      <c r="D29" s="56">
        <v>0</v>
      </c>
      <c r="E29" s="3"/>
      <c r="F29" s="3"/>
      <c r="G29" s="3"/>
      <c r="H29" s="3"/>
    </row>
    <row r="30" spans="1:9" ht="36">
      <c r="A30" s="71" t="s">
        <v>295</v>
      </c>
      <c r="B30" s="56">
        <v>-86072.925000000003</v>
      </c>
      <c r="C30" s="56">
        <v>-139869</v>
      </c>
      <c r="D30" s="56">
        <v>-110431.125</v>
      </c>
      <c r="E30" s="56"/>
      <c r="F30" s="56"/>
      <c r="G30" s="56"/>
      <c r="H30" s="56"/>
      <c r="I30" s="56"/>
    </row>
    <row r="31" spans="1:9" s="148" customFormat="1" ht="21">
      <c r="A31" s="92" t="s">
        <v>161</v>
      </c>
      <c r="B31" s="86">
        <f>B23+B24+B29+B30</f>
        <v>3177430.4717093762</v>
      </c>
      <c r="C31" s="86">
        <f>C23+C24+C29+C30</f>
        <v>3334731.7249999996</v>
      </c>
      <c r="D31" s="86">
        <f>D23+D24+D29+D30</f>
        <v>1019226.6890312503</v>
      </c>
      <c r="E31" s="224"/>
      <c r="F31" s="224"/>
      <c r="G31" s="224"/>
      <c r="H31" s="224"/>
    </row>
    <row r="32" spans="1:9">
      <c r="A32" s="49" t="s">
        <v>162</v>
      </c>
      <c r="B32" s="56">
        <v>-321370.72276468761</v>
      </c>
      <c r="C32" s="56">
        <v>-338487.42249999999</v>
      </c>
      <c r="D32" s="56">
        <v>-103970.14484062503</v>
      </c>
      <c r="E32" s="3"/>
      <c r="F32" s="3"/>
      <c r="G32" s="3"/>
      <c r="H32" s="3"/>
    </row>
    <row r="33" spans="1:8" s="148" customFormat="1" ht="21">
      <c r="A33" s="92" t="s">
        <v>163</v>
      </c>
      <c r="B33" s="86">
        <f>B31+B32</f>
        <v>2856059.7489446886</v>
      </c>
      <c r="C33" s="86">
        <f t="shared" ref="C33:D33" si="3">C31+C32</f>
        <v>2996244.3024999998</v>
      </c>
      <c r="D33" s="86">
        <f t="shared" si="3"/>
        <v>915256.54419062531</v>
      </c>
      <c r="E33" s="224"/>
      <c r="F33" s="224"/>
      <c r="G33" s="224"/>
      <c r="H33" s="224"/>
    </row>
    <row r="34" spans="1:8">
      <c r="A34" s="36" t="s">
        <v>190</v>
      </c>
      <c r="B34" s="54"/>
      <c r="C34" s="54"/>
      <c r="D34" s="54"/>
      <c r="E34" s="3"/>
      <c r="F34" s="3"/>
      <c r="G34" s="3"/>
      <c r="H34" s="3"/>
    </row>
    <row r="35" spans="1:8" s="45" customFormat="1" ht="14.4">
      <c r="A35" s="45" t="s">
        <v>191</v>
      </c>
      <c r="B35" s="57">
        <f>B33*(1-Предположения!$B$208)</f>
        <v>2856059.7489446886</v>
      </c>
      <c r="C35" s="57">
        <f>C33*(1-Предположения!$B$208)</f>
        <v>2996244.3024999998</v>
      </c>
      <c r="D35" s="57">
        <f>D33*(1-Предположения!$B$208)</f>
        <v>915256.54419062531</v>
      </c>
      <c r="E35" s="46"/>
      <c r="F35" s="46"/>
      <c r="G35" s="46"/>
      <c r="H35" s="46"/>
    </row>
    <row r="36" spans="1:8" s="45" customFormat="1" ht="14.4">
      <c r="A36" s="45" t="s">
        <v>192</v>
      </c>
      <c r="B36" s="57">
        <f>B33*Предположения!$B$208</f>
        <v>0</v>
      </c>
      <c r="C36" s="57">
        <f>C33*Предположения!$B$208</f>
        <v>0</v>
      </c>
      <c r="D36" s="57">
        <f>D33*Предположения!$B$208</f>
        <v>0</v>
      </c>
      <c r="E36" s="46"/>
      <c r="F36" s="46"/>
      <c r="G36" s="46"/>
      <c r="H36" s="46"/>
    </row>
    <row r="37" spans="1:8">
      <c r="A37" s="36" t="s">
        <v>188</v>
      </c>
      <c r="B37" s="41">
        <v>-723084.12622054713</v>
      </c>
      <c r="C37" s="41">
        <v>-761596.70062499994</v>
      </c>
      <c r="D37" s="41">
        <v>-233932.8258914063</v>
      </c>
      <c r="E37" s="3"/>
      <c r="F37" s="3"/>
      <c r="G37" s="3"/>
      <c r="H37" s="3"/>
    </row>
    <row r="38" spans="1:8" ht="42">
      <c r="A38" s="85" t="s">
        <v>193</v>
      </c>
      <c r="B38" s="86">
        <f>B33+B37</f>
        <v>2132975.6227241415</v>
      </c>
      <c r="C38" s="86">
        <f t="shared" ref="C38:D38" si="4">C33+C37</f>
        <v>2234647.6018749997</v>
      </c>
      <c r="D38" s="86">
        <f t="shared" si="4"/>
        <v>681323.71829921904</v>
      </c>
      <c r="E38" s="3"/>
      <c r="F38" s="3"/>
      <c r="G38" s="3"/>
      <c r="H38" s="3"/>
    </row>
    <row r="39" spans="1:8">
      <c r="B39" s="41"/>
      <c r="C39" s="41"/>
      <c r="D39" s="41"/>
      <c r="E39" s="3"/>
      <c r="F39" s="3"/>
      <c r="G39" s="3"/>
      <c r="H39" s="3"/>
    </row>
    <row r="40" spans="1:8" ht="21">
      <c r="A40" s="85" t="s">
        <v>427</v>
      </c>
      <c r="B40" s="54">
        <f>B23-B15</f>
        <v>3343160.3245218759</v>
      </c>
      <c r="C40" s="54">
        <f t="shared" ref="C40:D40" si="5">C23-C15</f>
        <v>3609424.2249999996</v>
      </c>
      <c r="D40" s="54">
        <f t="shared" si="5"/>
        <v>1225431.3234062502</v>
      </c>
      <c r="E40" s="3"/>
      <c r="F40" s="3"/>
      <c r="G40" s="3"/>
      <c r="H40" s="3"/>
    </row>
    <row r="41" spans="1:8">
      <c r="B41" s="41"/>
      <c r="C41" s="41"/>
      <c r="D41" s="41"/>
      <c r="E41" s="3"/>
      <c r="F41" s="3"/>
      <c r="G41" s="3"/>
      <c r="H41" s="3"/>
    </row>
    <row r="42" spans="1:8">
      <c r="B42" s="41"/>
      <c r="C42" s="41"/>
      <c r="D42" s="41"/>
      <c r="E42" s="3"/>
      <c r="F42" s="3"/>
      <c r="G42" s="3"/>
      <c r="H42" s="3"/>
    </row>
    <row r="43" spans="1:8">
      <c r="B43" s="41"/>
      <c r="C43" s="41"/>
      <c r="D43" s="41"/>
      <c r="E43" s="3"/>
      <c r="F43" s="3"/>
      <c r="G43" s="3"/>
      <c r="H43" s="3"/>
    </row>
    <row r="44" spans="1:8">
      <c r="B44" s="41"/>
      <c r="C44" s="41"/>
      <c r="D44" s="41"/>
    </row>
    <row r="45" spans="1:8">
      <c r="B45" s="41"/>
      <c r="C45" s="41"/>
      <c r="D45" s="41"/>
    </row>
    <row r="46" spans="1:8">
      <c r="B46" s="41"/>
      <c r="C46" s="41"/>
      <c r="D46" s="41"/>
    </row>
    <row r="47" spans="1:8">
      <c r="B47" s="41"/>
      <c r="C47" s="41"/>
      <c r="D47" s="41"/>
    </row>
    <row r="48" spans="1:8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  <row r="54" spans="2:4">
      <c r="B54" s="41"/>
      <c r="C54" s="41"/>
      <c r="D54" s="41"/>
    </row>
    <row r="55" spans="2:4">
      <c r="B55" s="41"/>
      <c r="C55" s="41"/>
      <c r="D55" s="41"/>
    </row>
    <row r="56" spans="2:4">
      <c r="B56" s="41"/>
      <c r="C56" s="41"/>
      <c r="D56" s="41"/>
    </row>
    <row r="57" spans="2:4">
      <c r="B57" s="41"/>
      <c r="C57" s="41"/>
      <c r="D57" s="41"/>
    </row>
    <row r="58" spans="2:4">
      <c r="B58" s="41"/>
      <c r="C58" s="41"/>
      <c r="D58" s="41"/>
    </row>
    <row r="59" spans="2:4">
      <c r="B59" s="41"/>
      <c r="C59" s="41"/>
      <c r="D59" s="41"/>
    </row>
    <row r="60" spans="2:4">
      <c r="B60" s="41"/>
      <c r="C60" s="41"/>
      <c r="D60" s="41"/>
    </row>
    <row r="61" spans="2:4">
      <c r="B61" s="41"/>
      <c r="C61" s="41"/>
      <c r="D61" s="4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I4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RowHeight="18"/>
  <cols>
    <col min="1" max="1" width="77.33203125" style="49" customWidth="1"/>
    <col min="2" max="4" width="24.77734375" style="2" customWidth="1"/>
    <col min="5" max="5" width="29.5546875" style="2" customWidth="1"/>
    <col min="6" max="6" width="8.88671875" style="2" customWidth="1"/>
    <col min="7" max="7" width="13.33203125" style="2" customWidth="1"/>
    <col min="8" max="8" width="13.6640625" style="2" customWidth="1"/>
    <col min="9" max="9" width="8.88671875" style="2" customWidth="1"/>
    <col min="10" max="16384" width="8.88671875" style="2"/>
  </cols>
  <sheetData>
    <row r="1" spans="1:9" ht="14.4">
      <c r="A1" s="303" t="s">
        <v>740</v>
      </c>
    </row>
    <row r="2" spans="1:9" ht="21">
      <c r="A2" s="92" t="s">
        <v>118</v>
      </c>
    </row>
    <row r="3" spans="1:9" ht="21">
      <c r="A3" s="92" t="s">
        <v>432</v>
      </c>
      <c r="B3" s="202" t="s">
        <v>119</v>
      </c>
      <c r="C3" s="202"/>
      <c r="D3" s="202"/>
    </row>
    <row r="4" spans="1:9" ht="21">
      <c r="A4" s="92" t="s">
        <v>549</v>
      </c>
      <c r="B4" s="99">
        <v>2010</v>
      </c>
      <c r="C4" s="99">
        <v>2011</v>
      </c>
      <c r="D4" s="100">
        <v>2012</v>
      </c>
    </row>
    <row r="6" spans="1:9" s="92" customFormat="1" ht="21">
      <c r="A6" s="92" t="s">
        <v>253</v>
      </c>
      <c r="B6" s="86">
        <f>'Pr P&amp;L 2012'!B9+'Tr P&amp;L 2012'!B7</f>
        <v>125858403.75</v>
      </c>
      <c r="C6" s="86">
        <f>'Pr P&amp;L 2012'!C9+'Tr P&amp;L 2012'!C7</f>
        <v>207675000</v>
      </c>
      <c r="D6" s="86">
        <f>'Pr P&amp;L 2012'!D9+'Tr P&amp;L 2012'!D7</f>
        <v>160183012.5</v>
      </c>
    </row>
    <row r="7" spans="1:9" s="49" customFormat="1">
      <c r="A7" s="49" t="s">
        <v>264</v>
      </c>
      <c r="B7" s="56">
        <f>'Pr P&amp;L 2012'!B10+'Tr P&amp;L 2012'!B13+'Tr P&amp;L 2012'!B14+'Tr P&amp;L 2012'!B15+'Tr P&amp;L 2012'!B16</f>
        <v>-93224316.625197798</v>
      </c>
      <c r="C7" s="56">
        <f>'Pr P&amp;L 2012'!C10+'Tr P&amp;L 2012'!C13+'Tr P&amp;L 2012'!C14+'Tr P&amp;L 2012'!C15+'Tr P&amp;L 2012'!C16</f>
        <v>-132920285.58531877</v>
      </c>
      <c r="D7" s="56">
        <f>'Pr P&amp;L 2012'!D10+'Tr P&amp;L 2012'!D13+'Tr P&amp;L 2012'!D14+'Tr P&amp;L 2012'!D15+'Tr P&amp;L 2012'!D16</f>
        <v>-114578076.50415075</v>
      </c>
      <c r="E7" s="56"/>
      <c r="F7" s="56"/>
      <c r="G7" s="56"/>
      <c r="H7" s="56"/>
      <c r="I7" s="56"/>
    </row>
    <row r="8" spans="1:9" s="49" customFormat="1">
      <c r="A8" s="44" t="s">
        <v>304</v>
      </c>
      <c r="B8" s="56"/>
      <c r="C8" s="56"/>
      <c r="D8" s="56"/>
      <c r="E8" s="56"/>
      <c r="F8" s="56"/>
      <c r="G8" s="56"/>
      <c r="H8" s="56"/>
      <c r="I8" s="56"/>
    </row>
    <row r="9" spans="1:9" s="49" customFormat="1">
      <c r="A9" s="49" t="s">
        <v>151</v>
      </c>
      <c r="B9" s="56">
        <f>'Pr P&amp;L 2012'!B25+'Tr P&amp;L 2012'!B15</f>
        <v>-5703821.3651036238</v>
      </c>
      <c r="C9" s="56">
        <f>'Pr P&amp;L 2012'!C25+'Tr P&amp;L 2012'!C15</f>
        <v>-10073716.789184164</v>
      </c>
      <c r="D9" s="56">
        <f>'Pr P&amp;L 2012'!D25+'Tr P&amp;L 2012'!D15</f>
        <v>-9537832.4138900898</v>
      </c>
      <c r="E9" s="56"/>
      <c r="F9" s="56"/>
      <c r="G9" s="56"/>
      <c r="H9" s="56"/>
      <c r="I9" s="56"/>
    </row>
    <row r="10" spans="1:9" s="148" customFormat="1" ht="21">
      <c r="A10" s="92" t="s">
        <v>154</v>
      </c>
      <c r="B10" s="86">
        <f>B6+B7</f>
        <v>32634087.124802202</v>
      </c>
      <c r="C10" s="86">
        <f>C6+C7</f>
        <v>74754714.414681226</v>
      </c>
      <c r="D10" s="86">
        <f>D6+D7</f>
        <v>45604935.995849252</v>
      </c>
      <c r="E10" s="224"/>
      <c r="F10" s="224"/>
      <c r="G10" s="224"/>
      <c r="H10" s="225"/>
    </row>
    <row r="11" spans="1:9">
      <c r="A11" s="49" t="s">
        <v>155</v>
      </c>
      <c r="B11" s="56">
        <f>'Pr P&amp;L 2012'!B28+'Tr P&amp;L 2012'!B21+'Tr P&amp;L 2012'!B18</f>
        <v>-1139044.7442281251</v>
      </c>
      <c r="C11" s="56">
        <f>'Pr P&amp;L 2012'!C28+'Tr P&amp;L 2012'!C21+'Tr P&amp;L 2012'!C18</f>
        <v>-2069190.7749999999</v>
      </c>
      <c r="D11" s="56">
        <f>'Pr P&amp;L 2012'!D28+'Tr P&amp;L 2012'!D21+'Tr P&amp;L 2012'!D18</f>
        <v>-2175590.4890937498</v>
      </c>
      <c r="E11" s="56"/>
      <c r="F11" s="56"/>
      <c r="G11" s="56"/>
      <c r="H11" s="56"/>
      <c r="I11" s="56"/>
    </row>
    <row r="12" spans="1:9">
      <c r="A12" s="49" t="s">
        <v>280</v>
      </c>
      <c r="B12" s="56">
        <f>'Pr P&amp;L 2012'!B29+'Tr P&amp;L 2012'!B19+'Tr P&amp;L 2012'!B20</f>
        <v>-25659570.287500001</v>
      </c>
      <c r="C12" s="56">
        <f>'Pr P&amp;L 2012'!C29+'Tr P&amp;L 2012'!C19+'Tr P&amp;L 2012'!C20</f>
        <v>-51705700</v>
      </c>
      <c r="D12" s="56">
        <f>'Pr P&amp;L 2012'!D29+'Tr P&amp;L 2012'!D19+'Tr P&amp;L 2012'!D20</f>
        <v>-24673642.625</v>
      </c>
      <c r="E12" s="3"/>
      <c r="F12" s="40"/>
      <c r="G12" s="3"/>
      <c r="H12" s="46"/>
    </row>
    <row r="13" spans="1:9">
      <c r="A13" s="49" t="s">
        <v>157</v>
      </c>
      <c r="B13" s="56">
        <f>'Pr P&amp;L 2012'!B30</f>
        <v>0</v>
      </c>
      <c r="C13" s="56">
        <f>'Pr P&amp;L 2012'!C30</f>
        <v>280717.27517098235</v>
      </c>
      <c r="D13" s="56">
        <f>'Pr P&amp;L 2012'!D30</f>
        <v>221407.08631494874</v>
      </c>
      <c r="E13" s="3"/>
      <c r="F13" s="50"/>
      <c r="G13" s="3"/>
      <c r="H13" s="3"/>
      <c r="I13" s="53"/>
    </row>
    <row r="14" spans="1:9" ht="36">
      <c r="A14" s="71" t="s">
        <v>282</v>
      </c>
      <c r="B14" s="56">
        <f>'Pr P&amp;L 2012'!B31+'Tr P&amp;L 2012'!B22</f>
        <v>-1606513.89375</v>
      </c>
      <c r="C14" s="56">
        <f>'Pr P&amp;L 2012'!C31+'Tr P&amp;L 2012'!C22</f>
        <v>-2389625</v>
      </c>
      <c r="D14" s="56">
        <f>'Pr P&amp;L 2012'!D31+'Tr P&amp;L 2012'!D22</f>
        <v>-2055302.0625</v>
      </c>
      <c r="E14" s="3"/>
      <c r="F14" s="40"/>
      <c r="G14" s="3"/>
      <c r="H14" s="3"/>
    </row>
    <row r="15" spans="1:9" s="148" customFormat="1" ht="21">
      <c r="A15" s="92" t="s">
        <v>159</v>
      </c>
      <c r="B15" s="86">
        <f t="shared" ref="B15:C15" si="0">SUM(B10:B14)</f>
        <v>4228958.1993240761</v>
      </c>
      <c r="C15" s="86">
        <f t="shared" si="0"/>
        <v>18870915.914852202</v>
      </c>
      <c r="D15" s="86">
        <f>SUM(D10:D14)</f>
        <v>16921807.905570451</v>
      </c>
      <c r="E15" s="224"/>
      <c r="F15" s="224"/>
      <c r="G15" s="224"/>
      <c r="H15" s="224"/>
    </row>
    <row r="16" spans="1:9">
      <c r="A16" s="49" t="s">
        <v>160</v>
      </c>
      <c r="B16" s="56">
        <f>'Pr P&amp;L 2012'!B33+'Tr P&amp;L 2012'!B24</f>
        <v>-1449992.0996874999</v>
      </c>
      <c r="C16" s="56">
        <f>'Pr P&amp;L 2012'!C33+'Tr P&amp;L 2012'!C24</f>
        <v>-2557487.5457654223</v>
      </c>
      <c r="D16" s="56">
        <f>'Pr P&amp;L 2012'!D33+'Tr P&amp;L 2012'!D24</f>
        <v>-2098630.5981294522</v>
      </c>
      <c r="E16" s="3"/>
      <c r="F16" s="3"/>
      <c r="G16" s="3"/>
      <c r="H16" s="3"/>
    </row>
    <row r="17" spans="1:9">
      <c r="A17" s="71" t="s">
        <v>303</v>
      </c>
      <c r="B17" s="56">
        <f>'Pr P&amp;L 2012'!B38+'Tr P&amp;L 2012'!B29</f>
        <v>1779374.9999999958</v>
      </c>
      <c r="C17" s="56">
        <f>'Pr P&amp;L 2012'!C38+'Tr P&amp;L 2012'!C29</f>
        <v>0</v>
      </c>
      <c r="D17" s="56">
        <f>'Pr P&amp;L 2012'!D38+'Tr P&amp;L 2012'!D29</f>
        <v>0</v>
      </c>
      <c r="E17" s="3"/>
      <c r="F17" s="3"/>
      <c r="G17" s="3"/>
      <c r="H17" s="3"/>
    </row>
    <row r="18" spans="1:9">
      <c r="A18" s="71" t="s">
        <v>302</v>
      </c>
      <c r="B18" s="56">
        <f>'Pr P&amp;L 2012'!B39+'Tr P&amp;L 2012'!B30</f>
        <v>-423434.3</v>
      </c>
      <c r="C18" s="56">
        <f>'Pr P&amp;L 2012'!C39+'Tr P&amp;L 2012'!C30</f>
        <v>-797669</v>
      </c>
      <c r="D18" s="56">
        <f>'Pr P&amp;L 2012'!D39+'Tr P&amp;L 2012'!D30</f>
        <v>-682821.125</v>
      </c>
      <c r="E18" s="56"/>
      <c r="F18" s="56"/>
      <c r="G18" s="56"/>
      <c r="H18" s="56"/>
      <c r="I18" s="56"/>
    </row>
    <row r="19" spans="1:9" s="148" customFormat="1" ht="21">
      <c r="A19" s="92" t="s">
        <v>161</v>
      </c>
      <c r="B19" s="86">
        <f>B15+B16+B17+B18</f>
        <v>4134906.7996365717</v>
      </c>
      <c r="C19" s="86">
        <f>C15+C16+C17+C18</f>
        <v>15515759.36908678</v>
      </c>
      <c r="D19" s="86">
        <f>D15+D16+D17+D18</f>
        <v>14140356.182441</v>
      </c>
      <c r="E19" s="224"/>
      <c r="F19" s="224"/>
      <c r="G19" s="224"/>
      <c r="H19" s="224"/>
    </row>
    <row r="20" spans="1:9">
      <c r="A20" s="49" t="s">
        <v>162</v>
      </c>
      <c r="B20" s="56">
        <f>'Pr P&amp;L 2012'!B41+'Tr P&amp;L 2012'!B32</f>
        <v>-321370.72276468761</v>
      </c>
      <c r="C20" s="56">
        <f>'Pr P&amp;L 2012'!C41+'Tr P&amp;L 2012'!C32</f>
        <v>-338487.42249999999</v>
      </c>
      <c r="D20" s="56">
        <f>'Pr P&amp;L 2012'!D41+'Tr P&amp;L 2012'!D32</f>
        <v>-103970.14484062503</v>
      </c>
      <c r="E20" s="3"/>
      <c r="F20" s="3"/>
      <c r="G20" s="3"/>
      <c r="H20" s="3"/>
    </row>
    <row r="21" spans="1:9" s="148" customFormat="1" ht="21">
      <c r="A21" s="92" t="s">
        <v>163</v>
      </c>
      <c r="B21" s="86">
        <f>B19+B20</f>
        <v>3813536.0768718841</v>
      </c>
      <c r="C21" s="86">
        <f t="shared" ref="C21:D21" si="1">C19+C20</f>
        <v>15177271.94658678</v>
      </c>
      <c r="D21" s="86">
        <f t="shared" si="1"/>
        <v>14036386.037600376</v>
      </c>
      <c r="E21" s="224"/>
      <c r="F21" s="224"/>
      <c r="G21" s="224"/>
      <c r="H21" s="224"/>
    </row>
    <row r="22" spans="1:9">
      <c r="A22" s="36" t="s">
        <v>190</v>
      </c>
      <c r="B22" s="54"/>
      <c r="C22" s="54"/>
      <c r="D22" s="54"/>
      <c r="E22" s="3"/>
      <c r="F22" s="3"/>
      <c r="G22" s="3"/>
      <c r="H22" s="3"/>
    </row>
    <row r="23" spans="1:9" s="45" customFormat="1" ht="14.4">
      <c r="A23" s="45" t="s">
        <v>191</v>
      </c>
      <c r="B23" s="57">
        <f>'Pr P&amp;L 2012'!B44+'Tr P&amp;L 2012'!B35</f>
        <v>3765662.2604755335</v>
      </c>
      <c r="C23" s="57">
        <f>'Pr P&amp;L 2012'!C44+'Tr P&amp;L 2012'!C35</f>
        <v>14568220.564382447</v>
      </c>
      <c r="D23" s="57">
        <f>'Pr P&amp;L 2012'!D44+'Tr P&amp;L 2012'!D35</f>
        <v>13380329.562929884</v>
      </c>
      <c r="E23" s="46"/>
      <c r="F23" s="46"/>
      <c r="G23" s="46"/>
      <c r="H23" s="46"/>
    </row>
    <row r="24" spans="1:9" s="45" customFormat="1" ht="14.4">
      <c r="A24" s="45" t="s">
        <v>192</v>
      </c>
      <c r="B24" s="57">
        <f>'Pr P&amp;L 2012'!B45+'Tr P&amp;L 2012'!B36</f>
        <v>47873.816396360264</v>
      </c>
      <c r="C24" s="57">
        <f>'Pr P&amp;L 2012'!C45+'Tr P&amp;L 2012'!C36</f>
        <v>609051.38220433926</v>
      </c>
      <c r="D24" s="57">
        <f>'Pr P&amp;L 2012'!D45+'Tr P&amp;L 2012'!D36</f>
        <v>656056.47467048746</v>
      </c>
      <c r="E24" s="46"/>
      <c r="F24" s="46"/>
      <c r="G24" s="46"/>
      <c r="H24" s="46"/>
    </row>
    <row r="25" spans="1:9">
      <c r="A25" s="36" t="s">
        <v>188</v>
      </c>
      <c r="B25" s="41">
        <f>'Pr P&amp;L 2012'!B46+'Tr P&amp;L 2012'!B37</f>
        <v>-866705.57540962787</v>
      </c>
      <c r="C25" s="41">
        <f>'Pr P&amp;L 2012'!C46+'Tr P&amp;L 2012'!C37</f>
        <v>-2588750.8472380177</v>
      </c>
      <c r="D25" s="41">
        <f>'Pr P&amp;L 2012'!D46+'Tr P&amp;L 2012'!D37</f>
        <v>-2202102.2499028682</v>
      </c>
      <c r="E25" s="3"/>
      <c r="F25" s="3"/>
      <c r="G25" s="3"/>
      <c r="H25" s="3"/>
    </row>
    <row r="26" spans="1:9" ht="42">
      <c r="A26" s="85" t="s">
        <v>193</v>
      </c>
      <c r="B26" s="86">
        <f>B21+B25</f>
        <v>2946830.5014622561</v>
      </c>
      <c r="C26" s="86">
        <f t="shared" ref="C26:D26" si="2">C21+C25</f>
        <v>12588521.099348763</v>
      </c>
      <c r="D26" s="86">
        <f t="shared" si="2"/>
        <v>11834283.787697507</v>
      </c>
      <c r="E26" s="3"/>
      <c r="F26" s="3"/>
      <c r="G26" s="3"/>
      <c r="H26" s="3"/>
    </row>
    <row r="27" spans="1:9">
      <c r="B27" s="41"/>
      <c r="C27" s="41"/>
      <c r="D27" s="41"/>
      <c r="E27" s="3"/>
      <c r="F27" s="3"/>
      <c r="G27" s="3"/>
      <c r="H27" s="3"/>
    </row>
    <row r="28" spans="1:9" ht="21">
      <c r="A28" s="85" t="s">
        <v>427</v>
      </c>
      <c r="B28" s="54">
        <f>B15-B9</f>
        <v>9932779.5644276999</v>
      </c>
      <c r="C28" s="54">
        <f t="shared" ref="C28:D28" si="3">C15-C9</f>
        <v>28944632.704036366</v>
      </c>
      <c r="D28" s="54">
        <f t="shared" si="3"/>
        <v>26459640.319460541</v>
      </c>
      <c r="E28" s="3"/>
      <c r="F28" s="3"/>
      <c r="G28" s="3"/>
      <c r="H28" s="3"/>
    </row>
    <row r="29" spans="1:9">
      <c r="B29" s="41"/>
      <c r="C29" s="41"/>
      <c r="D29" s="41"/>
      <c r="E29" s="3"/>
      <c r="F29" s="3"/>
      <c r="G29" s="3"/>
      <c r="H29" s="3"/>
    </row>
    <row r="30" spans="1:9">
      <c r="B30" s="41"/>
      <c r="C30" s="41"/>
      <c r="D30" s="41"/>
      <c r="E30" s="3"/>
      <c r="F30" s="3"/>
      <c r="G30" s="3"/>
      <c r="H30" s="3"/>
    </row>
    <row r="31" spans="1:9">
      <c r="B31" s="41"/>
      <c r="C31" s="41"/>
      <c r="D31" s="41"/>
      <c r="E31" s="3"/>
      <c r="F31" s="3"/>
      <c r="G31" s="3"/>
      <c r="H31" s="3"/>
    </row>
    <row r="32" spans="1:9">
      <c r="B32" s="41"/>
      <c r="C32" s="41"/>
      <c r="D32" s="41"/>
    </row>
    <row r="33" spans="2:4">
      <c r="B33" s="41"/>
      <c r="C33" s="41"/>
      <c r="D33" s="41"/>
    </row>
    <row r="34" spans="2:4">
      <c r="B34" s="41"/>
      <c r="C34" s="41"/>
      <c r="D34" s="41"/>
    </row>
    <row r="35" spans="2:4">
      <c r="B35" s="41"/>
      <c r="C35" s="41"/>
      <c r="D35" s="41"/>
    </row>
    <row r="36" spans="2:4">
      <c r="B36" s="41"/>
      <c r="C36" s="41"/>
      <c r="D36" s="41"/>
    </row>
    <row r="37" spans="2:4">
      <c r="B37" s="41"/>
      <c r="C37" s="41"/>
      <c r="D37" s="41"/>
    </row>
    <row r="38" spans="2:4">
      <c r="B38" s="41"/>
      <c r="C38" s="41"/>
      <c r="D38" s="41"/>
    </row>
    <row r="39" spans="2:4">
      <c r="B39" s="41"/>
      <c r="C39" s="41"/>
      <c r="D39" s="41"/>
    </row>
    <row r="40" spans="2:4">
      <c r="B40" s="41"/>
      <c r="C40" s="41"/>
      <c r="D40" s="41"/>
    </row>
    <row r="41" spans="2:4">
      <c r="B41" s="41"/>
      <c r="C41" s="41"/>
      <c r="D41" s="41"/>
    </row>
    <row r="42" spans="2:4">
      <c r="B42" s="41"/>
      <c r="C42" s="41"/>
      <c r="D42" s="41"/>
    </row>
    <row r="43" spans="2:4">
      <c r="B43" s="41"/>
      <c r="C43" s="41"/>
      <c r="D43" s="41"/>
    </row>
    <row r="44" spans="2:4">
      <c r="B44" s="41"/>
      <c r="C44" s="41"/>
      <c r="D44" s="41"/>
    </row>
    <row r="45" spans="2:4">
      <c r="B45" s="41"/>
      <c r="C45" s="41"/>
      <c r="D45" s="41"/>
    </row>
    <row r="46" spans="2:4">
      <c r="B46" s="41"/>
      <c r="C46" s="41"/>
      <c r="D46" s="41"/>
    </row>
    <row r="47" spans="2:4">
      <c r="B47" s="41"/>
      <c r="C47" s="41"/>
      <c r="D47" s="41"/>
    </row>
    <row r="48" spans="2:4">
      <c r="B48" s="41"/>
      <c r="C48" s="41"/>
      <c r="D48" s="41"/>
    </row>
    <row r="49" spans="2:4">
      <c r="B49" s="41"/>
      <c r="C49" s="41"/>
      <c r="D49" s="4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4.4"/>
  <cols>
    <col min="1" max="1" width="67.33203125" style="186" customWidth="1"/>
    <col min="2" max="3" width="24.77734375" style="41" customWidth="1"/>
    <col min="4" max="4" width="24.77734375" style="186" customWidth="1"/>
    <col min="5" max="16384" width="8.88671875" style="186"/>
  </cols>
  <sheetData>
    <row r="1" spans="1:4">
      <c r="A1" s="303" t="s">
        <v>740</v>
      </c>
    </row>
    <row r="2" spans="1:4" ht="21">
      <c r="A2" s="86" t="s">
        <v>520</v>
      </c>
    </row>
    <row r="3" spans="1:4" ht="21">
      <c r="A3" s="86" t="s">
        <v>550</v>
      </c>
    </row>
    <row r="4" spans="1:4">
      <c r="A4" s="187" t="s">
        <v>119</v>
      </c>
    </row>
    <row r="5" spans="1:4" ht="15" thickBot="1">
      <c r="A5" s="188" t="s">
        <v>493</v>
      </c>
      <c r="B5" s="200">
        <f>Предположения!D6</f>
        <v>30.3505</v>
      </c>
      <c r="C5" s="200">
        <f>Предположения!E6</f>
        <v>31.478000000000002</v>
      </c>
      <c r="D5" s="200">
        <f>Предположения!F6</f>
        <v>32.422340000000005</v>
      </c>
    </row>
    <row r="6" spans="1:4" ht="18" customHeight="1">
      <c r="A6" s="318" t="s">
        <v>494</v>
      </c>
      <c r="B6" s="320">
        <v>2010</v>
      </c>
      <c r="C6" s="320">
        <v>2011</v>
      </c>
      <c r="D6" s="320">
        <v>2012</v>
      </c>
    </row>
    <row r="7" spans="1:4" ht="15" customHeight="1" thickBot="1">
      <c r="A7" s="319"/>
      <c r="B7" s="321"/>
      <c r="C7" s="321"/>
      <c r="D7" s="321"/>
    </row>
    <row r="8" spans="1:4" ht="15" thickBot="1">
      <c r="A8" s="226" t="s">
        <v>565</v>
      </c>
      <c r="B8" s="189"/>
      <c r="C8" s="189"/>
      <c r="D8" s="189"/>
    </row>
    <row r="9" spans="1:4" ht="28.8">
      <c r="A9" s="227" t="s">
        <v>566</v>
      </c>
      <c r="B9" s="190">
        <f>SUM(B10:B11)</f>
        <v>104307117.84740248</v>
      </c>
      <c r="C9" s="190">
        <f>SUM(C10:C11)</f>
        <v>152303356.80984259</v>
      </c>
      <c r="D9" s="190">
        <f>SUM(D10:D11)</f>
        <v>147574734.54855472</v>
      </c>
    </row>
    <row r="10" spans="1:4">
      <c r="A10" s="228" t="s">
        <v>567</v>
      </c>
      <c r="B10" s="191">
        <f>Предположения!C167</f>
        <v>60743253.369609617</v>
      </c>
      <c r="C10" s="191">
        <f>Предположения!D167</f>
        <v>85206824.09352015</v>
      </c>
      <c r="D10" s="191">
        <f>Предположения!E167</f>
        <v>84775633.702860162</v>
      </c>
    </row>
    <row r="11" spans="1:4" ht="28.8">
      <c r="A11" s="229" t="s">
        <v>664</v>
      </c>
      <c r="B11" s="191">
        <f>Предположения!C47*Предположения!C34</f>
        <v>43563864.477792859</v>
      </c>
      <c r="C11" s="191">
        <f>Предположения!D47*Предположения!D34</f>
        <v>67096532.716322437</v>
      </c>
      <c r="D11" s="191">
        <f>Предположения!E47*Предположения!E34</f>
        <v>62799100.845694557</v>
      </c>
    </row>
    <row r="12" spans="1:4" ht="28.8">
      <c r="A12" s="230" t="s">
        <v>568</v>
      </c>
      <c r="B12" s="193">
        <f>SUM(B13:B19)</f>
        <v>58418396.019952103</v>
      </c>
      <c r="C12" s="193">
        <f>SUM(C13:C19)</f>
        <v>67130959.083363235</v>
      </c>
      <c r="D12" s="193">
        <f>SUM(D13:D19)</f>
        <v>88295493.179107085</v>
      </c>
    </row>
    <row r="13" spans="1:4">
      <c r="A13" s="228" t="s">
        <v>569</v>
      </c>
      <c r="B13" s="191">
        <v>11020234</v>
      </c>
      <c r="C13" s="191">
        <v>15470962</v>
      </c>
      <c r="D13" s="192">
        <v>18912713</v>
      </c>
    </row>
    <row r="14" spans="1:4">
      <c r="A14" s="231" t="s">
        <v>570</v>
      </c>
      <c r="B14" s="191"/>
      <c r="C14" s="191"/>
      <c r="D14" s="192"/>
    </row>
    <row r="15" spans="1:4">
      <c r="A15" s="228" t="s">
        <v>571</v>
      </c>
      <c r="B15" s="191">
        <v>9687689</v>
      </c>
      <c r="C15" s="191">
        <v>10356036</v>
      </c>
      <c r="D15" s="192">
        <v>11783905</v>
      </c>
    </row>
    <row r="16" spans="1:4">
      <c r="A16" s="228" t="s">
        <v>572</v>
      </c>
      <c r="B16" s="191">
        <v>13606341</v>
      </c>
      <c r="C16" s="191">
        <v>14149872</v>
      </c>
      <c r="D16" s="192">
        <v>18536294</v>
      </c>
    </row>
    <row r="17" spans="1:4">
      <c r="A17" s="228" t="s">
        <v>573</v>
      </c>
      <c r="B17" s="191">
        <v>7865432</v>
      </c>
      <c r="C17" s="191">
        <v>9342651</v>
      </c>
      <c r="D17" s="192">
        <v>6516903</v>
      </c>
    </row>
    <row r="18" spans="1:4">
      <c r="A18" s="228" t="s">
        <v>574</v>
      </c>
      <c r="B18" s="191">
        <f>'Pr CF proj'!B55</f>
        <v>2361724.0199521054</v>
      </c>
      <c r="C18" s="191">
        <f>'Pr CF proj'!C55</f>
        <v>2885407.0833632331</v>
      </c>
      <c r="D18" s="191">
        <f>'Pr CF proj'!D55</f>
        <v>15796866.179107079</v>
      </c>
    </row>
    <row r="19" spans="1:4" ht="15" thickBot="1">
      <c r="A19" s="228" t="s">
        <v>575</v>
      </c>
      <c r="B19" s="194">
        <f>13733354+143622</f>
        <v>13876976</v>
      </c>
      <c r="C19" s="194">
        <f>12955256+722476+1248299</f>
        <v>14926031</v>
      </c>
      <c r="D19" s="195">
        <f>16748812</f>
        <v>16748812</v>
      </c>
    </row>
    <row r="20" spans="1:4" ht="16.2" thickBot="1">
      <c r="A20" s="232" t="s">
        <v>576</v>
      </c>
      <c r="B20" s="196">
        <f>B12+B9</f>
        <v>162725513.86735457</v>
      </c>
      <c r="C20" s="196">
        <f>C12+C9</f>
        <v>219434315.89320582</v>
      </c>
      <c r="D20" s="196">
        <f>D12+D9</f>
        <v>235870227.72766179</v>
      </c>
    </row>
    <row r="21" spans="1:4" ht="15" thickBot="1">
      <c r="A21" s="226" t="s">
        <v>577</v>
      </c>
      <c r="B21" s="189"/>
      <c r="C21" s="189"/>
    </row>
    <row r="22" spans="1:4" ht="28.8">
      <c r="A22" s="230" t="s">
        <v>578</v>
      </c>
      <c r="B22" s="190">
        <f>SUM(B23:B27)</f>
        <v>109947317.72724617</v>
      </c>
      <c r="C22" s="190">
        <f>SUM(C23:C27)</f>
        <v>147825181.22471994</v>
      </c>
      <c r="D22" s="190">
        <f>SUM(D23:D27)</f>
        <v>158978141.2941182</v>
      </c>
    </row>
    <row r="23" spans="1:4">
      <c r="A23" s="228" t="s">
        <v>579</v>
      </c>
      <c r="B23" s="191">
        <f>1000000000/Предположения!C6</f>
        <v>33128927.848508041</v>
      </c>
      <c r="C23" s="191">
        <f>B23</f>
        <v>33128927.848508041</v>
      </c>
      <c r="D23" s="191">
        <f>C23</f>
        <v>33128927.848508041</v>
      </c>
    </row>
    <row r="24" spans="1:4">
      <c r="A24" s="228" t="s">
        <v>580</v>
      </c>
      <c r="B24" s="191">
        <v>0</v>
      </c>
      <c r="C24" s="191">
        <f>B24</f>
        <v>0</v>
      </c>
      <c r="D24" s="191">
        <f>C24</f>
        <v>0</v>
      </c>
    </row>
    <row r="25" spans="1:4">
      <c r="A25" s="228" t="s">
        <v>581</v>
      </c>
      <c r="B25" s="191">
        <v>76004535</v>
      </c>
      <c r="C25" s="191">
        <v>103528525</v>
      </c>
      <c r="D25" s="191">
        <f>C25</f>
        <v>103528525</v>
      </c>
    </row>
    <row r="26" spans="1:4" ht="28.8">
      <c r="A26" s="233" t="s">
        <v>582</v>
      </c>
      <c r="B26" s="191">
        <v>0</v>
      </c>
      <c r="C26" s="191">
        <f>B27+B26</f>
        <v>813854.87873812451</v>
      </c>
      <c r="D26" s="191">
        <f>C27+C26</f>
        <v>11167728.376211891</v>
      </c>
    </row>
    <row r="27" spans="1:4" ht="28.8">
      <c r="A27" s="233" t="s">
        <v>583</v>
      </c>
      <c r="B27" s="191">
        <f>'Pr P&amp;L 2012'!B47</f>
        <v>813854.87873812451</v>
      </c>
      <c r="C27" s="191">
        <f>'Pr P&amp;L 2012'!C47</f>
        <v>10353873.497473767</v>
      </c>
      <c r="D27" s="191">
        <f>'Pr P&amp;L 2012'!D47</f>
        <v>11152960.069398286</v>
      </c>
    </row>
    <row r="28" spans="1:4" ht="28.8">
      <c r="A28" s="230" t="s">
        <v>587</v>
      </c>
      <c r="B28" s="193">
        <f>B29+B30+B31</f>
        <v>7620000</v>
      </c>
      <c r="C28" s="193">
        <f t="shared" ref="C28:D28" si="0">C29+C30+C31</f>
        <v>11596131</v>
      </c>
      <c r="D28" s="193">
        <f t="shared" si="0"/>
        <v>8078393</v>
      </c>
    </row>
    <row r="29" spans="1:4">
      <c r="A29" s="233" t="s">
        <v>585</v>
      </c>
      <c r="B29" s="191">
        <v>0</v>
      </c>
      <c r="C29" s="191">
        <v>0</v>
      </c>
      <c r="D29" s="191">
        <v>0</v>
      </c>
    </row>
    <row r="30" spans="1:4">
      <c r="A30" s="233" t="s">
        <v>584</v>
      </c>
      <c r="B30" s="191">
        <f>Лизинг!C39</f>
        <v>7500000</v>
      </c>
      <c r="C30" s="191">
        <f>Лизинг!D39</f>
        <v>11250000</v>
      </c>
      <c r="D30" s="191">
        <f>Лизинг!E39</f>
        <v>7500000</v>
      </c>
    </row>
    <row r="31" spans="1:4">
      <c r="A31" s="233" t="s">
        <v>586</v>
      </c>
      <c r="B31" s="191">
        <v>120000</v>
      </c>
      <c r="C31" s="191">
        <v>346131</v>
      </c>
      <c r="D31" s="191">
        <v>578393</v>
      </c>
    </row>
    <row r="32" spans="1:4" ht="28.8">
      <c r="A32" s="230" t="s">
        <v>588</v>
      </c>
      <c r="B32" s="193">
        <f>SUM(B33:B37)</f>
        <v>45158196.140108407</v>
      </c>
      <c r="C32" s="193">
        <f>SUM(C33:C37)</f>
        <v>60013003.66848588</v>
      </c>
      <c r="D32" s="193">
        <f t="shared" ref="D32" si="1">SUM(D33:D37)</f>
        <v>68813693.433543593</v>
      </c>
    </row>
    <row r="33" spans="1:4">
      <c r="A33" s="233" t="s">
        <v>589</v>
      </c>
      <c r="B33" s="191">
        <f>'Pr Fin'!B29+'Pr Fin'!B36+'Pr Fin'!B40</f>
        <v>0</v>
      </c>
      <c r="C33" s="191">
        <f>'Pr Fin'!C29+'Pr Fin'!C36+'Pr Fin'!C40</f>
        <v>10207900.915308449</v>
      </c>
      <c r="D33" s="191">
        <f>'Pr Fin'!D29+'Pr Fin'!D36+'Pr Fin'!D40</f>
        <v>8051166.775089046</v>
      </c>
    </row>
    <row r="34" spans="1:4">
      <c r="A34" s="233" t="s">
        <v>590</v>
      </c>
      <c r="B34" s="191">
        <f>Лизинг!C38</f>
        <v>3750000</v>
      </c>
      <c r="C34" s="191">
        <f>Лизинг!D38</f>
        <v>3750000</v>
      </c>
      <c r="D34" s="191">
        <f>Лизинг!E38</f>
        <v>3750000</v>
      </c>
    </row>
    <row r="35" spans="1:4" ht="28.8">
      <c r="A35" s="233" t="s">
        <v>591</v>
      </c>
      <c r="B35" s="191">
        <v>25857742</v>
      </c>
      <c r="C35" s="191">
        <v>32275091</v>
      </c>
      <c r="D35" s="191">
        <v>34113784</v>
      </c>
    </row>
    <row r="36" spans="1:4">
      <c r="A36" s="233" t="s">
        <v>592</v>
      </c>
      <c r="B36" s="191"/>
      <c r="C36" s="191"/>
      <c r="D36" s="192"/>
    </row>
    <row r="37" spans="1:4" ht="15" thickBot="1">
      <c r="A37" s="234" t="s">
        <v>593</v>
      </c>
      <c r="B37" s="194">
        <f>15550454-B40</f>
        <v>15550454.140108407</v>
      </c>
      <c r="C37" s="194">
        <f>13780012-C40</f>
        <v>13780011.753177434</v>
      </c>
      <c r="D37" s="194">
        <f>23731375-D40</f>
        <v>22898742.658454537</v>
      </c>
    </row>
    <row r="38" spans="1:4" ht="29.4" thickBot="1">
      <c r="A38" s="232" t="s">
        <v>594</v>
      </c>
      <c r="B38" s="196">
        <f>B32+B28+B22</f>
        <v>162725513.86735457</v>
      </c>
      <c r="C38" s="196">
        <f>C32+C28+C22</f>
        <v>219434315.89320582</v>
      </c>
      <c r="D38" s="196">
        <f>D32+D28+D22</f>
        <v>235870227.72766179</v>
      </c>
    </row>
    <row r="39" spans="1:4" s="199" customFormat="1">
      <c r="A39" s="197"/>
      <c r="B39" s="198">
        <f>B38-B20</f>
        <v>0</v>
      </c>
      <c r="C39" s="198">
        <f>C38-C20</f>
        <v>0</v>
      </c>
      <c r="D39" s="198">
        <f>D38-D20</f>
        <v>0</v>
      </c>
    </row>
    <row r="40" spans="1:4" hidden="1">
      <c r="B40" s="152">
        <v>-0.14010840654373169</v>
      </c>
      <c r="C40" s="266">
        <v>0.24682256579399109</v>
      </c>
      <c r="D40" s="198">
        <v>832632.34154546261</v>
      </c>
    </row>
    <row r="41" spans="1:4">
      <c r="D41" s="41"/>
    </row>
  </sheetData>
  <mergeCells count="4">
    <mergeCell ref="A6:A7"/>
    <mergeCell ref="B6:B7"/>
    <mergeCell ref="C6:C7"/>
    <mergeCell ref="D6:D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Построение модели</vt:lpstr>
      <vt:lpstr>Бизнес-процесс</vt:lpstr>
      <vt:lpstr>Продажи</vt:lpstr>
      <vt:lpstr>Земля</vt:lpstr>
      <vt:lpstr>Факторы риска</vt:lpstr>
      <vt:lpstr>Pr P&amp;L 2012</vt:lpstr>
      <vt:lpstr>Tr P&amp;L 2012</vt:lpstr>
      <vt:lpstr>Cons P&amp;L 2012</vt:lpstr>
      <vt:lpstr>Pr BS 2012</vt:lpstr>
      <vt:lpstr>Tr BS 2012</vt:lpstr>
      <vt:lpstr>Cons BS 2012</vt:lpstr>
      <vt:lpstr>Pr CF 2012</vt:lpstr>
      <vt:lpstr>Tr CF 2012</vt:lpstr>
      <vt:lpstr>Cons CF 2012</vt:lpstr>
      <vt:lpstr>Предположения</vt:lpstr>
      <vt:lpstr>Pr Sales</vt:lpstr>
      <vt:lpstr>Pr Costs</vt:lpstr>
      <vt:lpstr>Лизинг</vt:lpstr>
      <vt:lpstr>Pr Fin</vt:lpstr>
      <vt:lpstr>Tr Sales Costs</vt:lpstr>
      <vt:lpstr>Tr Fin</vt:lpstr>
      <vt:lpstr>Pr P&amp;L proj</vt:lpstr>
      <vt:lpstr>Tr P&amp;L proj</vt:lpstr>
      <vt:lpstr>Cons P&amp;L proj</vt:lpstr>
      <vt:lpstr>Valuation</vt:lpstr>
      <vt:lpstr>Pr CF proj</vt:lpstr>
      <vt:lpstr>Tr CF proj</vt:lpstr>
      <vt:lpstr>Cons CF proj</vt:lpstr>
      <vt:lpstr>Pr BS proj</vt:lpstr>
      <vt:lpstr>Tr BS proj</vt:lpstr>
      <vt:lpstr>Cons BS proj</vt:lpstr>
      <vt:lpstr>Summary</vt:lpstr>
      <vt:lpstr>Pr CF quart</vt:lpstr>
      <vt:lpstr>Tr CF quart</vt:lpstr>
      <vt:lpstr>Cons CF quart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Mikhail Cherkasov</dc:creator>
  <cp:lastModifiedBy>Mikhail Cherkasov</cp:lastModifiedBy>
  <dcterms:created xsi:type="dcterms:W3CDTF">2012-09-12T08:59:57Z</dcterms:created>
  <dcterms:modified xsi:type="dcterms:W3CDTF">2014-11-19T19:51:43Z</dcterms:modified>
</cp:coreProperties>
</file>